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120" windowHeight="9120" activeTab="0"/>
  </bookViews>
  <sheets>
    <sheet name="Cumulative Stats" sheetId="1" r:id="rId1"/>
    <sheet name="NYJ" sheetId="2" r:id="rId2"/>
    <sheet name="HOU" sheetId="3" r:id="rId3"/>
    <sheet name="BOS" sheetId="4" r:id="rId4"/>
    <sheet name="SDC" sheetId="5" r:id="rId5"/>
    <sheet name="@DEN" sheetId="6" r:id="rId6"/>
    <sheet name="OAK" sheetId="7" r:id="rId7"/>
    <sheet name="@HOU" sheetId="8" r:id="rId8"/>
    <sheet name="MIA" sheetId="9" r:id="rId9"/>
    <sheet name="@NYJ" sheetId="10" r:id="rId10"/>
    <sheet name="DEN" sheetId="11" r:id="rId11"/>
    <sheet name="@MIA" sheetId="12" r:id="rId12"/>
    <sheet name="@KCC" sheetId="13" r:id="rId13"/>
    <sheet name="@BOS" sheetId="14" r:id="rId14"/>
    <sheet name="@OAK" sheetId="15" r:id="rId15"/>
    <sheet name="blank1" sheetId="16" r:id="rId16"/>
    <sheet name="blank" sheetId="17" r:id="rId17"/>
  </sheets>
  <definedNames/>
  <calcPr fullCalcOnLoad="1"/>
</workbook>
</file>

<file path=xl/sharedStrings.xml><?xml version="1.0" encoding="utf-8"?>
<sst xmlns="http://schemas.openxmlformats.org/spreadsheetml/2006/main" count="4337" uniqueCount="143">
  <si>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</si>
  <si>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</si>
  <si>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</si>
  <si>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</si>
  <si>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</si>
  <si>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</si>
  <si>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</si>
  <si>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</si>
  <si>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</si>
  <si>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</si>
  <si>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</si>
  <si>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</si>
  <si>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</si>
  <si>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</si>
  <si>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</si>
  <si>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</si>
  <si>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</si>
  <si>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</si>
  <si>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</si>
  <si>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</si>
  <si>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</si>
  <si>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</si>
  <si>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</si>
  <si>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</si>
  <si>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</si>
  <si>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</si>
  <si>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</si>
  <si>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</si>
  <si>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</si>
  <si>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</si>
  <si>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</si>
  <si>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</si>
  <si>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</si>
  <si>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</si>
  <si>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</si>
  <si>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</si>
  <si>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</si>
  <si>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</si>
  <si>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</si>
  <si>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</si>
  <si>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</si>
  <si>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</si>
  <si>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</si>
  <si>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</si>
  <si>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</si>
  <si>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</si>
  <si>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</si>
  <si>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</si>
  <si>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</si>
  <si>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</si>
  <si>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</si>
  <si>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</si>
  <si>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</si>
  <si>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</si>
  <si>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</si>
  <si>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</si>
  <si>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</si>
  <si>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</si>
  <si>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</si>
  <si>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</si>
  <si>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</si>
  <si>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</si>
  <si>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</si>
  <si>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</si>
  <si>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</si>
  <si>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</si>
  <si>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</si>
  <si>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</si>
  <si>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</si>
  <si>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</si>
  <si>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</si>
  <si>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</si>
  <si>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</si>
  <si>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</si>
  <si>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</si>
  <si>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</si>
  <si>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</si>
  <si>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</si>
  <si>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</si>
  <si>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</si>
  <si>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</si>
  <si>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</si>
  <si>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</si>
  <si>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</si>
  <si>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</si>
  <si>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</si>
  <si>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</si>
  <si>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</si>
  <si>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</si>
  <si>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</si>
  <si>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</si>
  <si>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</si>
  <si>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</si>
  <si>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</si>
  <si>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</si>
  <si>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</si>
  <si>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</si>
  <si>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</si>
  <si>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</si>
  <si>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</si>
  <si>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</si>
  <si>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</si>
  <si>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</si>
  <si>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</si>
  <si>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</si>
  <si>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Comparision between replay and actual individual player statistics</t>
  </si>
  <si>
    <t>Result</t>
  </si>
  <si>
    <t>Avg</t>
  </si>
  <si>
    <t>YPC</t>
  </si>
  <si>
    <t>1967 Buffalo Bills</t>
  </si>
  <si>
    <t>Lincoln</t>
  </si>
  <si>
    <t>Carlton</t>
  </si>
  <si>
    <t>Burnett</t>
  </si>
  <si>
    <t>Kemp</t>
  </si>
  <si>
    <t>Bivins</t>
  </si>
  <si>
    <t>Spikes</t>
  </si>
  <si>
    <t>Donaldson</t>
  </si>
  <si>
    <t>Dubenion</t>
  </si>
  <si>
    <t>Costa</t>
  </si>
  <si>
    <t>Masters</t>
  </si>
  <si>
    <t>Powell</t>
  </si>
  <si>
    <t>Ledbetter</t>
  </si>
  <si>
    <t>Rutkowski</t>
  </si>
  <si>
    <t>Tracey</t>
  </si>
  <si>
    <t>Flores</t>
  </si>
  <si>
    <t>Byrd</t>
  </si>
  <si>
    <t>King</t>
  </si>
  <si>
    <t>Edgerson</t>
  </si>
  <si>
    <t>Smith</t>
  </si>
  <si>
    <t>Meredith</t>
  </si>
  <si>
    <t>Guidry</t>
  </si>
  <si>
    <t>Maguire</t>
  </si>
  <si>
    <t>Mercer</t>
  </si>
  <si>
    <t>McDole</t>
  </si>
  <si>
    <t>Dunaway</t>
  </si>
  <si>
    <t>Stratton</t>
  </si>
  <si>
    <t>Janik</t>
  </si>
  <si>
    <t>Schottenheimer</t>
  </si>
  <si>
    <t>Jacobs</t>
  </si>
  <si>
    <t>Sestak</t>
  </si>
  <si>
    <t>Prudhomme</t>
  </si>
  <si>
    <t>Tie</t>
  </si>
  <si>
    <t>Saimes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</si>
</sst>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9"/>
  <sheetViews>
    <sheetView tabSelected="1" workbookViewId="0" topLeftCell="A1">
      <selection activeCell="B213" sqref="B21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7" ht="12.75">
      <c r="A1" s="2" t="s">
        <v>109</v>
      </c>
      <c r="E1" s="2" t="s">
        <v>100</v>
      </c>
      <c r="F1" s="2" t="s">
        <v>101</v>
      </c>
      <c r="G1" s="2" t="s">
        <v>141</v>
      </c>
    </row>
    <row r="2" spans="1:7" ht="12.75">
      <c r="A2" t="s">
        <v>87</v>
      </c>
      <c r="B2" s="2">
        <v>14</v>
      </c>
      <c r="E2">
        <f>NYJ!E2+HOU!E2+BOS!E2+SDC!E2+'@DEN'!E2+OAK!E2+'@HOU'!E2+MIA!E2+'@NYJ'!E2+DEN!E2+'@MIA'!E2+'@KCC'!E2+'@BOS'!E2+'@OAK'!E2</f>
        <v>6</v>
      </c>
      <c r="F2">
        <f>NYJ!F2+HOU!F2+BOS!F2+SDC!F2+'@DEN'!F2+OAK!F2+'@HOU'!F2+MIA!F2+'@NYJ'!F2+DEN!F2+'@MIA'!F2+'@KCC'!F2+'@BOS'!F2+'@OAK'!F2+blank1!F2+blank!F2</f>
        <v>7</v>
      </c>
      <c r="G2">
        <f>NYJ!G2+HOU!G2+BOS!G2+SDC!G2+'@DEN'!G2+OAK!G2+'@HOU'!G2+MIA!G2+'@NYJ'!G2+DEN!G2+'@MIA'!G2+'@KCC'!G2+'@BOS'!G2+'@OAK'!G2+blank1!G2+blank!G2</f>
        <v>1</v>
      </c>
    </row>
    <row r="3" spans="1:8" ht="12.75">
      <c r="A3" s="2" t="s">
        <v>0</v>
      </c>
      <c r="H3" s="2" t="s">
        <v>48</v>
      </c>
    </row>
    <row r="4" spans="5:15" ht="12.75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.75">
      <c r="A6" s="1" t="s">
        <v>29</v>
      </c>
      <c r="D6" s="2">
        <f>+NYJ!D6+HOU!D6+BOS!D6+SDC!D6+'@DEN'!D6+OAK!D6+'@HOU'!D6+MIA!D6+'@NYJ'!D6+DEN!D6+'@MIA'!D6+'@KCC'!D6+'@BOS'!D6+'@OAK'!D6+blank1!D6+blank!D6</f>
        <v>200</v>
      </c>
      <c r="E6" s="8">
        <f>+D6/$B$2</f>
        <v>14.285714285714286</v>
      </c>
      <c r="F6" s="8">
        <f>203/14</f>
        <v>14.5</v>
      </c>
      <c r="H6" s="1" t="s">
        <v>29</v>
      </c>
      <c r="M6" s="2">
        <f>+NYJ!M6+HOU!M6+BOS!M6+SDC!M6+'@DEN'!M6+OAK!M6+'@HOU'!M6+MIA!M6+'@NYJ'!M6+DEN!M6+'@MIA'!M6+'@KCC'!M6+'@BOS'!M6+'@OAK'!M6+blank1!M6+blank!M6</f>
        <v>222</v>
      </c>
      <c r="N6" s="8">
        <f>+M6/$B$2</f>
        <v>15.857142857142858</v>
      </c>
      <c r="O6" s="21">
        <f>201/14</f>
        <v>14.357142857142858</v>
      </c>
    </row>
    <row r="7" spans="5:15" ht="12.75">
      <c r="E7" s="8"/>
      <c r="F7" s="8"/>
      <c r="N7" s="8"/>
      <c r="O7" s="21"/>
    </row>
    <row r="8" spans="1:23" ht="12.75">
      <c r="A8" t="s">
        <v>1</v>
      </c>
      <c r="D8" s="2">
        <f>+NYJ!D8+HOU!D8+BOS!D8+SDC!D8+'@DEN'!D8+OAK!D8+'@HOU'!D8+MIA!D8+'@NYJ'!D8+DEN!D8+'@MIA'!D8+'@KCC'!D8+'@BOS'!D8+'@OAK'!D8+blank1!D8+blank!D8</f>
        <v>370</v>
      </c>
      <c r="E8" s="8">
        <f>+D8/$B$2</f>
        <v>26.428571428571427</v>
      </c>
      <c r="F8" s="8">
        <f>371/14</f>
        <v>26.5</v>
      </c>
      <c r="H8" t="s">
        <v>1</v>
      </c>
      <c r="M8" s="2">
        <f>+NYJ!M8+HOU!M8+BOS!M8+SDC!M8+'@DEN'!M8+OAK!M8+'@HOU'!M8+MIA!M8+'@NYJ'!M8+DEN!M8+'@MIA'!M8+'@KCC'!M8+'@BOS'!M8+'@OAK'!M8+blank1!M8+blank!M8</f>
        <v>437</v>
      </c>
      <c r="N8" s="8">
        <f>+M8/$B$2</f>
        <v>31.214285714285715</v>
      </c>
      <c r="O8" s="21">
        <f>437/14</f>
        <v>31.214285714285715</v>
      </c>
      <c r="V8">
        <f>+D8</f>
        <v>370</v>
      </c>
      <c r="W8">
        <f>+M8</f>
        <v>437</v>
      </c>
    </row>
    <row r="9" spans="1:23" ht="12.75">
      <c r="A9" t="s">
        <v>2</v>
      </c>
      <c r="D9" s="2">
        <f>+NYJ!D9+HOU!D9+BOS!D9+SDC!D9+'@DEN'!D9+OAK!D9+'@HOU'!D9+MIA!D9+'@NYJ'!D9+DEN!D9+'@MIA'!D9+'@KCC'!D9+'@BOS'!D9+'@OAK'!D9+blank1!D9+blank!D9</f>
        <v>1450</v>
      </c>
      <c r="E9" s="8">
        <f>+D9/$B$2</f>
        <v>103.57142857142857</v>
      </c>
      <c r="F9" s="8">
        <f>1271/14</f>
        <v>90.78571428571429</v>
      </c>
      <c r="H9" t="s">
        <v>2</v>
      </c>
      <c r="M9" s="2">
        <f>+NYJ!M9+HOU!M9+BOS!M9+SDC!M9+'@DEN'!M9+OAK!M9+'@HOU'!M9+MIA!M9+'@NYJ'!M9+DEN!M9+'@MIA'!M9+'@KCC'!M9+'@BOS'!M9+'@OAK'!M9+blank1!M9+blank!M9</f>
        <v>1893</v>
      </c>
      <c r="N9" s="8">
        <f>+M9/$B$2</f>
        <v>135.21428571428572</v>
      </c>
      <c r="O9" s="21">
        <f>1622/14</f>
        <v>115.85714285714286</v>
      </c>
      <c r="U9" s="13"/>
      <c r="V9">
        <f>+D13</f>
        <v>209</v>
      </c>
      <c r="W9">
        <f>+M13</f>
        <v>186</v>
      </c>
    </row>
    <row r="10" spans="1:23" ht="12.75">
      <c r="A10" s="1" t="s">
        <v>3</v>
      </c>
      <c r="D10" s="8">
        <f>+D9/D8</f>
        <v>3.918918918918919</v>
      </c>
      <c r="E10" s="8"/>
      <c r="F10" s="8">
        <f>F9/F8</f>
        <v>3.4258760107816713</v>
      </c>
      <c r="H10" s="1" t="s">
        <v>3</v>
      </c>
      <c r="M10" s="8">
        <f>+M9/M8</f>
        <v>4.331807780320366</v>
      </c>
      <c r="N10" s="8"/>
      <c r="O10" s="21">
        <f>+O9/O8</f>
        <v>3.711670480549199</v>
      </c>
      <c r="V10">
        <f>+(D12-D13)/2</f>
        <v>105.5</v>
      </c>
      <c r="W10">
        <f>+(M12-M13)/2</f>
        <v>105.5</v>
      </c>
    </row>
    <row r="11" spans="5:23" ht="12.75">
      <c r="E11" s="8"/>
      <c r="F11" s="8"/>
      <c r="N11" s="8"/>
      <c r="O11" s="21"/>
      <c r="V11">
        <f>+D35/2</f>
        <v>32.5</v>
      </c>
      <c r="W11">
        <f>+M35/2</f>
        <v>25</v>
      </c>
    </row>
    <row r="12" spans="1:23" ht="12.75">
      <c r="A12" t="s">
        <v>4</v>
      </c>
      <c r="D12" s="2">
        <f>+NYJ!D12+HOU!D12+BOS!D12+SDC!D12+'@DEN'!D12+OAK!D12+'@HOU'!D12+MIA!D12+'@NYJ'!D12+DEN!D12+'@MIA'!D12+'@KCC'!D12+'@BOS'!D12+'@OAK'!D12+blank1!D12+blank!D12</f>
        <v>420</v>
      </c>
      <c r="E12" s="8">
        <f>+D12/$B$2</f>
        <v>30</v>
      </c>
      <c r="F12" s="8">
        <f>434/14</f>
        <v>31</v>
      </c>
      <c r="H12" t="s">
        <v>4</v>
      </c>
      <c r="M12" s="2">
        <f>+NYJ!M12+HOU!M12+BOS!M12+SDC!M12+'@DEN'!M12+OAK!M12+'@HOU'!M12+MIA!M12+'@NYJ'!M12+DEN!M12+'@MIA'!M12+'@KCC'!M12+'@BOS'!M12+'@OAK'!M12+blank1!M12+blank!M12</f>
        <v>397</v>
      </c>
      <c r="N12" s="8">
        <f>+M12/$B$2</f>
        <v>28.357142857142858</v>
      </c>
      <c r="O12" s="21">
        <f>377/14</f>
        <v>26.928571428571427</v>
      </c>
      <c r="V12">
        <f>+D39/2</f>
        <v>11</v>
      </c>
      <c r="W12">
        <f>+M39/2</f>
        <v>20</v>
      </c>
    </row>
    <row r="13" spans="1:23" ht="12.75">
      <c r="A13" t="s">
        <v>5</v>
      </c>
      <c r="D13" s="2">
        <f>+NYJ!D13+HOU!D13+BOS!D13+SDC!D13+'@DEN'!D13+OAK!D13+'@HOU'!D13+MIA!D13+'@NYJ'!D13+DEN!D13+'@MIA'!D13+'@KCC'!D13+'@BOS'!D13+'@OAK'!D13+blank1!D13+blank!D13</f>
        <v>209</v>
      </c>
      <c r="E13" s="8">
        <f>+D13/$B$2</f>
        <v>14.928571428571429</v>
      </c>
      <c r="F13" s="8">
        <f>183/14</f>
        <v>13.071428571428571</v>
      </c>
      <c r="H13" t="s">
        <v>5</v>
      </c>
      <c r="M13" s="2">
        <f>+NYJ!M13+HOU!M13+BOS!M13+SDC!M13+'@DEN'!M13+OAK!M13+'@HOU'!M13+MIA!M13+'@NYJ'!M13+DEN!M13+'@MIA'!M13+'@KCC'!M13+'@BOS'!M13+'@OAK'!M13+blank1!M12+blank!M12</f>
        <v>186</v>
      </c>
      <c r="N13" s="8">
        <f>+M13/$B$2</f>
        <v>13.285714285714286</v>
      </c>
      <c r="O13" s="21">
        <f>162/14</f>
        <v>11.571428571428571</v>
      </c>
      <c r="V13">
        <f>+D44/2</f>
        <v>25</v>
      </c>
      <c r="W13">
        <f>+M44/2</f>
        <v>24.5</v>
      </c>
    </row>
    <row r="14" spans="1:15" ht="12.75">
      <c r="A14" t="s">
        <v>6</v>
      </c>
      <c r="D14" s="8">
        <f>+D13/D12*100</f>
        <v>49.76190476190476</v>
      </c>
      <c r="E14" s="8">
        <f>+E13/E12*100</f>
        <v>49.76190476190476</v>
      </c>
      <c r="F14" s="8">
        <f>+F13/F12*100</f>
        <v>42.16589861751152</v>
      </c>
      <c r="H14" t="s">
        <v>6</v>
      </c>
      <c r="M14" s="8">
        <f>+M13/M12*100</f>
        <v>46.85138539042821</v>
      </c>
      <c r="N14" s="8">
        <f>+N13/N12*100</f>
        <v>46.85138539042821</v>
      </c>
      <c r="O14" s="21">
        <f>+O13/O12*100</f>
        <v>42.97082228116711</v>
      </c>
    </row>
    <row r="15" spans="1:24" ht="12.75">
      <c r="A15" t="s">
        <v>7</v>
      </c>
      <c r="D15" s="2">
        <f>+NYJ!D15+HOU!D15+BOS!D15+SDC!D15+'@DEN'!D15+OAK!D15+'@HOU'!D15+MIA!D15+'@NYJ'!D15+DEN!D15+'@MIA'!D15+'@KCC'!D15+'@BOS'!D15+'@OAK'!D15+blank1!D15+blank!D15</f>
        <v>2960</v>
      </c>
      <c r="E15" s="8">
        <f>+D15/$B$2</f>
        <v>211.42857142857142</v>
      </c>
      <c r="F15" s="8">
        <f>2763/14</f>
        <v>197.35714285714286</v>
      </c>
      <c r="H15" t="s">
        <v>7</v>
      </c>
      <c r="M15" s="2">
        <f>+NYJ!M15+HOU!M15+BOS!M15+SDC!M15+'@DEN'!M15+OAK!M15+'@HOU'!M15+MIA!M15+'@NYJ'!M15+DEN!M15+'@MIA'!M15+'@KCC'!M15+'@BOS'!M15+'@OAK'!M15+blank1!M15+blank!M15</f>
        <v>2816</v>
      </c>
      <c r="N15" s="8">
        <f>+M15/$B$2</f>
        <v>201.14285714285714</v>
      </c>
      <c r="O15" s="21">
        <f>2191/14</f>
        <v>156.5</v>
      </c>
      <c r="V15">
        <f>SUM(V8:V13)</f>
        <v>753</v>
      </c>
      <c r="W15">
        <f>SUM(W8:W13)</f>
        <v>798</v>
      </c>
      <c r="X15">
        <f>+W15+V15</f>
        <v>1551</v>
      </c>
    </row>
    <row r="16" spans="1:23" ht="12.75">
      <c r="A16" t="s">
        <v>8</v>
      </c>
      <c r="D16" s="2">
        <f>+NYJ!D16+HOU!D16+BOS!D16+SDC!D16+'@DEN'!D16+OAK!D16+'@HOU'!D16+MIA!D16+'@NYJ'!D16+DEN!D16+'@MIA'!D16+'@KCC'!D16+'@BOS'!D16+'@OAK'!D16+blank1!D16+blank!D16</f>
        <v>42</v>
      </c>
      <c r="E16" s="8">
        <f>+D16/$B$2</f>
        <v>3</v>
      </c>
      <c r="F16" s="8">
        <f>45/14</f>
        <v>3.2142857142857144</v>
      </c>
      <c r="H16" t="s">
        <v>8</v>
      </c>
      <c r="M16" s="2">
        <f>+NYJ!M16+HOU!M16+BOS!M16+SDC!M16+'@DEN'!M16+OAK!M16+'@HOU'!M16+MIA!M16+'@NYJ'!M16+DEN!M16+'@MIA'!M16+'@KCC'!M16+'@BOS'!M16+'@OAK'!M16+blank1!M16+blank!M16</f>
        <v>39</v>
      </c>
      <c r="N16" s="8">
        <f>+M16/$B$2</f>
        <v>2.7857142857142856</v>
      </c>
      <c r="O16" s="21">
        <f>43/14</f>
        <v>3.0714285714285716</v>
      </c>
      <c r="V16">
        <f>+V15/X15</f>
        <v>0.48549323017408125</v>
      </c>
      <c r="W16">
        <f>+W15/X15</f>
        <v>0.5145067698259188</v>
      </c>
    </row>
    <row r="17" spans="1:23" ht="12.75">
      <c r="A17" t="s">
        <v>9</v>
      </c>
      <c r="D17" s="2">
        <f>+NYJ!D17+HOU!D17+BOS!D17+SDC!D17+'@DEN'!D17+OAK!D17+'@HOU'!D17+MIA!D17+'@NYJ'!D17+DEN!D17+'@MIA'!D17+'@KCC'!D17+'@BOS'!D17+'@OAK'!D17+blank1!D17+blank!D17</f>
        <v>348</v>
      </c>
      <c r="E17" s="8"/>
      <c r="F17" s="8">
        <f>446/14</f>
        <v>31.857142857142858</v>
      </c>
      <c r="H17" t="s">
        <v>9</v>
      </c>
      <c r="M17" s="2">
        <f>+NYJ!M17+HOU!M17+BOS!M17+SDC!M17+'@DEN'!M17+OAK!M17+'@HOU'!M17+MIA!M17+'@NYJ'!M17+DEN!M17+'@MIA'!M17+'@KCC'!M17+'@BOS'!M17+'@OAK'!M17+blank1!M17+blank!M17</f>
        <v>324</v>
      </c>
      <c r="N17" s="8"/>
      <c r="O17" s="21">
        <f>366/14</f>
        <v>26.142857142857142</v>
      </c>
      <c r="V17">
        <f>+V16*60</f>
        <v>29.129593810444874</v>
      </c>
      <c r="W17">
        <f>+W16*60</f>
        <v>30.87040618955513</v>
      </c>
    </row>
    <row r="18" spans="1:23" ht="12.75">
      <c r="A18" t="s">
        <v>10</v>
      </c>
      <c r="D18">
        <f>+D15-D17</f>
        <v>2612</v>
      </c>
      <c r="E18" s="8">
        <f>+D18/B2</f>
        <v>186.57142857142858</v>
      </c>
      <c r="F18" s="8">
        <f>F15-F17</f>
        <v>165.5</v>
      </c>
      <c r="H18" t="s">
        <v>10</v>
      </c>
      <c r="M18">
        <f>+M15-M17</f>
        <v>2492</v>
      </c>
      <c r="N18" s="8">
        <f>+M18/B2</f>
        <v>178</v>
      </c>
      <c r="O18" s="21">
        <f>O15-O17</f>
        <v>130.35714285714286</v>
      </c>
      <c r="V18">
        <f>+V17-INT(V17)</f>
        <v>0.12959381044487372</v>
      </c>
      <c r="W18">
        <f>+W17-INT(W17)</f>
        <v>0.8704061895551298</v>
      </c>
    </row>
    <row r="19" spans="1:23" ht="12.75">
      <c r="A19" t="s">
        <v>11</v>
      </c>
      <c r="D19" s="7">
        <f>+D18/D12</f>
        <v>6.219047619047619</v>
      </c>
      <c r="E19" s="8"/>
      <c r="F19" s="8">
        <f>F18/F12</f>
        <v>5.338709677419355</v>
      </c>
      <c r="H19" t="s">
        <v>11</v>
      </c>
      <c r="M19" s="7">
        <f>+M18/M12</f>
        <v>6.277078085642318</v>
      </c>
      <c r="N19" s="8"/>
      <c r="O19" s="21">
        <f>O18/O12</f>
        <v>4.840848806366048</v>
      </c>
      <c r="V19">
        <f>+V18*60</f>
        <v>7.7756286266924235</v>
      </c>
      <c r="W19">
        <f>+W18*60</f>
        <v>52.22437137330779</v>
      </c>
    </row>
    <row r="20" spans="1:23" ht="12.75">
      <c r="A20" t="s">
        <v>12</v>
      </c>
      <c r="D20" s="7">
        <f>+D15/D13</f>
        <v>14.16267942583732</v>
      </c>
      <c r="E20" s="8"/>
      <c r="F20" s="8">
        <f>F15/F13</f>
        <v>15.098360655737705</v>
      </c>
      <c r="H20" t="s">
        <v>12</v>
      </c>
      <c r="M20" s="7">
        <f>+M15/M13</f>
        <v>15.13978494623656</v>
      </c>
      <c r="N20" s="8"/>
      <c r="O20" s="21">
        <f>O18/O13</f>
        <v>11.265432098765432</v>
      </c>
      <c r="U20">
        <v>0</v>
      </c>
      <c r="V20" s="11">
        <f>ROUND(V19,0)</f>
        <v>8</v>
      </c>
      <c r="W20">
        <f>ROUND(W19,0)</f>
        <v>52</v>
      </c>
    </row>
    <row r="21" spans="5:23" ht="12.75">
      <c r="E21" s="8"/>
      <c r="F21" s="8"/>
      <c r="N21" s="8"/>
      <c r="O21" s="21"/>
      <c r="V21">
        <f>INT(V17)</f>
        <v>29</v>
      </c>
      <c r="W21">
        <f>INT(W17)</f>
        <v>30</v>
      </c>
    </row>
    <row r="22" spans="1:23" ht="12.75">
      <c r="A22" t="s">
        <v>13</v>
      </c>
      <c r="E22" s="8"/>
      <c r="F22" s="8"/>
      <c r="H22" t="s">
        <v>13</v>
      </c>
      <c r="N22" s="8"/>
      <c r="O22" s="21"/>
      <c r="V22" t="s">
        <v>91</v>
      </c>
      <c r="W22" t="s">
        <v>91</v>
      </c>
    </row>
    <row r="23" spans="1:23" ht="12.75">
      <c r="A23" t="s">
        <v>14</v>
      </c>
      <c r="D23">
        <f>+D18+D9</f>
        <v>4062</v>
      </c>
      <c r="E23" s="8">
        <f>+D23/B2</f>
        <v>290.14285714285717</v>
      </c>
      <c r="F23" s="8">
        <f>F9+F18</f>
        <v>256.2857142857143</v>
      </c>
      <c r="H23" t="s">
        <v>14</v>
      </c>
      <c r="M23">
        <f>+M18+M9</f>
        <v>4385</v>
      </c>
      <c r="N23" s="8">
        <f>+M23/B2</f>
        <v>313.2142857142857</v>
      </c>
      <c r="O23" s="21">
        <f>O9+O18</f>
        <v>246.21428571428572</v>
      </c>
      <c r="V23" s="14" t="str">
        <f>+V21&amp;V22&amp;V20</f>
        <v>29:8</v>
      </c>
      <c r="W23" s="9" t="str">
        <f>+W21&amp;W22&amp;W20</f>
        <v>30:52</v>
      </c>
    </row>
    <row r="24" spans="1:23" ht="12.75">
      <c r="A24" t="s">
        <v>15</v>
      </c>
      <c r="D24" s="7">
        <f>+D9/D23*100</f>
        <v>35.696701132447075</v>
      </c>
      <c r="E24" s="8"/>
      <c r="F24" s="8">
        <f>+F9/F23*100</f>
        <v>35.423634336677814</v>
      </c>
      <c r="H24" t="s">
        <v>15</v>
      </c>
      <c r="M24" s="7">
        <f>+M9/M23*100</f>
        <v>43.169897377423034</v>
      </c>
      <c r="N24" s="8"/>
      <c r="O24" s="21">
        <f>+O9/O23*100</f>
        <v>47.055410501885696</v>
      </c>
      <c r="V24" s="9" t="str">
        <f>IF(V20&lt;10,+V21&amp;V22&amp;$U$20&amp;V20,+V21&amp;V22&amp;V20)</f>
        <v>29:08</v>
      </c>
      <c r="W24" s="9" t="str">
        <f>IF(W20&lt;10,+W21&amp;W22&amp;$U$20&amp;W20,+W21&amp;W22&amp;W20)</f>
        <v>30:52</v>
      </c>
    </row>
    <row r="25" spans="1:15" ht="12.75">
      <c r="A25" s="1" t="s">
        <v>90</v>
      </c>
      <c r="D25" s="7">
        <f>+D18/D23*100</f>
        <v>64.30329886755293</v>
      </c>
      <c r="E25" s="8"/>
      <c r="F25" s="8">
        <f>+F18/F23*100</f>
        <v>64.57636566332219</v>
      </c>
      <c r="H25" s="1" t="s">
        <v>90</v>
      </c>
      <c r="M25" s="7">
        <f>+M18/M23*100</f>
        <v>56.83010262257697</v>
      </c>
      <c r="N25" s="8"/>
      <c r="O25" s="21">
        <f>O18/O23*100</f>
        <v>52.944589498114304</v>
      </c>
    </row>
    <row r="26" spans="5:15" ht="12.75">
      <c r="E26" s="8"/>
      <c r="F26" s="8"/>
      <c r="N26" s="8"/>
      <c r="O26" s="21"/>
    </row>
    <row r="27" spans="1:15" ht="12.75">
      <c r="A27" t="s">
        <v>16</v>
      </c>
      <c r="D27">
        <f>+D8+D12+D16</f>
        <v>832</v>
      </c>
      <c r="E27" s="8">
        <f>+D27/$B$2</f>
        <v>59.42857142857143</v>
      </c>
      <c r="F27" s="8">
        <f>F8+F12+F16</f>
        <v>60.714285714285715</v>
      </c>
      <c r="H27" t="s">
        <v>16</v>
      </c>
      <c r="M27">
        <f>+M8+M12+M16</f>
        <v>873</v>
      </c>
      <c r="N27" s="8">
        <f>+M27/$B$2</f>
        <v>62.357142857142854</v>
      </c>
      <c r="O27" s="21">
        <f>O8+O12+O16</f>
        <v>61.21428571428571</v>
      </c>
    </row>
    <row r="28" spans="1:15" ht="12.75">
      <c r="A28" t="s">
        <v>17</v>
      </c>
      <c r="D28" s="8">
        <f>+D23/D27</f>
        <v>4.882211538461538</v>
      </c>
      <c r="E28" s="8"/>
      <c r="F28" s="8">
        <f>+F23/F27</f>
        <v>4.221176470588235</v>
      </c>
      <c r="G28" s="7"/>
      <c r="H28" s="7" t="s">
        <v>17</v>
      </c>
      <c r="I28" s="7"/>
      <c r="J28" s="7"/>
      <c r="K28" s="7"/>
      <c r="L28" s="7"/>
      <c r="M28" s="8">
        <f>+M23/M27</f>
        <v>5.02290950744559</v>
      </c>
      <c r="N28" s="8"/>
      <c r="O28" s="21">
        <f>+O23/O27</f>
        <v>4.022170361726955</v>
      </c>
    </row>
    <row r="29" spans="5:15" ht="12.75">
      <c r="E29" s="8"/>
      <c r="F29" s="8"/>
      <c r="N29" s="8"/>
      <c r="O29" s="21"/>
    </row>
    <row r="30" spans="1:15" ht="12.75">
      <c r="A30" t="s">
        <v>18</v>
      </c>
      <c r="E30" s="8"/>
      <c r="F30" s="8"/>
      <c r="H30" t="s">
        <v>18</v>
      </c>
      <c r="N30" s="8"/>
      <c r="O30" s="21"/>
    </row>
    <row r="31" spans="1:15" ht="12.75">
      <c r="A31" t="s">
        <v>19</v>
      </c>
      <c r="D31" s="2">
        <f>+NYJ!D31+HOU!D31+BOS!D31+SDC!D31+'@DEN'!D31+OAK!D31+'@HOU'!D31+MIA!D31+'@NYJ'!D31+DEN!D31+'@MIA'!D31+'@KCC'!D31+'@BOS'!D31+'@OAK'!D31+blank1!D31+blank!D31</f>
        <v>27</v>
      </c>
      <c r="E31" s="8">
        <f>+D31/$B$2</f>
        <v>1.9285714285714286</v>
      </c>
      <c r="F31" s="8">
        <f>34/14</f>
        <v>2.4285714285714284</v>
      </c>
      <c r="H31" t="s">
        <v>19</v>
      </c>
      <c r="M31" s="2">
        <f>+NYJ!M31+HOU!M31+BOS!M31+SDC!M31+'@DEN'!M31+OAK!M31+'@HOU'!M31+MIA!M31+'@NYJ'!M31+DEN!M31+'@MIA'!M31+'@KCC'!M31+'@BOS'!M31+'@OAK'!M31+blank1!M31+blank!M31</f>
        <v>38</v>
      </c>
      <c r="N31" s="8">
        <f>+M31/$B$2</f>
        <v>2.7142857142857144</v>
      </c>
      <c r="O31" s="21">
        <f>27/14</f>
        <v>1.9285714285714286</v>
      </c>
    </row>
    <row r="32" spans="1:15" ht="12.75">
      <c r="A32" t="s">
        <v>20</v>
      </c>
      <c r="D32" s="2">
        <f>+NYJ!D32+HOU!D32+BOS!D32+SDC!D32+'@DEN'!D32+OAK!D32+'@HOU'!D32+MIA!D32+'@NYJ'!D32+DEN!D32+'@MIA'!D32+'@KCC'!D32+'@BOS'!D32+'@OAK'!D32+blank1!D32+blank!D32</f>
        <v>498</v>
      </c>
      <c r="E32" s="8"/>
      <c r="F32" s="8">
        <f>554/14</f>
        <v>39.57142857142857</v>
      </c>
      <c r="H32" t="s">
        <v>20</v>
      </c>
      <c r="M32" s="2">
        <f>+NYJ!M32+HOU!M32+BOS!M32+SDC!M32+'@DEN'!M32+OAK!M32+'@HOU'!M32+MIA!M32+'@NYJ'!M32+DEN!M32+'@MIA'!M32+'@KCC'!M32+'@BOS'!M32+'@OAK'!M32+blank1!M32+blank!M32</f>
        <v>413</v>
      </c>
      <c r="N32" s="8"/>
      <c r="O32" s="21">
        <f>401/14</f>
        <v>28.642857142857142</v>
      </c>
    </row>
    <row r="33" spans="1:15" ht="12.75">
      <c r="A33" t="s">
        <v>21</v>
      </c>
      <c r="D33" s="2">
        <f>+NYJ!D33+HOU!D33+BOS!D33+SDC!D33+'@DEN'!D33+OAK!D33+'@HOU'!D33+MIA!D33+'@NYJ'!D33+DEN!D33+'@MIA'!D33+'@KCC'!D33+'@BOS'!D33+'@OAK'!D33+blank1!D33+blank!D33</f>
        <v>4</v>
      </c>
      <c r="E33" s="8"/>
      <c r="F33" s="8">
        <f>2/14</f>
        <v>0.14285714285714285</v>
      </c>
      <c r="H33" t="s">
        <v>21</v>
      </c>
      <c r="M33" s="2">
        <f>+NYJ!M33+HOU!M33+BOS!M33+SDC!M33+'@DEN'!M33+OAK!M33+'@HOU'!M33+MIA!M33+'@NYJ'!M33+DEN!M33+'@MIA'!M33+'@KCC'!M33+'@BOS'!M33+'@OAK'!M33+blank1!M33+blank!M33</f>
        <v>1</v>
      </c>
      <c r="N33" s="8"/>
      <c r="O33" s="21">
        <f>3/14</f>
        <v>0.21428571428571427</v>
      </c>
    </row>
    <row r="34" spans="5:15" ht="12.75">
      <c r="E34" s="8"/>
      <c r="F34" s="8"/>
      <c r="N34" s="8"/>
      <c r="O34" s="21"/>
    </row>
    <row r="35" spans="1:15" ht="12.75">
      <c r="A35" t="s">
        <v>22</v>
      </c>
      <c r="D35" s="2">
        <f>+NYJ!D35+HOU!D35+BOS!D35+SDC!D35+'@DEN'!D35+OAK!D35+'@HOU'!D35+MIA!D35+'@NYJ'!D35+DEN!D35+'@MIA'!D35+'@KCC'!D35+'@BOS'!D35+'@OAK'!D35+blank1!D35+blank!D35</f>
        <v>65</v>
      </c>
      <c r="E35" s="8">
        <f>+D35/$B$2</f>
        <v>4.642857142857143</v>
      </c>
      <c r="F35" s="21">
        <f>77/14</f>
        <v>5.5</v>
      </c>
      <c r="H35" t="s">
        <v>22</v>
      </c>
      <c r="M35" s="2">
        <f>+NYJ!M35+HOU!M35+BOS!M35+SDC!M35+'@DEN'!M35+OAK!M35+'@HOU'!M35+MIA!M35+'@NYJ'!M35+DEN!M35+'@MIA'!M35+'@KCC'!M35+'@BOS'!M35+'@OAK'!M35+blank1!M35+blank!M35</f>
        <v>50</v>
      </c>
      <c r="N35" s="8">
        <f>+M35/$B$2</f>
        <v>3.5714285714285716</v>
      </c>
      <c r="O35" s="21">
        <f>74/14</f>
        <v>5.285714285714286</v>
      </c>
    </row>
    <row r="36" spans="1:15" ht="12.75">
      <c r="A36" t="s">
        <v>23</v>
      </c>
      <c r="D36" s="2">
        <f>+NYJ!D36+HOU!D36+BOS!D36+SDC!D36+'@DEN'!D36+OAK!D36+'@HOU'!D36+MIA!D36+'@NYJ'!D36+DEN!D36+'@MIA'!D36+'@KCC'!D36+'@BOS'!D36+'@OAK'!D36+blank1!D36+blank!D36</f>
        <v>2454</v>
      </c>
      <c r="E36" s="8">
        <f>+D36/$B$2</f>
        <v>175.28571428571428</v>
      </c>
      <c r="F36" s="21">
        <f>3320/14</f>
        <v>237.14285714285714</v>
      </c>
      <c r="H36" t="s">
        <v>23</v>
      </c>
      <c r="M36" s="2">
        <f>+NYJ!M36+HOU!M36+BOS!M36+SDC!M36+'@DEN'!M36+OAK!M36+'@HOU'!M36+MIA!M36+'@NYJ'!M36+DEN!M36+'@MIA'!M36+'@KCC'!M36+'@BOS'!M36+'@OAK'!M36+blank1!M36+blank!M36</f>
        <v>2022</v>
      </c>
      <c r="N36" s="8">
        <f>+M36/$B$2</f>
        <v>144.42857142857142</v>
      </c>
      <c r="O36" s="21">
        <f>3032/14</f>
        <v>216.57142857142858</v>
      </c>
    </row>
    <row r="37" spans="1:15" ht="12.75">
      <c r="A37" t="s">
        <v>24</v>
      </c>
      <c r="D37" s="8">
        <f>+D36/D35</f>
        <v>37.753846153846155</v>
      </c>
      <c r="E37" s="8"/>
      <c r="F37" s="21">
        <f>F36/F35</f>
        <v>43.116883116883116</v>
      </c>
      <c r="G37" s="7"/>
      <c r="H37" s="7" t="s">
        <v>24</v>
      </c>
      <c r="I37" s="7"/>
      <c r="J37" s="7"/>
      <c r="K37" s="7"/>
      <c r="L37" s="7"/>
      <c r="M37" s="8">
        <f>+M36/M35</f>
        <v>40.44</v>
      </c>
      <c r="N37" s="8"/>
      <c r="O37" s="21">
        <f>O36/O35</f>
        <v>40.972972972972975</v>
      </c>
    </row>
    <row r="38" spans="5:15" ht="12.75">
      <c r="E38" s="8"/>
      <c r="F38" s="21"/>
      <c r="N38" s="8"/>
      <c r="O38" s="21"/>
    </row>
    <row r="39" spans="1:15" ht="12.75">
      <c r="A39" t="s">
        <v>25</v>
      </c>
      <c r="D39" s="2">
        <f>+NYJ!D39+HOU!D39+BOS!D39+SDC!D39+'@DEN'!D39+OAK!D39+'@HOU'!D39+MIA!D39+'@NYJ'!D39+DEN!D39+'@MIA'!D39+'@KCC'!D39+'@BOS'!D39+'@OAK'!D39+blank1!D39+blank!D39</f>
        <v>22</v>
      </c>
      <c r="E39" s="8">
        <f>+D39/$B$2</f>
        <v>1.5714285714285714</v>
      </c>
      <c r="F39" s="21">
        <f>47/14</f>
        <v>3.357142857142857</v>
      </c>
      <c r="H39" t="s">
        <v>25</v>
      </c>
      <c r="M39" s="2">
        <f>+NYJ!M39+HOU!M39+BOS!M39+SDC!M39+'@DEN'!M39+OAK!M39+'@HOU'!M39+MIA!M39+'@NYJ'!M39+DEN!M39+'@MIA'!M39+'@KCC'!M39+'@BOS'!M39+'@OAK'!M39+blank1!M39+blank!M39</f>
        <v>40</v>
      </c>
      <c r="N39" s="8">
        <f>+M39/$B$2</f>
        <v>2.857142857142857</v>
      </c>
      <c r="O39" s="21">
        <f>33/14</f>
        <v>2.357142857142857</v>
      </c>
    </row>
    <row r="40" spans="1:15" ht="12.75">
      <c r="A40" t="s">
        <v>26</v>
      </c>
      <c r="D40" s="2">
        <f>+NYJ!D40+HOU!D40+BOS!D40+SDC!D40+'@DEN'!D40+OAK!D40+'@HOU'!D40+MIA!D40+'@NYJ'!D40+DEN!D40+'@MIA'!D40+'@KCC'!D40+'@BOS'!D40+'@OAK'!D40+blank1!D40+blank!D40</f>
        <v>156</v>
      </c>
      <c r="E40" s="8">
        <f>+D40/$B$2</f>
        <v>11.142857142857142</v>
      </c>
      <c r="F40" s="21">
        <f>199/14</f>
        <v>14.214285714285714</v>
      </c>
      <c r="H40" t="s">
        <v>26</v>
      </c>
      <c r="M40" s="2">
        <f>+NYJ!M40+HOU!M40+BOS!M40+SDC!M40+'@DEN'!M40+OAK!M40+'@HOU'!M40+MIA!M40+'@NYJ'!M40+DEN!M40+'@MIA'!M40+'@KCC'!M40+'@BOS'!M40+'@OAK'!M40+blank1!M40+blank!M40</f>
        <v>433</v>
      </c>
      <c r="N40" s="8">
        <f>+M40/$B$2</f>
        <v>30.928571428571427</v>
      </c>
      <c r="O40" s="21">
        <f>301/14</f>
        <v>21.5</v>
      </c>
    </row>
    <row r="41" spans="1:15" ht="12.75">
      <c r="A41" t="s">
        <v>27</v>
      </c>
      <c r="D41" s="8">
        <f>+D40/D39</f>
        <v>7.090909090909091</v>
      </c>
      <c r="E41" s="8"/>
      <c r="F41" s="21">
        <f>F40/F39</f>
        <v>4.234042553191489</v>
      </c>
      <c r="H41" t="s">
        <v>27</v>
      </c>
      <c r="M41" s="8">
        <f>+M40/M39</f>
        <v>10.825</v>
      </c>
      <c r="N41" s="8"/>
      <c r="O41" s="21">
        <f>O40/O39</f>
        <v>9.121212121212121</v>
      </c>
    </row>
    <row r="42" spans="1:15" ht="12.75">
      <c r="A42" t="s">
        <v>28</v>
      </c>
      <c r="D42" s="2">
        <f>+NYJ!D42+HOU!D42+BOS!D42+SDC!D42+'@DEN'!D42+OAK!D42+'@HOU'!D42+MIA!D42+'@NYJ'!D42+DEN!D42+'@MIA'!D42+'@KCC'!D42+'@BOS'!D42+'@OAK'!D42+blank1!D42+blank!D42</f>
        <v>0</v>
      </c>
      <c r="E42" s="8"/>
      <c r="F42" s="21">
        <f>0/14</f>
        <v>0</v>
      </c>
      <c r="H42" t="s">
        <v>28</v>
      </c>
      <c r="M42" s="2">
        <f>+NYJ!M42+HOU!M42+BOS!M42+SDC!M42+'@DEN'!M42+OAK!M42+'@HOU'!M42+MIA!M42+'@NYJ'!M42+DEN!M42+'@MIA'!M42+'@KCC'!M42+'@BOS'!M42+'@OAK'!M42+blank1!M42+blank!M42</f>
        <v>0</v>
      </c>
      <c r="N42" s="8"/>
      <c r="O42" s="21">
        <f>0/14</f>
        <v>0</v>
      </c>
    </row>
    <row r="43" spans="5:15" ht="12.75">
      <c r="E43" s="8"/>
      <c r="F43" s="21"/>
      <c r="N43" s="8"/>
      <c r="O43" s="21"/>
    </row>
    <row r="44" spans="1:15" ht="12.75">
      <c r="A44" t="s">
        <v>30</v>
      </c>
      <c r="D44" s="2">
        <f>+NYJ!D44+HOU!D44+BOS!D44+SDC!D44+'@DEN'!D44+OAK!D44+'@HOU'!D44+MIA!D44+'@NYJ'!D44+DEN!D44+'@MIA'!D44+'@KCC'!D44+'@BOS'!D44+'@OAK'!D44+blank1!D44+blank!D44</f>
        <v>50</v>
      </c>
      <c r="E44" s="8">
        <f>+D44/$B$2</f>
        <v>3.5714285714285716</v>
      </c>
      <c r="F44" s="21">
        <f>51/14</f>
        <v>3.642857142857143</v>
      </c>
      <c r="H44" t="s">
        <v>30</v>
      </c>
      <c r="M44" s="2">
        <f>+NYJ!M44+HOU!M44+BOS!M44+SDC!M44+'@DEN'!M44+OAK!M44+'@HOU'!M44+MIA!M44+'@NYJ'!M44+DEN!M44+'@MIA'!M44+'@KCC'!M44+'@BOS'!M44+'@OAK'!M44+blank1!M44+blank!M44</f>
        <v>49</v>
      </c>
      <c r="N44" s="8">
        <f>+M44/$B$2</f>
        <v>3.5</v>
      </c>
      <c r="O44" s="21">
        <f>56/14</f>
        <v>4</v>
      </c>
    </row>
    <row r="45" spans="1:15" ht="12.75">
      <c r="A45" t="s">
        <v>26</v>
      </c>
      <c r="D45" s="2">
        <f>+NYJ!D45+HOU!D45+BOS!D45+SDC!D45+'@DEN'!D45+OAK!D45+'@HOU'!D45+MIA!D45+'@NYJ'!D45+DEN!D45+'@MIA'!D45+'@KCC'!D45+'@BOS'!D45+'@OAK'!D45+blank1!D45+blank!D45</f>
        <v>1182</v>
      </c>
      <c r="E45" s="8">
        <f>+D45/$B$2</f>
        <v>84.42857142857143</v>
      </c>
      <c r="F45" s="21">
        <f>1113/14</f>
        <v>79.5</v>
      </c>
      <c r="H45" t="s">
        <v>26</v>
      </c>
      <c r="M45" s="2">
        <f>+NYJ!M45+HOU!M45+BOS!M45+SDC!M45+'@DEN'!M45+OAK!M45+'@HOU'!M45+MIA!M45+'@NYJ'!M45+DEN!M45+'@MIA'!M45+'@KCC'!M45+'@BOS'!M45+'@OAK'!M45+blank1!M45+blank!M45</f>
        <v>1235</v>
      </c>
      <c r="N45" s="8">
        <f>+M45/$B$2</f>
        <v>88.21428571428571</v>
      </c>
      <c r="O45" s="21">
        <f>1292/14</f>
        <v>92.28571428571429</v>
      </c>
    </row>
    <row r="46" spans="1:15" ht="12.75">
      <c r="A46" t="s">
        <v>27</v>
      </c>
      <c r="D46" s="8">
        <f>+D45/D44</f>
        <v>23.64</v>
      </c>
      <c r="E46" s="8"/>
      <c r="F46" s="21">
        <f>F45/F44</f>
        <v>21.823529411764707</v>
      </c>
      <c r="H46" t="s">
        <v>27</v>
      </c>
      <c r="M46" s="8">
        <f>+M45/M44</f>
        <v>25.20408163265306</v>
      </c>
      <c r="N46" s="8"/>
      <c r="O46" s="21">
        <f>O45/O44</f>
        <v>23.071428571428573</v>
      </c>
    </row>
    <row r="47" spans="1:15" ht="12.75">
      <c r="A47" t="s">
        <v>28</v>
      </c>
      <c r="D47" s="2">
        <f>+NYJ!D47+HOU!D47+BOS!D47+SDC!D47+'@DEN'!D47+OAK!D47+'@HOU'!D47+MIA!D47+'@NYJ'!D47+DEN!D47+'@MIA'!D47+'@KCC'!D47+'@BOS'!D47+'@OAK'!D47+blank1!D47+blank!D47</f>
        <v>0</v>
      </c>
      <c r="E47" s="8"/>
      <c r="F47" s="21">
        <f>0/14</f>
        <v>0</v>
      </c>
      <c r="H47" t="s">
        <v>28</v>
      </c>
      <c r="M47" s="2">
        <f>+NYJ!M47+HOU!M47+BOS!M47+SDC!M47+'@DEN'!M47+OAK!M47+'@HOU'!M47+MIA!M47+'@NYJ'!M47+DEN!M47+'@MIA'!M47+'@KCC'!M47+'@BOS'!M47+'@OAK'!M47+blank1!M47+blank!M47</f>
        <v>0</v>
      </c>
      <c r="N47" s="8"/>
      <c r="O47" s="21">
        <v>0</v>
      </c>
    </row>
    <row r="48" spans="5:15" ht="12.75">
      <c r="E48" s="8"/>
      <c r="F48" s="8"/>
      <c r="N48" s="8"/>
      <c r="O48" s="21"/>
    </row>
    <row r="49" spans="1:15" ht="12.75">
      <c r="A49" t="s">
        <v>31</v>
      </c>
      <c r="D49" s="2">
        <f>+NYJ!D49+HOU!D49+BOS!D49+SDC!D49+'@DEN'!D49+OAK!D49+'@HOU'!D49+MIA!D49+'@NYJ'!D49+DEN!D49+'@MIA'!D49+'@KCC'!D49+'@BOS'!D49+'@OAK'!D49+blank1!D49+blank!D49</f>
        <v>50</v>
      </c>
      <c r="E49" s="8">
        <f>+D49/$B$2</f>
        <v>3.5714285714285716</v>
      </c>
      <c r="F49" s="21">
        <f>74/14</f>
        <v>5.285714285714286</v>
      </c>
      <c r="H49" t="s">
        <v>31</v>
      </c>
      <c r="M49" s="2">
        <f>+NYJ!M49+HOU!M49+BOS!M49+SDC!M49+'@DEN'!M49+OAK!M49+'@HOU'!M49+MIA!M49+'@NYJ'!M49+DEN!M49+'@MIA'!M49+'@KCC'!M49+'@BOS'!M49+'@OAK'!M49+blank1!M49+blank!M49</f>
        <v>71</v>
      </c>
      <c r="N49" s="8">
        <f>+M49/$B$2</f>
        <v>5.071428571428571</v>
      </c>
      <c r="O49" s="21">
        <f>51/14</f>
        <v>3.642857142857143</v>
      </c>
    </row>
    <row r="50" spans="1:15" ht="12.75">
      <c r="A50" t="s">
        <v>32</v>
      </c>
      <c r="D50" s="2">
        <f>+NYJ!D50+HOU!D50+BOS!D50+SDC!D50+'@DEN'!D50+OAK!D50+'@HOU'!D50+MIA!D50+'@NYJ'!D50+DEN!D50+'@MIA'!D50+'@KCC'!D50+'@BOS'!D50+'@OAK'!D50+blank1!D50+blank!D50</f>
        <v>406</v>
      </c>
      <c r="E50" s="8">
        <f>+D50/$B$2</f>
        <v>29</v>
      </c>
      <c r="F50" s="21">
        <f>828/14</f>
        <v>59.142857142857146</v>
      </c>
      <c r="H50" t="s">
        <v>32</v>
      </c>
      <c r="M50" s="2">
        <f>+NYJ!M50+HOU!M50+BOS!M50+SDC!M50+'@DEN'!M50+OAK!M50+'@HOU'!M50+MIA!M50+'@NYJ'!M50+DEN!M50+'@MIA'!M50+'@KCC'!M50+'@BOS'!M50+'@OAK'!M50+blank1!M50+blank!M50</f>
        <v>575</v>
      </c>
      <c r="N50" s="8">
        <f>+M50/$B$2</f>
        <v>41.07142857142857</v>
      </c>
      <c r="O50" s="21">
        <f>507/14</f>
        <v>36.214285714285715</v>
      </c>
    </row>
    <row r="51" spans="5:15" ht="12.75">
      <c r="E51" s="8"/>
      <c r="F51" s="21"/>
      <c r="N51" s="8"/>
      <c r="O51" s="21"/>
    </row>
    <row r="52" spans="1:15" ht="12.75">
      <c r="A52" t="s">
        <v>33</v>
      </c>
      <c r="D52" s="2">
        <f>+NYJ!D52+HOU!D52+BOS!D52+SDC!D52+'@DEN'!D52+OAK!D52+'@HOU'!D52+MIA!D52+'@NYJ'!D52+DEN!D52+'@MIA'!D52+'@KCC'!D52+'@BOS'!D52+'@OAK'!D52+blank1!D52+blank!D52</f>
        <v>33</v>
      </c>
      <c r="E52" s="8">
        <f>+D52/$B$2</f>
        <v>2.357142857142857</v>
      </c>
      <c r="F52" s="21">
        <f>32/14</f>
        <v>2.2857142857142856</v>
      </c>
      <c r="H52" t="s">
        <v>33</v>
      </c>
      <c r="M52" s="2">
        <f>+NYJ!M52+HOU!M52+BOS!M52+SDC!M52+'@DEN'!M52+OAK!M52+'@HOU'!M52+MIA!M52+'@NYJ'!M52+DEN!M52+'@MIA'!M52+'@KCC'!M52+'@BOS'!M52+'@OAK'!M52+blank1!M52+blank!M52</f>
        <v>33</v>
      </c>
      <c r="N52" s="8">
        <f>+M52/$B$2</f>
        <v>2.357142857142857</v>
      </c>
      <c r="O52" s="21">
        <f>26/14</f>
        <v>1.8571428571428572</v>
      </c>
    </row>
    <row r="53" spans="1:15" ht="12.75">
      <c r="A53" t="s">
        <v>34</v>
      </c>
      <c r="D53" s="2">
        <f>+NYJ!D53+HOU!D53+BOS!D53+SDC!D53+'@DEN'!D53+OAK!D53+'@HOU'!D53+MIA!D53+'@NYJ'!D53+DEN!D53+'@MIA'!D53+'@KCC'!D53+'@BOS'!D53+'@OAK'!D53+blank1!D53+blank!D53</f>
        <v>21</v>
      </c>
      <c r="E53" s="8">
        <f>+D53/$B$2</f>
        <v>1.5</v>
      </c>
      <c r="F53" s="21">
        <f>19/14</f>
        <v>1.3571428571428572</v>
      </c>
      <c r="H53" t="s">
        <v>34</v>
      </c>
      <c r="M53" s="2">
        <f>+NYJ!M53+HOU!M53+BOS!M53+SDC!M53+'@DEN'!M53+OAK!M53+'@HOU'!M53+MIA!M53+'@NYJ'!M53+DEN!M53+'@MIA'!M53+'@KCC'!M53+'@BOS'!M53+'@OAK'!M53+blank1!M53+blank!M53</f>
        <v>27</v>
      </c>
      <c r="N53" s="8">
        <f>+M53/$B$2</f>
        <v>1.9285714285714286</v>
      </c>
      <c r="O53" s="21">
        <f>17/14</f>
        <v>1.2142857142857142</v>
      </c>
    </row>
    <row r="54" spans="1:15" ht="12.75">
      <c r="A54" t="s">
        <v>35</v>
      </c>
      <c r="D54" s="2">
        <f>+NYJ!D54+HOU!D54+BOS!D54+SDC!D54+'@DEN'!D54+OAK!D54+'@HOU'!D54+MIA!D54+'@NYJ'!D54+DEN!D54+'@MIA'!D54+'@KCC'!D54+'@BOS'!D54+'@OAK'!D54+blank1!D54+blank!D54</f>
        <v>0</v>
      </c>
      <c r="E54" s="8">
        <f>+D54/$B$2</f>
        <v>0</v>
      </c>
      <c r="F54" s="21">
        <v>0</v>
      </c>
      <c r="H54" t="s">
        <v>35</v>
      </c>
      <c r="M54" s="2">
        <f>+NYJ!M54+HOU!M54+BOS!M54+SDC!M54+'@DEN'!M54+OAK!M54+'@HOU'!M54+MIA!M54+'@NYJ'!M54+DEN!M54+'@MIA'!M54+'@KCC'!M54+'@BOS'!M54+'@OAK'!M54+blank1!M54+blank!M54</f>
        <v>0</v>
      </c>
      <c r="N54" s="8">
        <f>+M54/$B$2</f>
        <v>0</v>
      </c>
      <c r="O54" s="21">
        <v>0</v>
      </c>
    </row>
    <row r="55" spans="1:15" ht="12.75">
      <c r="A55" t="s">
        <v>36</v>
      </c>
      <c r="D55" s="2">
        <f>+NYJ!D55+HOU!D55+BOS!D55+SDC!D55+'@DEN'!D55+OAK!D55+'@HOU'!D55+MIA!D55+'@NYJ'!D55+DEN!D55+'@MIA'!D55+'@KCC'!D55+'@BOS'!D55+'@OAK'!D55+blank1!D55+blank!D55</f>
        <v>12</v>
      </c>
      <c r="E55" s="8">
        <f>+D55/$B$2</f>
        <v>0.8571428571428571</v>
      </c>
      <c r="F55" s="21">
        <f>13/14</f>
        <v>0.9285714285714286</v>
      </c>
      <c r="H55" t="s">
        <v>36</v>
      </c>
      <c r="M55" s="2">
        <f>+NYJ!M55+HOU!M55+BOS!M55+SDC!M55+'@DEN'!M55+OAK!M55+'@HOU'!M55+MIA!M55+'@NYJ'!M55+DEN!M55+'@MIA'!M55+'@KCC'!M55+'@BOS'!M55+'@OAK'!M55+blank1!M55+blank!M55</f>
        <v>6</v>
      </c>
      <c r="N55" s="8">
        <f>+M55/$B$2</f>
        <v>0.42857142857142855</v>
      </c>
      <c r="O55" s="21">
        <f>9/14</f>
        <v>0.6428571428571429</v>
      </c>
    </row>
    <row r="56" spans="1:15" ht="12.75">
      <c r="A56" s="1" t="s">
        <v>37</v>
      </c>
      <c r="D56" s="2">
        <f>+NYJ!D56+HOU!D56+BOS!D56+SDC!D56+'@DEN'!D56+OAK!D56+'@HOU'!D56+MIA!D56+'@NYJ'!D56+DEN!D56+'@MIA'!D56+'@KCC'!D56+'@BOS'!D56+'@OAK'!D56</f>
        <v>0</v>
      </c>
      <c r="E56" s="8">
        <f>+D56/$B$2</f>
        <v>0</v>
      </c>
      <c r="F56" s="21">
        <v>0</v>
      </c>
      <c r="H56" s="1" t="s">
        <v>37</v>
      </c>
      <c r="M56" s="2">
        <f>+NYJ!M56+HOU!M56+BOS!M56+SDC!M56+'@DEN'!M56+OAK!M56+'@HOU'!M56+MIA!M56+'@NYJ'!M56+DEN!M56+'@MIA'!M56+'@KCC'!M56+'@BOS'!M56+'@OAK'!M56+blank1!M56+blank!M56</f>
        <v>0</v>
      </c>
      <c r="N56" s="8">
        <f>+M56/$B$2</f>
        <v>0</v>
      </c>
      <c r="O56" s="21">
        <v>0</v>
      </c>
    </row>
    <row r="57" spans="5:15" ht="12.75">
      <c r="E57" s="8"/>
      <c r="F57" s="21"/>
      <c r="N57" s="8"/>
      <c r="O57" s="21"/>
    </row>
    <row r="58" spans="1:15" ht="12.75">
      <c r="A58" t="s">
        <v>38</v>
      </c>
      <c r="D58" s="2">
        <f>+NYJ!D58+HOU!D58+BOS!D58+SDC!D58+'@DEN'!D58+OAK!D58+'@HOU'!D58+MIA!D58+'@NYJ'!D58+DEN!D58+'@MIA'!D58+'@KCC'!D58+'@BOS'!D58+'@OAK'!D58+blank1!D58+blank!D58</f>
        <v>245</v>
      </c>
      <c r="E58" s="8">
        <f aca="true" t="shared" si="0" ref="E58:E66">+D58/$B$2</f>
        <v>17.5</v>
      </c>
      <c r="F58" s="21">
        <f>237/14</f>
        <v>16.928571428571427</v>
      </c>
      <c r="H58" t="s">
        <v>38</v>
      </c>
      <c r="M58" s="2">
        <f>+NYJ!M58+HOU!M58+BOS!M58+SDC!M58+'@DEN'!M58+OAK!M58+'@HOU'!M58+MIA!M58+'@NYJ'!M58+DEN!M58+'@MIA'!M58+'@KCC'!M58+'@BOS'!M58+'@OAK'!M58+blank1!M58+blank!M58</f>
        <v>267</v>
      </c>
      <c r="N58" s="8">
        <f aca="true" t="shared" si="1" ref="N58:N66">+M58/$B$2</f>
        <v>19.071428571428573</v>
      </c>
      <c r="O58" s="21">
        <f>285/14</f>
        <v>20.357142857142858</v>
      </c>
    </row>
    <row r="59" spans="1:15" ht="12.75">
      <c r="A59" t="s">
        <v>39</v>
      </c>
      <c r="D59" s="2">
        <f>+NYJ!D59+HOU!D59+BOS!D59+SDC!D59+'@DEN'!D59+OAK!D59+'@HOU'!D59+MIA!D59+'@NYJ'!D59+DEN!D59+'@MIA'!D59+'@KCC'!D59+'@BOS'!D59+'@OAK'!D59+blank1!D59+blank!D59</f>
        <v>30</v>
      </c>
      <c r="E59" s="8">
        <f t="shared" si="0"/>
        <v>2.142857142857143</v>
      </c>
      <c r="F59" s="21">
        <f>F60+F61+F62</f>
        <v>1.8035714285714284</v>
      </c>
      <c r="H59" t="s">
        <v>39</v>
      </c>
      <c r="M59" s="2">
        <f>+NYJ!M59+HOU!M59+BOS!M59+SDC!M59+'@DEN'!M59+OAK!M59+'@HOU'!M59+MIA!M59+'@NYJ'!M59+DEN!M59+'@MIA'!M59+'@KCC'!M59+'@BOS'!M59+'@OAK'!M59+blank1!M59+blank!M59</f>
        <v>30</v>
      </c>
      <c r="N59" s="8">
        <f t="shared" si="1"/>
        <v>2.142857142857143</v>
      </c>
      <c r="O59" s="21">
        <f>33/14</f>
        <v>2.357142857142857</v>
      </c>
    </row>
    <row r="60" spans="1:15" ht="12.75">
      <c r="A60" t="s">
        <v>40</v>
      </c>
      <c r="D60" s="2">
        <f>+NYJ!D60+HOU!D60+BOS!D60+SDC!D60+'@DEN'!D60+OAK!D60+'@HOU'!D60+MIA!D60+'@NYJ'!D60+DEN!D60+'@MIA'!D60+'@KCC'!D60+'@BOS'!D60+'@OAK'!D60+blank1!D60+blank1!D60</f>
        <v>15</v>
      </c>
      <c r="E60" s="8">
        <f t="shared" si="0"/>
        <v>1.0714285714285714</v>
      </c>
      <c r="F60" s="21">
        <f>9/14</f>
        <v>0.6428571428571429</v>
      </c>
      <c r="H60" t="s">
        <v>40</v>
      </c>
      <c r="M60" s="2">
        <f>+NYJ!M60+HOU!M60+BOS!M60+SDC!M60+'@DEN'!M60+OAK!M60+'@HOU'!M60+MIA!M60+'@NYJ'!M60+DEN!M60+'@MIA'!M60+'@KCC'!M60+'@BOS'!M60+'@OAK'!M60+'@BOS'!M60+'@OAK'!M60</f>
        <v>9</v>
      </c>
      <c r="N60" s="8">
        <f t="shared" si="1"/>
        <v>0.6428571428571429</v>
      </c>
      <c r="O60" s="21">
        <f>11/14</f>
        <v>0.7857142857142857</v>
      </c>
    </row>
    <row r="61" spans="1:15" ht="12.75">
      <c r="A61" t="s">
        <v>41</v>
      </c>
      <c r="D61" s="2">
        <f>+NYJ!D61+HOU!D61+BOS!D61+SDC!D61+'@DEN'!D61+OAK!D61+'@HOU'!D61+MIA!D61+'@NYJ'!D61+DEN!D61+'@MIA'!D61+'@KCC'!D61+'@BOS'!D61+'@OAK'!D61+blank1!D61+blank!D61</f>
        <v>13</v>
      </c>
      <c r="E61" s="8">
        <f t="shared" si="0"/>
        <v>0.9285714285714286</v>
      </c>
      <c r="F61" s="21">
        <f>14/16</f>
        <v>0.875</v>
      </c>
      <c r="H61" t="s">
        <v>41</v>
      </c>
      <c r="M61" s="2">
        <f>+NYJ!M61+HOU!M61+BOS!M61+SDC!M61+'@DEN'!M61+OAK!M61+'@HOU'!M61+MIA!M61+'@NYJ'!M61+DEN!M61+'@MIA'!M61+'@KCC'!M61+'@BOS'!M61+'@OAK'!M61+blank1!M61+blank!M61</f>
        <v>18</v>
      </c>
      <c r="N61" s="8">
        <f t="shared" si="1"/>
        <v>1.2857142857142858</v>
      </c>
      <c r="O61" s="21">
        <f>17/14</f>
        <v>1.2142857142857142</v>
      </c>
    </row>
    <row r="62" spans="1:15" ht="12.75">
      <c r="A62" t="s">
        <v>42</v>
      </c>
      <c r="D62" s="2">
        <f>+NYJ!D62+HOU!D62+BOS!D62+SDC!D62+'@DEN'!D62+OAK!D62+'@HOU'!D62+MIA!D62+'@NYJ'!D62+DEN!D62+'@MIA'!D62+'@KCC'!D62+'@BOS'!D62+'@OAK'!D62+blank1!D62+blank!D62</f>
        <v>2</v>
      </c>
      <c r="E62" s="8">
        <f t="shared" si="0"/>
        <v>0.14285714285714285</v>
      </c>
      <c r="F62" s="21">
        <f>4/14</f>
        <v>0.2857142857142857</v>
      </c>
      <c r="H62" t="s">
        <v>42</v>
      </c>
      <c r="M62" s="2">
        <f>+NYJ!M62+HOU!M62+BOS!M62+SDC!M62+'@DEN'!M62+OAK!M62+'@HOU'!M62+MIA!M62+'@NYJ'!M62+DEN!M62+'@MIA'!M62+'@KCC'!M62+'@BOS'!M62+'@OAK'!M62+blank1!M62+blank!M62</f>
        <v>5</v>
      </c>
      <c r="N62" s="8">
        <f t="shared" si="1"/>
        <v>0.35714285714285715</v>
      </c>
      <c r="O62" s="21">
        <f>5/16</f>
        <v>0.3125</v>
      </c>
    </row>
    <row r="63" spans="1:15" ht="12.75">
      <c r="A63" t="s">
        <v>43</v>
      </c>
      <c r="D63" s="2">
        <f>+NYJ!D63+HOU!D63+BOS!D63+SDC!D63+'@DEN'!D63+OAK!D63+'@HOU'!D63+MIA!D63+'@NYJ'!D63+DEN!D63+'@MIA'!D63+'@KCC'!D63+'@BOS'!D63+'@OAK'!D63+blank1!D63+blank!D63</f>
        <v>29</v>
      </c>
      <c r="E63" s="8">
        <f t="shared" si="0"/>
        <v>2.0714285714285716</v>
      </c>
      <c r="F63" s="21">
        <f>50/16</f>
        <v>3.125</v>
      </c>
      <c r="H63" t="s">
        <v>43</v>
      </c>
      <c r="M63" s="2">
        <f>+NYJ!M63+HOU!M63+BOS!M63+SDC!M63+'@DEN'!M63+OAK!M63+'@HOU'!M63+MIA!M63+'@NYJ'!M63+DEN!M63+'@MIA'!M63+'@KCC'!M63+'@BOS'!M63+'@OAK'!M63+blank1!M63+blank!M63</f>
        <v>27</v>
      </c>
      <c r="N63" s="8">
        <f t="shared" si="1"/>
        <v>1.9285714285714286</v>
      </c>
      <c r="O63" s="21">
        <f>32/14</f>
        <v>2.2857142857142856</v>
      </c>
    </row>
    <row r="64" spans="1:15" ht="12.75">
      <c r="A64" t="s">
        <v>44</v>
      </c>
      <c r="D64" s="2">
        <f>+NYJ!D64+HOU!D64+BOS!D64+SDC!D64+'@DEN'!D64+OAK!D64+'@HOU'!D64+MIA!D64+'@NYJ'!D64+DEN!D64+'@MIA'!D64+'@KCC'!D64+'@BOS'!D64+'@OAK'!D64+blank1!D64+blank!D64</f>
        <v>0</v>
      </c>
      <c r="E64" s="8">
        <f t="shared" si="0"/>
        <v>0</v>
      </c>
      <c r="F64" s="21">
        <v>0</v>
      </c>
      <c r="H64" t="s">
        <v>44</v>
      </c>
      <c r="M64" s="2">
        <f>+NYJ!M64+HOU!M64+BOS!M64+SDC!M64+'@DEN'!M64+OAK!M64+'@HOU'!M64+MIA!M64+'@NYJ'!M64+DEN!M64+'@MIA'!M64+'@KCC'!M64+'@BOS'!M64+'@OAK'!M64+blank1!M64+blank!M64</f>
        <v>0</v>
      </c>
      <c r="N64" s="8">
        <f t="shared" si="1"/>
        <v>0</v>
      </c>
      <c r="O64" s="21">
        <f>0/14</f>
        <v>0</v>
      </c>
    </row>
    <row r="65" spans="1:15" ht="12.75">
      <c r="A65" t="s">
        <v>45</v>
      </c>
      <c r="D65" s="2">
        <f>+NYJ!D65+HOU!D65+BOS!D65+SDC!D65+'@DEN'!D65+OAK!D65+'@HOU'!D65+MIA!D65+'@NYJ'!D65+DEN!D65+'@MIA'!D65+'@KCC'!D65+'@BOS'!D65+'@OAK'!D65+blank1!D65+blank!D65</f>
        <v>12</v>
      </c>
      <c r="E65" s="8">
        <f t="shared" si="0"/>
        <v>0.8571428571428571</v>
      </c>
      <c r="F65" s="21">
        <f>16/14</f>
        <v>1.1428571428571428</v>
      </c>
      <c r="H65" t="s">
        <v>45</v>
      </c>
      <c r="M65" s="2">
        <f>+NYJ!M65+HOU!M65+BOS!M65+SDC!M65+'@DEN'!M65+OAK!M65+'@HOU'!M65+MIA!M65+'@NYJ'!M65+DEN!M65+'@MIA'!M65+'@KCC'!M65+'@BOS'!M65+'@OAK'!M65+blank1!M65+blank!M65</f>
        <v>20</v>
      </c>
      <c r="N65" s="8">
        <f t="shared" si="1"/>
        <v>1.4285714285714286</v>
      </c>
      <c r="O65" s="21">
        <f>17/14</f>
        <v>1.2142857142857142</v>
      </c>
    </row>
    <row r="66" spans="1:15" ht="12.75">
      <c r="A66" t="s">
        <v>46</v>
      </c>
      <c r="D66" s="2">
        <f>+NYJ!D66+HOU!D66+BOS!D66+SDC!D66+'@DEN'!D66+OAK!D66+'@HOU'!D66+MIA!D66+'@NYJ'!D66+DEN!D66+'@MIA'!D66+'@KCC'!D66+'@BOS'!D66+'@OAK'!D66</f>
        <v>23</v>
      </c>
      <c r="E66" s="8">
        <f t="shared" si="0"/>
        <v>1.6428571428571428</v>
      </c>
      <c r="F66" s="21">
        <f>27/14</f>
        <v>1.9285714285714286</v>
      </c>
      <c r="H66" t="s">
        <v>46</v>
      </c>
      <c r="M66" s="2">
        <f>+NYJ!M66+HOU!M66+BOS!M66+SDC!M66+'@DEN'!M66+OAK!M66+'@HOU'!M66+MIA!M66+'@NYJ'!M66+DEN!M66+'@MIA'!M66+'@KCC'!M66+'@BOS'!M66+'@OAK'!M66+blank1!M66+blank!M66</f>
        <v>30</v>
      </c>
      <c r="N66" s="8">
        <f t="shared" si="1"/>
        <v>2.142857142857143</v>
      </c>
      <c r="O66" s="21">
        <f>38/14</f>
        <v>2.7142857142857144</v>
      </c>
    </row>
    <row r="67" spans="1:15" ht="12.75">
      <c r="A67" t="s">
        <v>47</v>
      </c>
      <c r="D67" s="8">
        <f>+D65/D66*100</f>
        <v>52.17391304347826</v>
      </c>
      <c r="E67" s="8"/>
      <c r="F67" s="21">
        <f>F65/F66*100</f>
        <v>59.25925925925925</v>
      </c>
      <c r="G67" s="7"/>
      <c r="H67" s="7" t="s">
        <v>47</v>
      </c>
      <c r="I67" s="7"/>
      <c r="J67" s="7"/>
      <c r="K67" s="7"/>
      <c r="L67" s="7"/>
      <c r="M67" s="8">
        <f>+M65/M66*100</f>
        <v>66.66666666666666</v>
      </c>
      <c r="N67" s="8"/>
      <c r="O67" s="21">
        <f>O65/O66*100</f>
        <v>44.73684210526315</v>
      </c>
    </row>
    <row r="68" spans="1:15" ht="12.75">
      <c r="A68" t="s">
        <v>92</v>
      </c>
      <c r="D68" s="10" t="str">
        <f>IF(V20&lt;10,V24,V23)</f>
        <v>29:08</v>
      </c>
      <c r="E68" s="8"/>
      <c r="F68" s="21">
        <v>31.03</v>
      </c>
      <c r="H68" t="s">
        <v>92</v>
      </c>
      <c r="M68" s="10" t="str">
        <f>IF(W20&lt;10,W24,W23)</f>
        <v>30:52</v>
      </c>
      <c r="N68" s="8"/>
      <c r="O68" s="21">
        <v>28.5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2" t="s">
        <v>84</v>
      </c>
    </row>
    <row r="72" spans="1:8" ht="12.75">
      <c r="A72" t="s">
        <v>110</v>
      </c>
      <c r="C72">
        <f>+NYJ!C72+HOU!C72+BOS!C72+SDC!C72+'@DEN'!C72+OAK!C72+'@HOU'!C72+MIA!C72+'@NYJ'!C72+DEN!C72+'@MIA'!C72+'@KCC'!C72+'@BOS'!C72+'@OAK'!C72+blank1!C72+blank!C72</f>
        <v>164</v>
      </c>
      <c r="D72">
        <f>+NYJ!D72+HOU!D72+BOS!D72+SDC!D72+'@DEN'!D72+OAK!D72+'@HOU'!D72+MIA!D72+'@NYJ'!D72+DEN!D72+'@MIA'!D72+'@KCC'!D72+'@BOS'!D72+'@OAK'!D72+blank1!D72+blank!D72</f>
        <v>694</v>
      </c>
      <c r="E72" s="12">
        <f>+D72/C72</f>
        <v>4.2317073170731705</v>
      </c>
      <c r="F72">
        <f>MAX(NYJ!F72,HOU!F72,BOS!F72,SDC!F72,'@DEN'!F72,OAK!F72,'@HOU'!F72,'@NYJ'!F72,DEN!F72,'@MIA'!F72,'@KCC'!F72,'@BOS'!F72,'@OAK'!F72,'@OAK'!F72,blank1!F72,blank!F72,+MIA!F72)</f>
        <v>28</v>
      </c>
      <c r="G72">
        <f>+NYJ!G72+HOU!G72+BOS!G72+SDC!G72+'@DEN'!G72+OAK!G72+'@HOU'!G72+MIA!G72+'@NYJ'!G72+DEN!G72+'@MIA'!G72+'@KCC'!G72+'@BOS'!G72+'@OAK'!G72+blank1!G72+blank!G72</f>
        <v>6</v>
      </c>
      <c r="H72">
        <f>NYJ!H72+HOU!H72+BOS!H72+SDC!H72+'@DEN'!H72+OAK!H72+'@HOU'!H72+MIA!H72+'@NYJ'!H72+DEN!H72+'@MIA'!H72+'@KCC'!H72+'@BOS'!H72+'@OAK'!H72+blank1!H72+blank!H72</f>
        <v>3</v>
      </c>
    </row>
    <row r="73" spans="1:8" ht="12.75">
      <c r="A73" t="s">
        <v>111</v>
      </c>
      <c r="C73">
        <f>+NYJ!C73+HOU!C73+BOS!C73+SDC!C73+'@DEN'!C73+OAK!C73+'@HOU'!C73+MIA!C73+'@NYJ'!C73+DEN!C73+'@MIA'!C73+'@KCC'!C73+'@BOS'!C73+'@OAK'!C73+blank1!C73+blank1!C73</f>
        <v>115</v>
      </c>
      <c r="D73">
        <f>+NYJ!D73+HOU!D73+BOS!D73+SDC!D73+'@DEN'!D73+OAK!D73+'@HOU'!D73+MIA!D73+'@NYJ'!D73+DEN!D73+'@MIA'!D73+'@KCC'!D73+'@BOS'!D73+'@OAK'!D73+blank1!D73+blank!D73</f>
        <v>552</v>
      </c>
      <c r="E73" s="12">
        <f>+D73/C73</f>
        <v>4.8</v>
      </c>
      <c r="F73">
        <f>MAX(NYJ!F73,HOU!F73,BOS!F73,SDC!F73,'@DEN'!F73,OAK!F73,'@HOU'!F73,'@NYJ'!F73,DEN!F73,'@MIA'!F73,'@KCC'!F73,'@BOS'!F73,'@OAK'!F73,blank1!F73,blank!F73,+MIA!F73)</f>
        <v>29</v>
      </c>
      <c r="G73">
        <f>+NYJ!G73+HOU!G73+BOS!G73+SDC!G73+'@DEN'!G73+OAK!G73+'@HOU'!G73+MIA!G73+'@NYJ'!G73+DEN!G73+'@MIA'!G73+'@KCC'!G73+'@BOS'!G73+'@OAK'!G73+blank1!G73+blank!G73</f>
        <v>7</v>
      </c>
      <c r="H73">
        <f>NYJ!H73+HOU!H73+BOS!H73+SDC!H73+'@DEN'!H73+OAK!H73+'@HOU'!H73+MIA!H73+'@NYJ'!H73+DEN!H73+'@MIA'!H73+'@KCC'!H73+'@BOS'!H73+'@OAK'!H73+blank1!H73+blank!H73</f>
        <v>3</v>
      </c>
    </row>
    <row r="74" spans="1:8" ht="12.75">
      <c r="A74" t="s">
        <v>112</v>
      </c>
      <c r="C74">
        <f>+NYJ!C74+HOU!C74+BOS!C74+SDC!C74+'@DEN'!C74+OAK!C74+'@HOU'!C74+MIA!C74+'@NYJ'!C74+DEN!C74+'@MIA'!C74+'@KCC'!C74+'@BOS'!C74+'@OAK'!C74+blank1!C74+blank!C74</f>
        <v>39</v>
      </c>
      <c r="D74">
        <f>+NYJ!D74+HOU!D74+BOS!D74+SDC!D74+'@DEN'!D74+OAK!D74+'@HOU'!D74+MIA!D74+'@NYJ'!D74+DEN!D74+'@MIA'!D74+'@KCC'!D74+'@BOS'!D74+'@OAK'!D74+blank1!D74+blank!D74</f>
        <v>104</v>
      </c>
      <c r="E74" s="12">
        <f>+D74/C74</f>
        <v>2.6666666666666665</v>
      </c>
      <c r="F74">
        <f>MAX(NYJ!F74,HOU!F74,BOS!F74,SDC!F74,'@DEN'!F74,OAK!F74,'@HOU'!F74,'@NYJ'!F74,DEN!F74,'@MIA'!F74,'@KCC'!F74,'@BOS'!F74,'@OAK'!F74,blank1!F74,blank!F74,+MIA!F74)</f>
        <v>35</v>
      </c>
      <c r="G74">
        <f>+NYJ!G74+HOU!G74+BOS!G74+SDC!G74+'@DEN'!G74+OAK!G74+'@HOU'!G74+MIA!G74+'@NYJ'!G74+DEN!G74+'@MIA'!G74+'@KCC'!G74+'@BOS'!G74+'@OAK'!G74+blank1!G74+blank!G74</f>
        <v>0</v>
      </c>
      <c r="H74">
        <f>NYJ!H74+HOU!H74+BOS!H74+SDC!H74+'@DEN'!H74+OAK!H74+'@HOU'!H74+MIA!H74+'@NYJ'!H74+DEN!H74+'@MIA'!H74+'@KCC'!H74+'@BOS'!H74+'@OAK'!H74+blank1!H74+blank!H74</f>
        <v>3</v>
      </c>
    </row>
    <row r="75" spans="1:8" ht="12.75">
      <c r="A75" t="s">
        <v>113</v>
      </c>
      <c r="C75">
        <f>+NYJ!C75+HOU!C75+BOS!C75+SDC!C75+'@DEN'!C75+OAK!C75+'@HOU'!C75+MIA!C75+'@NYJ'!C75+DEN!C75+'@MIA'!C75+'@KCC'!C75+'@BOS'!C75+'@OAK'!C75+blank1!C75+blank!C75</f>
        <v>29</v>
      </c>
      <c r="D75">
        <f>+NYJ!D75+HOU!D75+BOS!D75+SDC!D75+'@DEN'!D75+OAK!D75+'@HOU'!D75+MIA!D75+'@NYJ'!D75+DEN!D75+'@MIA'!D75+'@KCC'!D75+'@BOS'!D75+'@OAK'!D75+blank1!D75+blank!D75</f>
        <v>66</v>
      </c>
      <c r="E75" s="12">
        <f aca="true" t="shared" si="2" ref="E75:E81">+D75/C75</f>
        <v>2.2758620689655173</v>
      </c>
      <c r="F75">
        <f>MAX(NYJ!F75,HOU!F75,BOS!F75,SDC!F75,'@DEN'!F75,OAK!F75,'@HOU'!F75,'@NYJ'!F75,DEN!F75,'@MIA'!F75,'@KCC'!F75,'@BOS'!F75,'@OAK'!F75,blank1!F75,blank!F75,+MIA!F75)</f>
        <v>17</v>
      </c>
      <c r="G75">
        <f>+NYJ!G75+HOU!G75+BOS!G75+SDC!G75+'@DEN'!G75+OAK!G75+'@HOU'!G75+MIA!G75+'@NYJ'!G75+DEN!G75+'@MIA'!G75+'@KCC'!G75+'@BOS'!G75+'@OAK'!G75+blank1!G75+blank!G75</f>
        <v>0</v>
      </c>
      <c r="H75">
        <f>NYJ!H75+HOU!H75+BOS!H75+SDC!H75+'@DEN'!H75+OAK!H75+'@HOU'!H75+MIA!H75+'@NYJ'!H75+DEN!H75+'@MIA'!H75+'@KCC'!H75+'@BOS'!H75+'@OAK'!H75+blank1!H75+blank!H75</f>
        <v>2</v>
      </c>
    </row>
    <row r="76" spans="1:8" ht="12.75">
      <c r="A76" t="s">
        <v>114</v>
      </c>
      <c r="C76">
        <f>+NYJ!C76+HOU!C76+BOS!C76+SDC!C76+'@DEN'!C76+OAK!C76+'@HOU'!C76+MIA!C76+'@NYJ'!C76+DEN!C76+'@MIA'!C76+'@KCC'!C76+'@BOS'!C76+'@OAK'!C76+blank1!C76+blank!C76</f>
        <v>16</v>
      </c>
      <c r="D76">
        <f>+NYJ!D76+HOU!D76+BOS!D76+SDC!D76+'@DEN'!D76+OAK!D76+'@HOU'!D76+MIA!D76+'@NYJ'!D76+DEN!D76+'@MIA'!D76+'@KCC'!D76+'@BOS'!D76+'@OAK'!D76+blank1!D76+blank!D76</f>
        <v>31</v>
      </c>
      <c r="E76" s="12">
        <f t="shared" si="2"/>
        <v>1.9375</v>
      </c>
      <c r="F76">
        <f>+NYJ!F76+HOU!F76+BOS!F76+SDC!F76+'@DEN'!F76+OAK!F76+'@HOU'!F76+MIA!F76+'@NYJ'!F76+DEN!F76+'@MIA'!F76+'@KCC'!F76+'@BOS'!F76+'@OAK'!F76+blank1!F76+blank!F76</f>
        <v>9</v>
      </c>
      <c r="G76">
        <f>+NYJ!G76+HOU!G76+BOS!G76+SDC!G76+'@DEN'!G76+OAK!G76+'@HOU'!G76+MIA!G76+'@NYJ'!G76+DEN!G76+'@MIA'!G76+'@KCC'!G76+'@BOS'!G76+'@OAK'!G76+blank1!G76+blank!G76</f>
        <v>1</v>
      </c>
      <c r="H76">
        <f>NYJ!H76+HOU!H76+BOS!H76+SDC!H76+'@DEN'!H76+OAK!H76+'@HOU'!H76+MIA!H76+'@NYJ'!H76+DEN!H76+'@MIA'!H76+'@KCC'!H76+'@BOS'!H76+'@OAK'!H76+blank1!H76+blank!H76</f>
        <v>0</v>
      </c>
    </row>
    <row r="77" spans="1:8" ht="12.75">
      <c r="A77" t="s">
        <v>115</v>
      </c>
      <c r="C77">
        <f>+NYJ!C77+HOU!C77+BOS!C77+SDC!C77+'@DEN'!C77+OAK!C77+'@HOU'!C77+MIA!C77+'@NYJ'!C77+DEN!C77+'@MIA'!C77+'@KCC'!C77+'@BOS'!C77+'@OAK'!C77+blank1!C77+blank!C77</f>
        <v>7</v>
      </c>
      <c r="D77">
        <f>+NYJ!D77+HOU!D77+BOS!D77+SDC!D77+'@DEN'!D77+OAK!D77+'@HOU'!D77+MIA!D77+'@NYJ'!D77+DEN!D77+'@MIA'!D77+'@KCC'!D77+'@BOS'!D77+'@OAK'!D77+blank1!D77+blank!D77</f>
        <v>7</v>
      </c>
      <c r="E77" s="12">
        <f t="shared" si="2"/>
        <v>1</v>
      </c>
      <c r="F77">
        <f>+NYJ!F77+HOU!F77+BOS!F77+SDC!F77+'@DEN'!F77+OAK!F77+'@HOU'!F77+MIA!F77+'@NYJ'!F77+DEN!F77+'@MIA'!F77+'@KCC'!F77+'@BOS'!F77+'@OAK'!F77+blank1!F77+blank!F77</f>
        <v>6</v>
      </c>
      <c r="G77">
        <f>+NYJ!G77+HOU!G77+BOS!G77+SDC!G77+'@DEN'!G77+OAK!G77+'@HOU'!G77+MIA!G77+'@NYJ'!G77+DEN!G77+'@MIA'!G77+'@KCC'!G77+'@BOS'!G77+'@OAK'!G77+blank1!G77+blank!G77</f>
        <v>1</v>
      </c>
      <c r="H77">
        <f>NYJ!H77+HOU!H77+BOS!H77+SDC!H77+'@DEN'!H77+OAK!H77+'@HOU'!H77+MIA!H77+'@NYJ'!H77+DEN!H77+'@MIA'!H77+'@KCC'!H77+'@BOS'!H77+'@OAK'!H77+blank1!H77+blank!H77</f>
        <v>0</v>
      </c>
    </row>
    <row r="78" spans="1:8" ht="12.75">
      <c r="A78" t="s">
        <v>116</v>
      </c>
      <c r="C78">
        <f>+NYJ!C78+HOU!C78+BOS!C78+SDC!C78+'@DEN'!C78+OAK!C78+'@HOU'!C78+MIA!C78+'@NYJ'!C78+DEN!C78+'@MIA'!C78+'@KCC'!C78+'@BOS'!C78+'@OAK'!C78+blank1!C78+blank!C78</f>
        <v>0</v>
      </c>
      <c r="D78">
        <f>+NYJ!D78+HOU!D78+BOS!D78+SDC!D78+'@DEN'!D78+OAK!D78+'@HOU'!D78+MIA!D78+'@NYJ'!D78+DEN!D78+'@MIA'!D78+'@KCC'!D78+'@BOS'!D78+'@OAK'!D78+blank1!D78+blank!D78</f>
        <v>0</v>
      </c>
      <c r="E78" s="12" t="e">
        <f t="shared" si="2"/>
        <v>#DIV/0!</v>
      </c>
      <c r="F78">
        <f>+NYJ!F78+HOU!F78+BOS!F78+SDC!F78+'@DEN'!F78+OAK!F78+'@HOU'!F78+MIA!F78+'@NYJ'!F78+DEN!F78+'@MIA'!F78+'@KCC'!F78+'@BOS'!F78+'@OAK'!F78+blank1!F78+blank!F78</f>
        <v>0</v>
      </c>
      <c r="G78">
        <f>+NYJ!G78+HOU!G78+BOS!G78+SDC!G78+'@DEN'!G78+OAK!G78+'@HOU'!G78+MIA!G78+'@NYJ'!G78+DEN!G78+'@MIA'!G78+'@KCC'!G78+'@BOS'!G78+'@OAK'!G78+blank1!G78+blank!G78</f>
        <v>0</v>
      </c>
      <c r="H78">
        <f>NYJ!H78+HOU!H78+BOS!H78+SDC!H78+'@DEN'!H78+OAK!H78+'@HOU'!H78+MIA!H78+'@NYJ'!H78+DEN!H78+'@MIA'!H78+'@KCC'!H78+'@BOS'!H78+'@OAK'!H78+blank1!H78+blank!H78</f>
        <v>0</v>
      </c>
    </row>
    <row r="79" spans="1:5" ht="12.75">
      <c r="A79" t="s">
        <v>117</v>
      </c>
      <c r="E79" s="12" t="e">
        <f t="shared" si="2"/>
        <v>#DIV/0!</v>
      </c>
    </row>
    <row r="80" spans="1:5" ht="12.75">
      <c r="A80" t="s">
        <v>124</v>
      </c>
      <c r="E80" s="12" t="e">
        <f t="shared" si="2"/>
        <v>#DIV/0!</v>
      </c>
    </row>
    <row r="81" ht="12.75">
      <c r="E81" s="12" t="e">
        <f t="shared" si="2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8" ht="12.75">
      <c r="A86" t="s">
        <v>110</v>
      </c>
      <c r="C86">
        <f>+NYJ!C86+HOU!C86+BOS!C86+SDC!C86+'@DEN'!C86+OAK!C86+'@HOU'!C86+MIA!C86+'@NYJ'!C86+DEN!C86+'@MIA'!C86+'@KCC'!C86+'@BOS'!C86+'@OAK'!C86+blank1!C86+blank!C86</f>
        <v>26</v>
      </c>
      <c r="D86">
        <f>+NYJ!D86+HOU!D86+BOS!D86+SDC!D86+'@DEN'!D86+OAK!D86+'@HOU'!D86+MIA!D86+'@NYJ'!D86+DEN!D86+'@MIA'!D86+'@KCC'!D86+'@BOS'!D86+'@OAK'!D86+blank1!D86+blank!D86</f>
        <v>266</v>
      </c>
      <c r="E86" s="12">
        <f aca="true" t="shared" si="3" ref="E86:E97">+D86/C86</f>
        <v>10.23076923076923</v>
      </c>
      <c r="F86">
        <f>MAX(NYJ!F86,HOU!F86,BOS!F86,SDC!F86,'@DEN'!F86,OAK!F86,'@HOU'!F86,'@NYJ'!F86,DEN!F86,'@MIA'!F86,'@KCC'!F86,'@BOS'!F86,'@OAK'!F86,blank1!F86,blank!F86,+MIA!F86)</f>
        <v>31</v>
      </c>
      <c r="G86">
        <f>+NYJ!G86+HOU!G86+BOS!G86+SDC!G86+'@DEN'!G86+OAK!G86+'@HOU'!G86+MIA!G86+'@NYJ'!G86+DEN!G86+'@MIA'!G86+'@KCC'!G86+'@BOS'!G86+'@OAK'!G86+blank1!G86+blank!G86</f>
        <v>3</v>
      </c>
      <c r="H86">
        <f>+NYJ!H86+HOU!H86+BOS!H86+SDC!H86+'@DEN'!H86+OAK!H86+'@HOU'!H86+MIA!H86+'@NYJ'!H86+DEN!H86+'@MIA'!H86+'@KCC'!H86+'@BOS'!H86+'@OAK'!H86+blank1!H86+blank!H86</f>
        <v>1</v>
      </c>
    </row>
    <row r="87" spans="1:8" ht="12.75">
      <c r="A87" t="s">
        <v>111</v>
      </c>
      <c r="C87">
        <f>+NYJ!C87+HOU!C87+BOS!C87+SDC!C87+'@DEN'!C87+OAK!C87+'@HOU'!C87+MIA!C87+'@NYJ'!C87+DEN!C87+'@MIA'!C87+'@KCC'!C87+'@BOS'!C87+'@OAK'!C87+blank1!C87+blank!C87</f>
        <v>14</v>
      </c>
      <c r="D87">
        <f>+NYJ!D87+HOU!D87+BOS!D87+SDC!D87+'@DEN'!D87+OAK!D87+'@HOU'!D87+MIA!D87+'@NYJ'!D87+DEN!D87+'@MIA'!D87+'@KCC'!D87+'@BOS'!D87+'@OAK'!D87+blank1!D87+blank!D87</f>
        <v>133</v>
      </c>
      <c r="E87" s="12">
        <f t="shared" si="3"/>
        <v>9.5</v>
      </c>
      <c r="F87">
        <f>MAX(NYJ!F87,HOU!F87,BOS!F87,SDC!F87,'@DEN'!F87,OAK!F87,'@HOU'!F87,'@NYJ'!F87,DEN!F87,'@MIA'!F87,'@KCC'!F87,'@BOS'!F87,'@OAK'!F87,blank1!F87,blank!F87,+MIA!F87)</f>
        <v>33</v>
      </c>
      <c r="G87">
        <f>+NYJ!G87+HOU!G87+BOS!G87+SDC!G87+'@DEN'!G87+OAK!G87+'@HOU'!G87+MIA!G87+'@NYJ'!G87+DEN!G87+'@MIA'!G87+'@KCC'!G87+'@BOS'!G87+'@OAK'!G87+blank1!G87+blank!G87</f>
        <v>0</v>
      </c>
      <c r="H87">
        <f>+NYJ!H87+HOU!H87+BOS!H87+SDC!H87+'@DEN'!H87+OAK!H87+'@HOU'!H87+MIA!H87+'@NYJ'!H87+DEN!H87+'@MIA'!H87+'@KCC'!H87+'@BOS'!H87+'@OAK'!H87+blank1!H87+blank!H87</f>
        <v>0</v>
      </c>
    </row>
    <row r="88" spans="1:8" ht="12.75">
      <c r="A88" t="s">
        <v>112</v>
      </c>
      <c r="C88">
        <f>+NYJ!C88+HOU!C88+BOS!C88+SDC!C88+'@DEN'!C88+OAK!C88+'@HOU'!C88+MIA!C88+'@NYJ'!C88+DEN!C88+'@MIA'!C88+'@KCC'!C88+'@BOS'!C88+'@OAK'!C88+blank1!C88+blank!C88</f>
        <v>9</v>
      </c>
      <c r="D88">
        <f>+NYJ!D88+HOU!D88+BOS!D88+SDC!D88+'@DEN'!D88+OAK!D88+'@HOU'!D88+MIA!D88+'@NYJ'!D88+DEN!D88+'@MIA'!D88+'@KCC'!D88+'@BOS'!D88+'@OAK'!D88+blank1!D88+blank!D88</f>
        <v>77</v>
      </c>
      <c r="E88" s="12">
        <f t="shared" si="3"/>
        <v>8.555555555555555</v>
      </c>
      <c r="F88">
        <f>MAX(NYJ!F88,HOU!F88,BOS!F88,SDC!F88,'@DEN'!F88,OAK!F88,'@HOU'!F88,'@NYJ'!F88,DEN!F88,'@MIA'!F88,'@KCC'!F88,'@BOS'!F88,'@OAK'!F88,blank1!F88,blank!F88,+MIA!F88)</f>
        <v>23</v>
      </c>
      <c r="G88">
        <f>+NYJ!G88+HOU!G88+BOS!G88+SDC!G88+'@DEN'!G88+OAK!G88+'@HOU'!G88+MIA!G88+'@NYJ'!G88+DEN!G88+'@MIA'!G88+'@KCC'!G88+'@BOS'!G88+'@OAK'!G88+blank1!G88+blank!G88</f>
        <v>0</v>
      </c>
      <c r="H88">
        <f>+NYJ!H88+HOU!H88+BOS!H88+SDC!H88+'@DEN'!H88+OAK!H88+'@HOU'!H88+MIA!H88+'@NYJ'!H88+DEN!H88+'@MIA'!H88+'@KCC'!H88+'@BOS'!H88+'@OAK'!H88+blank1!H88+blank!H88</f>
        <v>0</v>
      </c>
    </row>
    <row r="89" spans="1:8" ht="12.75">
      <c r="A89" t="s">
        <v>115</v>
      </c>
      <c r="C89">
        <f>+NYJ!C89+HOU!C89+BOS!C89+SDC!C89+'@DEN'!C89+OAK!C89+'@HOU'!C89+MIA!C89+'@NYJ'!C89+DEN!C89+'@MIA'!C89+'@KCC'!C89+'@BOS'!C89+'@OAK'!C89+blank1!C89+blank!C89</f>
        <v>3</v>
      </c>
      <c r="D89">
        <f>+NYJ!D89+HOU!D89+BOS!D89+SDC!D89+'@DEN'!D89+OAK!D89+'@HOU'!D89+MIA!D89+'@NYJ'!D89+DEN!D89+'@MIA'!D89+'@KCC'!D89+'@BOS'!D89+'@OAK'!D89+blank1!D89+blank!D89</f>
        <v>20</v>
      </c>
      <c r="E89" s="12">
        <f t="shared" si="3"/>
        <v>6.666666666666667</v>
      </c>
      <c r="F89">
        <f>MAX(NYJ!F89,HOU!F89,BOS!F89,SDC!F89,'@DEN'!F89,OAK!F89,'@HOU'!F89,'@NYJ'!F89,DEN!F89,'@MIA'!F89,'@KCC'!F89,'@BOS'!F89,'@OAK'!F89,blank1!F89,blank!F89,+MIA!F89)</f>
        <v>11</v>
      </c>
      <c r="G89">
        <f>+NYJ!G89+HOU!G89+BOS!G89+SDC!G89+'@DEN'!G89+OAK!G89+'@HOU'!G89+MIA!G89+'@NYJ'!G89+DEN!G89+'@MIA'!G89+'@KCC'!G89+'@BOS'!G89+'@OAK'!G89+blank1!G89+blank!G89</f>
        <v>0</v>
      </c>
      <c r="H89">
        <f>+NYJ!H89+HOU!H89+BOS!H89+SDC!H89+'@DEN'!H89+OAK!H89+'@HOU'!H89+MIA!H89+'@NYJ'!H89+DEN!H89+'@MIA'!H89+'@KCC'!H89+'@BOS'!H89+'@OAK'!H89+blank1!H89+blank!H89</f>
        <v>0</v>
      </c>
    </row>
    <row r="90" spans="1:8" ht="12.75">
      <c r="A90" t="s">
        <v>116</v>
      </c>
      <c r="C90">
        <f>+NYJ!C90+HOU!C90+BOS!C90+SDC!C90+'@DEN'!C90+OAK!C90+'@HOU'!C90+MIA!C90+'@NYJ'!C90+DEN!C90+'@MIA'!C90+'@KCC'!C90+'@BOS'!C90+'@OAK'!C90+blank1!C90+blank!C90</f>
        <v>0</v>
      </c>
      <c r="D90">
        <f>+NYJ!D90+HOU!D90+BOS!D90+SDC!D90+'@DEN'!D90+OAK!D90+'@HOU'!D90+MIA!D90+'@NYJ'!D90+DEN!D90+'@MIA'!D90+'@KCC'!D90+'@BOS'!D90+'@OAK'!D90+blank1!D90+blank!D90</f>
        <v>0</v>
      </c>
      <c r="E90" s="12" t="e">
        <f t="shared" si="3"/>
        <v>#DIV/0!</v>
      </c>
      <c r="F90">
        <f>MAX(NYJ!F90,HOU!F90,BOS!F90,SDC!F90,'@DEN'!F90,OAK!F90,'@HOU'!F90,'@NYJ'!F90,DEN!F90,'@MIA'!F90,'@KCC'!F90,'@BOS'!F90,'@OAK'!F90,blank1!F90,blank!F90,+MIA!F90)</f>
        <v>0</v>
      </c>
      <c r="G90">
        <f>+NYJ!G90+HOU!G90+BOS!G90+SDC!G90+'@DEN'!G90+OAK!G90+'@HOU'!G90+MIA!G90+'@NYJ'!G90+DEN!G90+'@MIA'!G90+'@KCC'!G90+'@BOS'!G90+'@OAK'!G90+blank1!G90+blank!G90</f>
        <v>0</v>
      </c>
      <c r="H90">
        <f>+NYJ!H90+HOU!H90+BOS!H90+SDC!H90+'@DEN'!H90+OAK!H90+'@HOU'!H90+MIA!H90+'@NYJ'!H90+DEN!H90+'@MIA'!H90+'@KCC'!H90+'@BOS'!H90+'@OAK'!H90+blank1!H90+blank!H90</f>
        <v>0</v>
      </c>
    </row>
    <row r="91" spans="1:8" ht="12.75">
      <c r="A91" t="s">
        <v>117</v>
      </c>
      <c r="C91">
        <f>+NYJ!C91+HOU!C91+BOS!C91+SDC!C91+'@DEN'!C91+OAK!C91+'@HOU'!C91+MIA!C91+'@NYJ'!C91+DEN!C91+'@MIA'!C91+'@KCC'!C91+'@BOS'!C91+'@OAK'!C91+blank1!C91+blank!C91</f>
        <v>43</v>
      </c>
      <c r="D91">
        <f>+NYJ!D91+HOU!D91+BOS!D91+SDC!D91+'@DEN'!D91+OAK!D91+'@HOU'!D91+MIA!D91+'@NYJ'!D91+DEN!D91+'@MIA'!D91+'@KCC'!D91+'@BOS'!D91+'@OAK'!D91+blank1!D91+blank!D91</f>
        <v>798</v>
      </c>
      <c r="E91" s="12">
        <f t="shared" si="3"/>
        <v>18.558139534883722</v>
      </c>
      <c r="F91">
        <f>MAX(NYJ!F91,HOU!F91,BOS!F91,SDC!F91,'@DEN'!F91,OAK!F91,'@HOU'!F91,'@NYJ'!F91,DEN!F91,'@MIA'!F91,'@KCC'!F91,'@BOS'!F91,'@OAK'!F91,blank1!F91,blank!F91,+MIA!F91)</f>
        <v>50</v>
      </c>
      <c r="G91">
        <f>+NYJ!G91+HOU!G91+BOS!G91+SDC!G91+'@DEN'!G91+OAK!G91+'@HOU'!G91+MIA!G91+'@NYJ'!G91+DEN!G91+'@MIA'!G91+'@KCC'!G91+'@BOS'!G91+'@OAK'!G91+blank1!G91+blank!G91</f>
        <v>2</v>
      </c>
      <c r="H91">
        <f>+NYJ!H91+HOU!H91+BOS!H91+SDC!H91+'@DEN'!H91+OAK!H91+'@HOU'!H91+MIA!H91+'@NYJ'!H91+DEN!H91+'@MIA'!H91+'@KCC'!H91+'@BOS'!H91+'@OAK'!H91+blank1!H91+blank!H91</f>
        <v>1</v>
      </c>
    </row>
    <row r="92" spans="1:8" ht="12.75">
      <c r="A92" t="s">
        <v>118</v>
      </c>
      <c r="C92">
        <f>+NYJ!C92+HOU!C92+BOS!C92+SDC!C92+'@DEN'!C92+OAK!C92+'@HOU'!C92+MIA!C92+'@NYJ'!C92+DEN!C92+'@MIA'!C92+'@KCC'!C92+'@BOS'!C92+'@OAK'!C92+blank1!C92+blank!C92</f>
        <v>38</v>
      </c>
      <c r="D92">
        <f>+NYJ!D92+HOU!D92+BOS!D92+SDC!D92+'@DEN'!D92+OAK!D92+'@HOU'!D92+MIA!D92+'@NYJ'!D92+DEN!D92+'@MIA'!D92+'@KCC'!D92+'@BOS'!D92+'@OAK'!D92+blank1!D92+blank!D92</f>
        <v>600</v>
      </c>
      <c r="E92" s="12">
        <f t="shared" si="3"/>
        <v>15.789473684210526</v>
      </c>
      <c r="F92">
        <f>MAX(NYJ!F92,HOU!F92,BOS!F92,SDC!F92,'@DEN'!F92,OAK!F92,'@HOU'!F92,'@NYJ'!F92,DEN!F92,'@MIA'!F92,'@KCC'!F92,'@BOS'!F92,'@OAK'!F92,blank1!F92,blank!F92,+MIA!F92)</f>
        <v>50</v>
      </c>
      <c r="G92">
        <f>+NYJ!G92+HOU!G92+BOS!G92+SDC!G92+'@DEN'!G92+OAK!G92+'@HOU'!G92+MIA!G92+'@NYJ'!G92+DEN!G92+'@MIA'!G92+'@KCC'!G92+'@BOS'!G92+'@OAK'!G92+blank1!G92+blank!G92</f>
        <v>3</v>
      </c>
      <c r="H92">
        <f>+NYJ!H92+HOU!H92+BOS!H92+SDC!H92+'@DEN'!H92+OAK!H92+'@HOU'!H92+MIA!H92+'@NYJ'!H92+DEN!H92+'@MIA'!H92+'@KCC'!H92+'@BOS'!H92+'@OAK'!H92+blank1!H92+blank!H92</f>
        <v>0</v>
      </c>
    </row>
    <row r="93" spans="1:8" ht="12.75">
      <c r="A93" t="s">
        <v>119</v>
      </c>
      <c r="C93">
        <f>+NYJ!C93+HOU!C93+BOS!C93+SDC!C93+'@DEN'!C93+OAK!C93+'@HOU'!C93+MIA!C93+'@NYJ'!C93+DEN!C93+'@MIA'!C93+'@KCC'!C93+'@BOS'!C93+'@OAK'!C93+blank1!C93+blank!C93</f>
        <v>37</v>
      </c>
      <c r="D93">
        <f>+NYJ!D93+HOU!D93+BOS!D93+SDC!D93+'@DEN'!D93+OAK!D93+'@HOU'!D93+MIA!D93+'@NYJ'!D93+DEN!D93+'@MIA'!D93+'@KCC'!D93+'@BOS'!D93+'@OAK'!D93+blank1!D93+blank!D93</f>
        <v>384</v>
      </c>
      <c r="E93" s="12">
        <f t="shared" si="3"/>
        <v>10.378378378378379</v>
      </c>
      <c r="F93">
        <f>MAX(NYJ!F93,HOU!F93,BOS!F93,SDC!F93,'@DEN'!F93,OAK!F93,'@HOU'!F93,'@NYJ'!F93,DEN!F93,'@MIA'!F93,'@KCC'!F93,'@BOS'!F93,'@OAK'!F93,blank1!F93,blank!F93,+MIA!F93)</f>
        <v>50</v>
      </c>
      <c r="G93">
        <f>+NYJ!G93+HOU!G93+BOS!G93+SDC!G93+'@DEN'!G93+OAK!G93+'@HOU'!G93+MIA!G93+'@NYJ'!G93+DEN!G93+'@MIA'!G93+'@KCC'!G93+'@BOS'!G93+'@OAK'!G93+blank1!G93+blank!G93</f>
        <v>2</v>
      </c>
      <c r="H93">
        <f>+NYJ!H93+HOU!H93+BOS!H93+SDC!H93+'@DEN'!H93+OAK!H93+'@HOU'!H93+MIA!H93+'@NYJ'!H93+DEN!H93+'@MIA'!H93+'@KCC'!H93+'@BOS'!H93+'@OAK'!H93+blank1!H93+blank!H93</f>
        <v>4</v>
      </c>
    </row>
    <row r="94" spans="1:8" ht="12.75">
      <c r="A94" t="s">
        <v>120</v>
      </c>
      <c r="C94">
        <f>+NYJ!C94+HOU!C94+BOS!C94+SDC!C94+'@DEN'!C94+OAK!C94+'@HOU'!C94+MIA!C94+'@NYJ'!C94+DEN!C94+'@MIA'!C94+'@KCC'!C94+'@BOS'!C94+'@OAK'!C94+blank1!C94+blank!C94</f>
        <v>26</v>
      </c>
      <c r="D94">
        <f>+NYJ!D94+HOU!D94+BOS!D94+SDC!D94+'@DEN'!D94+OAK!D94+'@HOU'!D94+MIA!D94+'@NYJ'!D94+DEN!D94+'@MIA'!D94+'@KCC'!D94+'@BOS'!D94+'@OAK'!D94+blank1!D94+blank!D94</f>
        <v>415</v>
      </c>
      <c r="E94" s="12">
        <f t="shared" si="3"/>
        <v>15.961538461538462</v>
      </c>
      <c r="F94">
        <f>+NYJ!F94+HOU!F94+BOS!F94+SDC!F94+'@DEN'!F94+OAK!F94+'@HOU'!F94+MIA!F94+'@NYJ'!F94+DEN!F94+'@MIA'!F94+'@KCC'!F94+'@BOS'!F94+'@OAK'!F94+blank1!F94+blank!F94</f>
        <v>181</v>
      </c>
      <c r="G94">
        <f>+NYJ!G94+HOU!G94+BOS!G94+SDC!G94+'@DEN'!G94+OAK!G94+'@HOU'!G94+MIA!G94+'@NYJ'!G94+DEN!G94+'@MIA'!G94+'@KCC'!G94+'@BOS'!G94+'@OAK'!G94+blank1!G94+blank!G94</f>
        <v>2</v>
      </c>
      <c r="H94">
        <f>+NYJ!H94+HOU!H94+BOS!H94+SDC!H94+'@DEN'!H94+OAK!H94+'@HOU'!H94+MIA!H94+'@NYJ'!H94+DEN!H94+'@MIA'!H94+'@KCC'!H94+'@BOS'!H94+'@OAK'!H94+blank1!H94+blank!H94</f>
        <v>1</v>
      </c>
    </row>
    <row r="95" spans="1:8" ht="12.75">
      <c r="A95" t="s">
        <v>121</v>
      </c>
      <c r="C95">
        <f>+NYJ!C95+HOU!C95+BOS!C95+SDC!C95+'@DEN'!C95+OAK!C95+'@HOU'!C95+MIA!C95+'@NYJ'!C95+DEN!C95+'@MIA'!C95+'@KCC'!C95+'@BOS'!C95+'@OAK'!C95+blank1!C95+blank!C95</f>
        <v>9</v>
      </c>
      <c r="D95">
        <f>+NYJ!D95+HOU!D95+BOS!D95+SDC!D95+'@DEN'!D95+OAK!D95+'@HOU'!D95+MIA!D95+'@NYJ'!D95+DEN!D95+'@MIA'!D95+'@KCC'!D95+'@BOS'!D95+'@OAK'!D95+blank1!D95+blank!D95</f>
        <v>227</v>
      </c>
      <c r="E95" s="12">
        <f t="shared" si="3"/>
        <v>25.22222222222222</v>
      </c>
      <c r="F95">
        <f>+NYJ!F95+HOU!F95+BOS!F95+SDC!F95+'@DEN'!F95+OAK!F95+'@HOU'!F95+MIA!F95+'@NYJ'!F95+DEN!F95+'@MIA'!F95+'@KCC'!F95+'@BOS'!F95+'@OAK'!F95+blank1!F95+blank!F95</f>
        <v>154</v>
      </c>
      <c r="G95">
        <f>+NYJ!G95+HOU!G95+BOS!G95+SDC!G95+'@DEN'!G95+OAK!G95+'@HOU'!G95+MIA!G95+'@NYJ'!G95+DEN!G95+'@MIA'!G95+'@KCC'!G95+'@BOS'!G95+'@OAK'!G95+blank1!G95+blank!G95</f>
        <v>1</v>
      </c>
      <c r="H95">
        <f>+NYJ!H95+HOU!H95+BOS!H95+SDC!H95+'@DEN'!H95+OAK!H95+'@HOU'!H95+MIA!H95+'@NYJ'!H95+DEN!H95+'@MIA'!H95+'@KCC'!H95+'@BOS'!H95+'@OAK'!H95+blank1!H95+blank!H95</f>
        <v>3</v>
      </c>
    </row>
    <row r="96" spans="1:8" ht="12.75">
      <c r="A96" t="s">
        <v>122</v>
      </c>
      <c r="C96">
        <f>+NYJ!C96+HOU!C96+BOS!C96+SDC!C96+'@DEN'!C96+OAK!C96+'@HOU'!C96+MIA!C96+'@NYJ'!C96+DEN!C96+'@MIA'!C96+'@KCC'!C96+'@BOS'!C96+'@OAK'!C96+blank1!C96+blank!C96</f>
        <v>4</v>
      </c>
      <c r="D96">
        <f>+NYJ!D96+HOU!D96+BOS!D96+SDC!D96+'@DEN'!D96+OAK!D96+'@HOU'!D96+MIA!D96+'@NYJ'!D96+DEN!D96+'@MIA'!D96+'@KCC'!D96+'@BOS'!D96+'@OAK'!D96+blank1!D96+blank!D96</f>
        <v>51</v>
      </c>
      <c r="E96" s="12">
        <f t="shared" si="3"/>
        <v>12.75</v>
      </c>
      <c r="F96">
        <f>+NYJ!F96+HOU!F96+BOS!F96+SDC!F96+'@DEN'!F96+OAK!F96+'@HOU'!F96+MIA!F96+'@NYJ'!F96+DEN!F96+'@MIA'!F96+'@KCC'!F96+'@BOS'!F96+'@OAK'!F96+blank1!F96+blank!F9</f>
        <v>23</v>
      </c>
      <c r="G96">
        <f>+NYJ!G96+HOU!G96+BOS!G96+SDC!G96+'@DEN'!G96+OAK!G96+'@HOU'!G96+MIA!G96+'@NYJ'!G96+DEN!G96+'@MIA'!G96+'@KCC'!G96+'@BOS'!G96+'@OAK'!G96+blank1!G96+blank!G96</f>
        <v>0</v>
      </c>
      <c r="H96">
        <f>+NYJ!H96+HOU!H96+BOS!H96+SDC!H96+'@DEN'!H96+OAK!H96+'@HOU'!H96+MIA!H96+'@NYJ'!H96+DEN!H96+'@MIA'!H96+'@KCC'!H96+'@BOS'!H96+'@OAK'!H96+blank1!H96+blank!H96</f>
        <v>0</v>
      </c>
    </row>
    <row r="97" spans="1:8" ht="12.75">
      <c r="A97" t="s">
        <v>123</v>
      </c>
      <c r="C97">
        <f>+NYJ!C97+HOU!C97+BOS!C97+SDC!C97+'@DEN'!C97+OAK!C97+'@HOU'!C97+MIA!C97+'@NYJ'!C97+DEN!C97+'@MIA'!C97+'@KCC'!C97+'@BOS'!C97+'@OAK'!C97+blank1!C97+blank!C97</f>
        <v>0</v>
      </c>
      <c r="D97">
        <f>+NYJ!D97+HOU!D97+BOS!D97+SDC!D97+'@DEN'!D97+OAK!D97+'@HOU'!D97+MIA!D97+'@NYJ'!D97+DEN!D97+'@MIA'!D97+'@KCC'!D97+'@BOS'!D97+'@OAK'!D97+blank1!D97+blank!D97</f>
        <v>0</v>
      </c>
      <c r="E97" s="12" t="e">
        <f t="shared" si="3"/>
        <v>#DIV/0!</v>
      </c>
      <c r="F97">
        <f>+NYJ!F97+HOU!F97+BOS!F97+SDC!F97+'@DEN'!F97+OAK!F97+'@HOU'!F97+MIA!F97+'@NYJ'!F97+DEN!F97+'@MIA'!F97+'@KCC'!F97+'@BOS'!F97+'@OAK'!F97+blank1!F97+blank!F10</f>
        <v>0</v>
      </c>
      <c r="G97">
        <f>+NYJ!G97+HOU!G97+BOS!G97+SDC!G97+'@DEN'!G97+OAK!G97+'@HOU'!G97+MIA!G97+'@NYJ'!G97+DEN!G97+'@MIA'!G97+'@KCC'!G97+'@BOS'!G97+'@OAK'!G97+blank1!G97+blank!G97</f>
        <v>0</v>
      </c>
      <c r="H97">
        <f>+NYJ!H97+HOU!H97+BOS!H97+SDC!H97+'@DEN'!H97+OAK!H97+'@HOU'!H97+MIA!H97+'@NYJ'!H97+DEN!H97+'@MIA'!H97+'@KCC'!H97+'@BOS'!H97+'@OAK'!H97+blank1!H97+blank!H97</f>
        <v>0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f>+NYJ!C102+HOU!C102+BOS!C102+SDC!C102+'@DEN'!C102+OAK!C102+'@HOU'!C102+MIA!C102+'@NYJ'!C102+DEN!C102+'@MIA'!C102+'@KCC'!C102+'@BOS'!C102+'@OAK'!C102+blank1!C102+blank!C102</f>
        <v>364</v>
      </c>
      <c r="D102">
        <f>+NYJ!D102+HOU!D102+BOS!D102+SDC!D102+'@DEN'!D102+OAK!D102+'@HOU'!D102+MIA!D102+'@NYJ'!D102+DEN!D102+'@MIA'!D102+'@KCC'!D102+'@BOS'!D102+'@OAK'!D102+blank1!D102+blank!D102</f>
        <v>182</v>
      </c>
      <c r="E102" s="12">
        <f>+D102/C102*100</f>
        <v>50</v>
      </c>
      <c r="F102">
        <f>+NYJ!F102+HOU!F102+BOS!F102+SDC!F102+'@DEN'!F102+OAK!F102+'@HOU'!F102+MIA!F102+'@NYJ'!F102+DEN!F102+'@MIA'!F102+'@KCC'!F102+'@BOS'!F102+'@OAK'!F102+blank1!F102+blank!F102</f>
        <v>2718</v>
      </c>
      <c r="G102">
        <f>+NYJ!G102+HOU!G102+BOS!G102+SDC!G102+'@DEN'!G102+OAK!G102+'@HOU'!G102+MIA!G102+'@NYJ'!G102+DEN!G102+'@MIA'!G102+'@KCC'!G102+'@BOS'!G102+'@OAK'!G102+blank1!G102+blank!G102</f>
        <v>12</v>
      </c>
      <c r="H102">
        <f>MAX(NYJ!H102,HOU!H102,BOS!H102,SDC!H102,'@DEN'!H102,OAK!H102,'@HOU'!H102,'@NYJ'!H102,DEN!H102,'@MIA'!H102,'@KCC'!H102,'@BOS'!H102,'@OAK'!H102,blank1!H102,blank!H102,+MIA!H102)</f>
        <v>62</v>
      </c>
      <c r="I102">
        <f>+NYJ!I102+HOU!I102+BOS!I102+SDC!I102+'@DEN'!I102+OAK!I102+'@HOU'!I102+MIA!I102+'@NYJ'!I102+DEN!I102+'@MIA'!I102+'@KCC'!I102+'@BOS'!I102+'@OAK'!I102+blank1!I102+blank!I102</f>
        <v>23</v>
      </c>
      <c r="J102" s="8">
        <f>+G102/C102*100</f>
        <v>3.296703296703297</v>
      </c>
      <c r="K102" s="12">
        <f>+I102/C102*100</f>
        <v>6.318681318681318</v>
      </c>
      <c r="L102" s="12">
        <f>+F102/C102</f>
        <v>7.467032967032967</v>
      </c>
      <c r="M102" s="12">
        <f>100*(S102+U102+W102+Y102)/6</f>
        <v>59.52380952380954</v>
      </c>
      <c r="N102">
        <f>NYJ!N102+HOU!N102+BOS!N102+SDC!N102+'@DEN'!N102+OAK!N102+'@HOU'!N102+MIA!N102+'@NYJ'!N102+DEN!N102+'@MIA'!N102+'@KCC'!N102+'@BOS'!N102+'@OAK'!N102+blank1!N102+blank!N102</f>
        <v>6</v>
      </c>
      <c r="R102">
        <f>+(E102-30)/20</f>
        <v>1</v>
      </c>
      <c r="S102" s="2">
        <f>IF(R102&lt;0,0,R102)</f>
        <v>1</v>
      </c>
      <c r="T102" s="6">
        <f>+(L102-3)/4</f>
        <v>1.1167582417582418</v>
      </c>
      <c r="U102" s="2">
        <f>IF(T102&lt;0,0,T102)</f>
        <v>1.1167582417582418</v>
      </c>
      <c r="V102">
        <f>+J102/5</f>
        <v>0.6593406593406594</v>
      </c>
      <c r="W102" s="2">
        <f>IF(V102&lt;0,0,V102)</f>
        <v>0.6593406593406594</v>
      </c>
      <c r="X102">
        <f>(9.5-K102)/4</f>
        <v>0.7953296703296704</v>
      </c>
      <c r="Y102" s="2">
        <f>IF(X102&lt;0,0,X102)</f>
        <v>0.7953296703296704</v>
      </c>
    </row>
    <row r="103" spans="1:25" ht="12.75">
      <c r="A103" t="s">
        <v>124</v>
      </c>
      <c r="C103">
        <f>+NYJ!C103+HOU!C103+BOS!C103+SDC!C103+'@DEN'!C103+OAK!C103+'@HOU'!C103+MIA!C103+'@NYJ'!C103+DEN!C103+'@MIA'!C103+'@KCC'!C103+'@BOS'!C103+'@OAK'!C103+blank1!C103+blank!C103</f>
        <v>53</v>
      </c>
      <c r="D103">
        <f>+NYJ!D103+HOU!D103+BOS!D103+SDC!D103+'@DEN'!D103+OAK!D103+'@HOU'!D103+MIA!D103+'@NYJ'!D103+DEN!D103+'@MIA'!D103+'@KCC'!D103+'@BOS'!D103+'@OAK'!D103+blank1!D103+blank!D103</f>
        <v>27</v>
      </c>
      <c r="E103" s="12">
        <f>+D103/C103*100</f>
        <v>50.943396226415096</v>
      </c>
      <c r="F103">
        <f>+NYJ!F103+HOU!F103+BOS!F103+SDC!F103+'@DEN'!F103+OAK!F103+'@HOU'!F103+MIA!F103+'@NYJ'!F103+DEN!F103+'@MIA'!F103+'@KCC'!F103+'@BOS'!F103+'@OAK'!F103+blank1!F103+blank!F103</f>
        <v>242</v>
      </c>
      <c r="G103">
        <f>+NYJ!G103+HOU!G103+BOS!G103+SDC!G103+'@DEN'!G103+OAK!G103+'@HOU'!G103+MIA!G103+'@NYJ'!G103+DEN!G103+'@MIA'!G103+'@KCC'!G103+'@BOS'!G103+'@OAK'!G103+blank1!G103+blank!G103</f>
        <v>1</v>
      </c>
      <c r="H103">
        <f>+NYJ!H103+HOU!H103+BOS!H103+SDC!H103+'@DEN'!H103+OAK!H103+'@HOU'!H103+MIA!H103+'@NYJ'!H103+DEN!H103+'@MIA'!H103+'@KCC'!H103+'@BOS'!H103+'@OAK'!H103+blank1!H103+blank!H103</f>
        <v>64</v>
      </c>
      <c r="I103">
        <f>+NYJ!I103+HOU!I103+BOS!I103+SDC!I103+'@DEN'!I103+OAK!I103+'@HOU'!I103+MIA!I103+'@NYJ'!I103+DEN!I103+'@MIA'!I103+'@KCC'!I103+'@BOS'!I103+'@OAK'!I103+blank1!I103+blank!I103</f>
        <v>4</v>
      </c>
      <c r="J103" s="8">
        <f>+G103/C103*100</f>
        <v>1.8867924528301887</v>
      </c>
      <c r="K103" s="12">
        <f>+I103/C103*100</f>
        <v>7.547169811320755</v>
      </c>
      <c r="L103" s="12">
        <f>+F103/C103</f>
        <v>4.566037735849057</v>
      </c>
      <c r="M103" s="12">
        <f>100*(S103+U103+W103+Y103)/6</f>
        <v>38.40408805031447</v>
      </c>
      <c r="N103">
        <f>NYJ!N103+HOU!N103+BOS!N103+SDC!N103+'@DEN'!N103+OAK!N103+'@HOU'!N103+MIA!N103+'@NYJ'!N103+DEN!N103+'@MIA'!N103+'@KCC'!N103+'@BOS'!N103+'@OAK'!N103+blank1!N103+blank!N103</f>
        <v>0</v>
      </c>
      <c r="R103">
        <f>+(E103-30)/20</f>
        <v>1.0471698113207548</v>
      </c>
      <c r="S103" s="2">
        <f>IF(R103&lt;0,0,R103)</f>
        <v>1.0471698113207548</v>
      </c>
      <c r="T103" s="6">
        <f>+(L103-3)/4</f>
        <v>0.39150943396226423</v>
      </c>
      <c r="U103" s="2">
        <f>IF(T103&lt;0,0,T103)</f>
        <v>0.39150943396226423</v>
      </c>
      <c r="V103">
        <f>+J103/5</f>
        <v>0.37735849056603776</v>
      </c>
      <c r="W103" s="2">
        <f>IF(V103&lt;0,0,V103)</f>
        <v>0.37735849056603776</v>
      </c>
      <c r="X103">
        <f>(9.5-K103)/4</f>
        <v>0.4882075471698113</v>
      </c>
      <c r="Y103" s="2">
        <f>IF(X103&lt;0,0,X103)</f>
        <v>0.4882075471698113</v>
      </c>
    </row>
    <row r="104" spans="1:25" ht="12.75">
      <c r="A104" t="s">
        <v>122</v>
      </c>
      <c r="C104">
        <f>+NYJ!C104+HOU!C104+BOS!C104+SDC!C104+'@DEN'!C104+OAK!C104+'@HOU'!C104+MIA!C104+'@NYJ'!C104+DEN!C104+'@MIA'!C104+'@KCC'!C104+'@BOS'!C104+'@OAK'!C104+blank1!C104+blank!C104</f>
        <v>3</v>
      </c>
      <c r="D104">
        <f>+NYJ!D104+HOU!D104+BOS!D104+SDC!D104+'@DEN'!D104+OAK!D104+'@HOU'!D104+MIA!D104+'@NYJ'!D104+DEN!D104+'@MIA'!D104+'@KCC'!D104+'@BOS'!D104+'@OAK'!D104+blank1!D104+blank!D104</f>
        <v>0</v>
      </c>
      <c r="E104" s="12">
        <f>+D104/C104*100</f>
        <v>0</v>
      </c>
      <c r="F104">
        <f>+NYJ!F104+HOU!F104+BOS!F104+SDC!F104+'@DEN'!F104+OAK!F104+'@HOU'!F104+MIA!F104+'@NYJ'!F104+DEN!F104+'@MIA'!F104+'@KCC'!F104+'@BOS'!F104+'@OAK'!F104+blank1!F104+blank!F104</f>
        <v>0</v>
      </c>
      <c r="G104">
        <f>+NYJ!G104+HOU!G104+BOS!G104+SDC!G104+'@DEN'!G104+OAK!G104+'@HOU'!G104+MIA!G104+'@NYJ'!G104+DEN!G104+'@MIA'!G104+'@KCC'!G104+'@BOS'!G104+'@OAK'!G104+blank1!G104+blank!G104</f>
        <v>0</v>
      </c>
      <c r="H104">
        <f>+NYJ!H104+HOU!H104+BOS!H104+SDC!H104+'@DEN'!H104+OAK!H104+'@HOU'!H104+MIA!H104+'@NYJ'!H104+DEN!H104+'@MIA'!H104+'@KCC'!H104+'@BOS'!H104+'@OAK'!H104+blank1!H104+blank!H104</f>
        <v>0</v>
      </c>
      <c r="I104">
        <f>+NYJ!I104+HOU!I104+BOS!I104+SDC!I104+'@DEN'!I104+OAK!I104+'@HOU'!I104+MIA!I104+'@NYJ'!I104+DEN!I104+'@MIA'!I104+'@KCC'!I104+'@BOS'!I104+'@OAK'!I104+blank1!I104+blank!I104</f>
        <v>0</v>
      </c>
      <c r="J104" s="8">
        <f>+G104/C104*100</f>
        <v>0</v>
      </c>
      <c r="K104" s="12">
        <f>+I104/C104*100</f>
        <v>0</v>
      </c>
      <c r="L104" s="12">
        <f>+F104/C104</f>
        <v>0</v>
      </c>
      <c r="M104" s="12">
        <f>100*(S104+U104+W104+Y104)/6</f>
        <v>39.583333333333336</v>
      </c>
      <c r="N104">
        <f>NYJ!N104+HOU!N104+BOS!N104+SDC!N104+'@DEN'!N104+OAK!N104+'@HOU'!N104+MIA!N104+'@NYJ'!N104+DEN!N104+'@MIA'!N104+'@KCC'!N104+'@BOS'!N104+'@OAK'!N104+blank1!N104+blank!N104</f>
        <v>0</v>
      </c>
      <c r="R104">
        <f>+(E104-30)/20</f>
        <v>-1.5</v>
      </c>
      <c r="S104" s="2">
        <f>IF(R104&lt;0,0,R104)</f>
        <v>0</v>
      </c>
      <c r="T104" s="6">
        <f>+(L104-3)/4</f>
        <v>-0.75</v>
      </c>
      <c r="U104" s="2">
        <f>IF(T104&lt;0,0,T104)</f>
        <v>0</v>
      </c>
      <c r="V104">
        <f>+J104/5</f>
        <v>0</v>
      </c>
      <c r="W104" s="2">
        <f>IF(V104&lt;0,0,V104)</f>
        <v>0</v>
      </c>
      <c r="X104">
        <f>(9.5-K104)/4</f>
        <v>2.375</v>
      </c>
      <c r="Y104" s="2">
        <f>IF(X104&lt;0,0,X104)</f>
        <v>2.375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11" ht="12.75">
      <c r="A108" t="s">
        <v>125</v>
      </c>
      <c r="C108">
        <f>+NYJ!C108+HOU!C108+BOS!C108+SDC!C108+'@DEN'!C108+OAK!C108+'@HOU'!C108+MIA!C108+'@NYJ'!C108+DEN!C108+'@MIA'!C108+'@KCC'!C108+'@BOS'!C108+'@OAK'!C108+blank1!C108+blank!C108</f>
        <v>21</v>
      </c>
      <c r="D108">
        <f>+NYJ!D108+HOU!D108+BOS!D108+SDC!D108+'@DEN'!D108+OAK!D108+'@HOU'!D108+MIA!D108+'@NYJ'!D108+DEN!D108+'@MIA'!D108+'@KCC'!D108+'@BOS'!D108+'@OAK'!D108+blank1!D108+blank!D108</f>
        <v>7</v>
      </c>
      <c r="E108">
        <f>+NYJ!E108+HOU!E108+BOS!E108+SDC!E108+'@DEN'!E108+OAK!E108+'@HOU'!E108+MIA!E108+'@NYJ'!E108+DEN!E108+'@MIA'!E108+'@KCC'!E108+'@BOS'!E108+'@OAK'!E108+blank1!E108+blank!E108</f>
        <v>144</v>
      </c>
      <c r="F108" s="12">
        <f>+E108/C108</f>
        <v>6.857142857142857</v>
      </c>
      <c r="G108">
        <f>MAX(NYJ!G108,HOU!G108,BOS!G108,SDC!G108,'@DEN'!G108,OAK!G108,'@HOU'!G108,'@NYJ'!G108,DEN!G108,'@MIA'!G108,'@KCC'!G108,'@BOS'!G108,'@OAK'!G108,blank1!G108,blank!G108,+MIA!G108)</f>
        <v>26</v>
      </c>
      <c r="H108">
        <f>+NYJ!H108+HOU!H108+BOS!H108+SDC!H108+'@DEN'!H108+OAK!H108+'@HOU'!H108+MIA!H108+'@NYJ'!H108+DEN!H108+'@MIA'!H108+'@KCC'!H108+'@BOS'!H108+'@OAK'!H108+blank1!H108+blank!H108</f>
        <v>0</v>
      </c>
      <c r="I108">
        <f>NYJ!I108+HOU!I108+BOS!I108+SDC!I108+'@DEN'!I108+OAK!I108+'@HOU'!I108+MIA!I108+'@NYJ'!I108+DEN!I108+'@MIA'!I108+'@KCC'!I108+'@BOS'!I108+'@OAK'!I108+blank1!I108+blank!I108</f>
        <v>0</v>
      </c>
      <c r="K108" s="3">
        <v>30</v>
      </c>
    </row>
    <row r="109" spans="1:11" ht="12.75">
      <c r="A109" t="s">
        <v>122</v>
      </c>
      <c r="C109">
        <f>+NYJ!C109+HOU!C109+BOS!C109+SDC!C109+'@DEN'!C109+OAK!C109+'@HOU'!C109+MIA!C109+'@NYJ'!C109+DEN!C109+'@MIA'!C109+'@KCC'!C109+'@BOS'!C109+'@OAK'!C109+blank1!C109+blank!C109</f>
        <v>1</v>
      </c>
      <c r="D109">
        <f>+NYJ!D109+HOU!D109+BOS!D109+SDC!D109+'@DEN'!D109+OAK!D109+'@HOU'!D109+MIA!D109+'@NYJ'!D109+DEN!D109+'@MIA'!D109+'@KCC'!D109+'@BOS'!D109+'@OAK'!D109+blank1!D109+blank!D109</f>
        <v>0</v>
      </c>
      <c r="E109">
        <f>+NYJ!E109+HOU!E109+BOS!E109+SDC!E109+'@DEN'!E109+OAK!E109+'@HOU'!E109+MIA!E109+'@NYJ'!E109+DEN!E109+'@MIA'!E109+'@KCC'!E109+'@BOS'!E109+'@OAK'!E109+blank1!E109+blank!E109</f>
        <v>12</v>
      </c>
      <c r="F109" s="12">
        <f>+E109/C109</f>
        <v>12</v>
      </c>
      <c r="G109">
        <f>MAX(NYJ!G109,HOU!G109,BOS!G109,SDC!G109,'@DEN'!G109,OAK!G109,'@HOU'!G109,'@NYJ'!G109,DEN!G109,'@MIA'!G109,'@KCC'!G109,'@BOS'!G109,'@OAK'!G109,blank1!G109,blank!G109,+MIA!G109)</f>
        <v>12</v>
      </c>
      <c r="H109">
        <f>+NYJ!H109+HOU!H109+BOS!H109+SDC!H109+'@DEN'!H109+OAK!H109+'@HOU'!H109+MIA!H109+'@NYJ'!H109+DEN!H109+'@MIA'!H109+'@KCC'!H109+'@BOS'!H109+'@OAK'!H109+blank1!H109+blank!H109</f>
        <v>0</v>
      </c>
      <c r="I109">
        <f>NYJ!I109+HOU!I109+BOS!I109+SDC!I109+'@DEN'!I109+OAK!I109+'@HOU'!I109+MIA!I109+'@NYJ'!I109+DEN!I109+'@MIA'!I109+'@KCC'!I109+'@BOS'!I109+'@OAK'!I109+blank1!I109+blank!I109</f>
        <v>0</v>
      </c>
      <c r="K109" s="3">
        <v>15</v>
      </c>
    </row>
    <row r="110" spans="1:11" ht="12.75">
      <c r="A110" t="s">
        <v>126</v>
      </c>
      <c r="C110">
        <f>+NYJ!C110+HOU!C110+BOS!C110+SDC!C110+'@DEN'!C110+OAK!C110+'@HOU'!C110+MIA!C110+'@NYJ'!C110+DEN!C110+'@MIA'!C110+'@KCC'!C110+'@BOS'!C110+'@OAK'!C110+blank1!C110+blank!C110</f>
        <v>0</v>
      </c>
      <c r="D110">
        <f>+NYJ!D110+HOU!D110+BOS!D110+SDC!D110+'@DEN'!D110+OAK!D110+'@HOU'!D110+MIA!D110+'@NYJ'!D110+DEN!D110+'@MIA'!D110+'@KCC'!D110+'@BOS'!D110+'@OAK'!D110+blank1!D110+blank!D110</f>
        <v>0</v>
      </c>
      <c r="E110">
        <f>+NYJ!E110+HOU!E110+BOS!E110+SDC!E110+'@DEN'!E110+OAK!E110+'@HOU'!E110+MIA!E110+'@NYJ'!E110+DEN!E110+'@MIA'!E110+'@KCC'!E110+'@BOS'!E110+'@OAK'!E110+blank1!E110+blank!E110</f>
        <v>0</v>
      </c>
      <c r="F110" s="12" t="e">
        <f>+E110/C110</f>
        <v>#DIV/0!</v>
      </c>
      <c r="G110">
        <f>MAX(NYJ!G110,HOU!G110,BOS!G110,SDC!G110,'@DEN'!G110,OAK!G110,'@HOU'!G110,'@NYJ'!G110,DEN!G110,'@MIA'!G110,'@KCC'!G110,'@BOS'!G110,'@OAK'!G110,blank1!G110,blank!G110,+MIA!G110)</f>
        <v>0</v>
      </c>
      <c r="H110">
        <f>+NYJ!H110+HOU!H110+BOS!H110+SDC!H110+'@DEN'!H110+OAK!H110+'@HOU'!H110+MIA!H110+'@NYJ'!H110+DEN!H110+'@MIA'!H110+'@KCC'!H110+'@BOS'!H110+'@OAK'!H110+blank1!H110+blank!H110</f>
        <v>0</v>
      </c>
      <c r="I110">
        <f>NYJ!I110+HOU!I110+BOS!I110+SDC!I110+'@DEN'!I110+OAK!I110+'@HOU'!I110+MIA!I110+'@NYJ'!I110+DEN!I110+'@MIA'!I110+'@KCC'!I110+'@BOS'!I110+'@OAK'!I110+blank1!I110+blank!I110</f>
        <v>0</v>
      </c>
      <c r="K110" s="3">
        <v>1</v>
      </c>
    </row>
    <row r="111" spans="1:11" ht="12.75">
      <c r="A111" t="s">
        <v>127</v>
      </c>
      <c r="C111">
        <f>+NYJ!C111+HOU!C111+BOS!C111+SDC!C111+'@DEN'!C111+OAK!C111+'@HOU'!C111+MIA!C111+'@NYJ'!C111+DEN!C111+'@MIA'!C111+'@KCC'!C111+'@BOS'!C111+'@OAK'!C111+blank1!C111+blank!C111</f>
        <v>0</v>
      </c>
      <c r="D111">
        <f>+NYJ!D111+HOU!D111+BOS!D111+SDC!D111+'@DEN'!D111+OAK!D111+'@HOU'!D111+MIA!D111+'@NYJ'!D111+DEN!D111+'@MIA'!D111+'@KCC'!D111+'@BOS'!D111+'@OAK'!D111+blank1!D111+blank!D111</f>
        <v>0</v>
      </c>
      <c r="E111">
        <f>+NYJ!E111+HOU!E111+BOS!E111+SDC!E111+'@DEN'!E111+OAK!E111+'@HOU'!E111+MIA!E111+'@NYJ'!E111+DEN!E111+'@MIA'!E111+'@KCC'!E111+'@BOS'!E111+'@OAK'!E111+blank1!E111+blank!E111</f>
        <v>0</v>
      </c>
      <c r="F111" s="12" t="e">
        <f>+E111/C111</f>
        <v>#DIV/0!</v>
      </c>
      <c r="G111">
        <f>MAX(NYJ!G111,HOU!G111,BOS!G111,SDC!G111,'@DEN'!G111,OAK!G111,'@HOU'!G111,'@NYJ'!G111,DEN!G111,'@MIA'!G111,'@KCC'!G111,'@BOS'!G111,'@OAK'!G111,blank1!G111,blank!G111,+MIA!G111)</f>
        <v>0</v>
      </c>
      <c r="H111">
        <f>+NYJ!H111+HOU!H111+BOS!H111+SDC!H111+'@DEN'!H111+OAK!H111+'@HOU'!H111+MIA!H111+'@NYJ'!H111+DEN!H111+'@MIA'!H111+'@KCC'!H111+'@BOS'!H111+'@OAK'!H111+blank1!H111+blank!H111</f>
        <v>0</v>
      </c>
      <c r="I111">
        <f>NYJ!I111+HOU!I111+BOS!I111+SDC!I111+'@DEN'!I111+OAK!I111+'@HOU'!I111+MIA!I111+'@NYJ'!I111+DEN!I111+'@MIA'!I111+'@KCC'!I111+'@BOS'!I111+'@OAK'!I111+blank1!I111+blank!I111</f>
        <v>0</v>
      </c>
      <c r="K111" s="3">
        <v>1</v>
      </c>
    </row>
    <row r="112" spans="6:11" ht="12.75">
      <c r="F112" s="12"/>
      <c r="K112" s="3"/>
    </row>
    <row r="113" spans="6:11" ht="12.75">
      <c r="F113" s="12"/>
      <c r="K113" s="3"/>
    </row>
    <row r="114" ht="12.75">
      <c r="K114" s="3"/>
    </row>
    <row r="115" ht="12.75">
      <c r="K115" s="3"/>
    </row>
    <row r="116" ht="12.75">
      <c r="K116" s="3"/>
    </row>
    <row r="117" spans="1:11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  <c r="K117" s="3"/>
    </row>
    <row r="118" spans="1:11" ht="12.75">
      <c r="A118" t="s">
        <v>114</v>
      </c>
      <c r="C118">
        <f>+NYJ!C118+HOU!C118+BOS!C118+SDC!C118+'@DEN'!C118+OAK!C118+'@HOU'!C118+MIA!C118+'@NYJ'!C118+DEN!C118+'@MIA'!C118+'@KCC'!C118+'@BOS'!C118+'@OAK'!C118+blank1!C118+blank!C118</f>
        <v>18</v>
      </c>
      <c r="D118">
        <f>+NYJ!D118+HOU!D118+BOS!D118+SDC!D118+'@DEN'!D118+OAK!D118+'@HOU'!D118+MIA!D118+'@NYJ'!D118+DEN!D118+'@MIA'!D118+'@KCC'!D118+'@BOS'!D118+'@OAK'!D118+blank1!D118+blank!D118</f>
        <v>432</v>
      </c>
      <c r="E118" s="12">
        <f aca="true" t="shared" si="4" ref="E118:E123">+D118/C118</f>
        <v>24</v>
      </c>
      <c r="F118">
        <f>MAX(NYJ!F118,HOU!F118,BOS!F118,SDC!F118,'@DEN'!F118,OAK!F118,'@HOU'!F118,'@NYJ'!F118,DEN!F118,'@MIA'!F118,'@KCC'!F118,'@BOS'!F118,'@OAK'!F118,blank1!F118,blank!F118,+MIA!F118)</f>
        <v>41</v>
      </c>
      <c r="G118">
        <f>+NYJ!G118+HOU!G118+BOS!G118+SDC!G118+'@DEN'!G118+OAK!G118+'@HOU'!G118+MIA!G118+'@NYJ'!G118+DEN!G118+'@MIA'!G118+'@KCC'!G118+'@BOS'!G118+'@OAK'!G118+blank1!G118+blank!G118</f>
        <v>0</v>
      </c>
      <c r="H118">
        <f>NYJ!H118+HOU!H118+BOS!H118+SDC!H118+'@DEN'!H118+OAK!H118+'@HOU'!H118+MIA!H118+'@NYJ'!H118+DEN!H118+'@MIA'!H118+'@KCC'!H118+'@BOS'!H118+'@OAK'!H118+blank1!H118+blank!H118</f>
        <v>0</v>
      </c>
      <c r="K118" s="3">
        <v>16</v>
      </c>
    </row>
    <row r="119" spans="1:11" ht="12.75">
      <c r="A119" t="s">
        <v>128</v>
      </c>
      <c r="C119">
        <f>+NYJ!C119+HOU!C119+BOS!C119+SDC!C119+'@DEN'!C119+OAK!C119+'@HOU'!C119+MIA!C119+'@NYJ'!C119+DEN!C119+'@MIA'!C119+'@KCC'!C119+'@BOS'!C119+'@OAK'!C119+blank1!C119+blank!C119</f>
        <v>16</v>
      </c>
      <c r="D119">
        <f>+NYJ!D119+HOU!D119+BOS!D119+SDC!D119+'@DEN'!D119+OAK!D119+'@HOU'!D119+MIA!D119+'@NYJ'!D119+DEN!D119+'@MIA'!D119+'@KCC'!D119+'@BOS'!D119+'@OAK'!D119+blank1!D119+blank!D119</f>
        <v>342</v>
      </c>
      <c r="E119" s="12">
        <f t="shared" si="4"/>
        <v>21.375</v>
      </c>
      <c r="F119">
        <f>MAX(NYJ!F119,HOU!F119,BOS!F119,SDC!F119,'@DEN'!F119,OAK!F119,'@HOU'!F119,'@NYJ'!F119,DEN!F119,'@MIA'!F119,'@KCC'!F119,'@BOS'!F119,'@OAK'!F119,blank1!F119,blank!F119,+MIA!F119)</f>
        <v>57</v>
      </c>
      <c r="G119">
        <f>+NYJ!G119+HOU!G119+BOS!G119+SDC!G119+'@DEN'!G119+OAK!G119+'@HOU'!G119+MIA!G119+'@NYJ'!G119+DEN!G119+'@MIA'!G119+'@KCC'!G119+'@BOS'!G119+'@OAK'!G119+blank1!G119+blank!G119</f>
        <v>0</v>
      </c>
      <c r="H119">
        <f>NYJ!H119+HOU!H119+BOS!H119+SDC!H119+'@DEN'!H119+OAK!H119+'@HOU'!H119+MIA!H119+'@NYJ'!H119+DEN!H119+'@MIA'!H119+'@KCC'!H119+'@BOS'!H119+'@OAK'!H119+blank1!H119+blank!H119</f>
        <v>0</v>
      </c>
      <c r="K119" s="3">
        <v>16</v>
      </c>
    </row>
    <row r="120" spans="1:11" ht="12.75">
      <c r="A120" t="s">
        <v>126</v>
      </c>
      <c r="C120">
        <f>+NYJ!C120+HOU!C120+BOS!C120+SDC!C120+'@DEN'!C120+OAK!C120+'@HOU'!C120+MIA!C120+'@NYJ'!C120+DEN!C120+'@MIA'!C120+'@KCC'!C120+'@BOS'!C120+'@OAK'!C120+blank1!C120+blank!C120</f>
        <v>12</v>
      </c>
      <c r="D120">
        <f>+NYJ!D120+HOU!D120+BOS!D120+SDC!D120+'@DEN'!D120+OAK!D120+'@HOU'!D120+MIA!D120+'@NYJ'!D120+DEN!D120+'@MIA'!D120+'@KCC'!D120+'@BOS'!D120+'@OAK'!D120+blank1!D120+blank!D120</f>
        <v>316</v>
      </c>
      <c r="E120" s="12">
        <f t="shared" si="4"/>
        <v>26.333333333333332</v>
      </c>
      <c r="F120">
        <f>MAX(NYJ!F120,HOU!F120,BOS!F120,SDC!F120,'@DEN'!F120,OAK!F120,'@HOU'!F120,'@NYJ'!F120,DEN!F120,'@MIA'!F120,'@KCC'!F120,'@BOS'!F120,'@OAK'!F120,blank1!F120,blank!F120,+MIA!F120)</f>
        <v>40</v>
      </c>
      <c r="G120">
        <f>+NYJ!G120+HOU!G120+BOS!G120+SDC!G120+'@DEN'!G120+OAK!G120+'@HOU'!G120+MIA!G120+'@NYJ'!G120+DEN!G120+'@MIA'!G120+'@KCC'!G120+'@BOS'!G120+'@OAK'!G120+blank1!G120+blank!G120</f>
        <v>0</v>
      </c>
      <c r="H120">
        <f>NYJ!H120+HOU!H120+BOS!H120+SDC!H120+'@DEN'!H120+OAK!H120+'@HOU'!H120+MIA!H120+'@NYJ'!H120+DEN!H120+'@MIA'!H120+'@KCC'!H120+'@BOS'!H120+'@OAK'!H120+blank1!H120+blank!H120</f>
        <v>0</v>
      </c>
      <c r="K120" s="3">
        <v>12</v>
      </c>
    </row>
    <row r="121" spans="1:11" ht="12.75">
      <c r="A121" t="s">
        <v>122</v>
      </c>
      <c r="C121">
        <f>+NYJ!C121+HOU!C121+BOS!C121+SDC!C121+'@DEN'!C121+OAK!C121+'@HOU'!C121+MIA!C121+'@NYJ'!C121+DEN!C121+'@MIA'!C121+'@KCC'!C121+'@BOS'!C121+'@OAK'!C121</f>
        <v>3</v>
      </c>
      <c r="D121">
        <f>+NYJ!D121+HOU!D121+BOS!D121+SDC!D121+'@DEN'!D121+OAK!D121+'@HOU'!D121+MIA!D121+'@NYJ'!D121+DEN!D121+'@MIA'!D121+'@KCC'!D121+'@BOS'!D121+'@OAK'!D121</f>
        <v>72</v>
      </c>
      <c r="E121" s="12">
        <f t="shared" si="4"/>
        <v>24</v>
      </c>
      <c r="F121">
        <f>MAX(NYJ!F121,HOU!F121,BOS!F121,SDC!F121,'@DEN'!F121,OAK!F121,'@HOU'!F121,'@NYJ'!F121,DEN!F121,'@MIA'!F121,'@KCC'!F121,'@BOS'!F121,'@OAK'!F121,+MIA!F121)</f>
        <v>41</v>
      </c>
      <c r="G121">
        <f>+NYJ!G121+HOU!G121+BOS!G121+SDC!G121+'@DEN'!G121+OAK!G121+'@HOU'!G121+MIA!G121+'@NYJ'!G121+DEN!G121+'@MIA'!G121+'@KCC'!G121+'@BOS'!G121+'@OAK'!G121</f>
        <v>0</v>
      </c>
      <c r="H121">
        <f>NYJ!H121+HOU!H121+BOS!H121+SDC!H121+'@DEN'!H121+OAK!H121+'@HOU'!H121+MIA!H121+'@NYJ'!H121+DEN!H121+'@MIA'!H121+'@KCC'!H121+'@BOS'!H121+'@OAK'!H121+blank1!H121+blank!H121</f>
        <v>1</v>
      </c>
      <c r="K121" s="3">
        <v>3</v>
      </c>
    </row>
    <row r="122" spans="1:11" ht="12.75">
      <c r="A122" t="s">
        <v>129</v>
      </c>
      <c r="C122">
        <f>+NYJ!C122+HOU!C122+BOS!C122+SDC!C122+'@DEN'!C122+OAK!C122+'@HOU'!C122+MIA!C122+'@NYJ'!C122+DEN!C122+'@MIA'!C122+'@KCC'!C122+'@BOS'!C122+'@OAK'!C122</f>
        <v>1</v>
      </c>
      <c r="D122">
        <f>+NYJ!D122+HOU!D122+BOS!D122+SDC!D122+'@DEN'!D122+OAK!D122+'@HOU'!D122+MIA!D122+'@NYJ'!D122+DEN!D122+'@MIA'!D122+'@KCC'!D122+'@BOS'!D122+'@OAK'!D122</f>
        <v>20</v>
      </c>
      <c r="E122" s="12">
        <f t="shared" si="4"/>
        <v>20</v>
      </c>
      <c r="F122">
        <f>MAX(NYJ!F122,HOU!F122,BOS!F122,SDC!F122,'@DEN'!F122,OAK!F122,'@HOU'!F122,'@NYJ'!F122,DEN!F122,'@MIA'!F122,'@KCC'!F122,'@BOS'!F122,'@OAK'!F122,+MIA!F122)</f>
        <v>20</v>
      </c>
      <c r="G122">
        <f>+NYJ!G122+HOU!G122+BOS!G122+SDC!G122+'@DEN'!G122+OAK!G122+'@HOU'!G122+MIA!G122+'@NYJ'!G122+DEN!G122+'@MIA'!G122+'@KCC'!G122+'@BOS'!G122+'@OAK'!G122</f>
        <v>0</v>
      </c>
      <c r="H122">
        <f>NYJ!H122+HOU!H122+BOS!H122+SDC!H122+'@DEN'!H122+OAK!H122+'@HOU'!H122+MIA!H122+'@NYJ'!H122+DEN!H122+'@MIA'!H122+'@KCC'!H122+'@BOS'!H122+'@OAK'!H122+blank1!H122+blank!H122</f>
        <v>1</v>
      </c>
      <c r="K122" s="3">
        <v>3</v>
      </c>
    </row>
    <row r="123" spans="1:11" ht="12.75">
      <c r="A123" t="s">
        <v>130</v>
      </c>
      <c r="C123">
        <f>+NYJ!C123+HOU!C123+BOS!C123+SDC!C123+'@DEN'!C123+OAK!C123+'@HOU'!C123+MIA!C123+'@NYJ'!C123+DEN!C123+'@MIA'!C123+'@KCC'!C123+'@BOS'!C123+'@OAK'!C123</f>
        <v>0</v>
      </c>
      <c r="D123">
        <f>+NYJ!D123+HOU!D123+BOS!D123+SDC!D123+'@DEN'!D123+OAK!D123+'@HOU'!D123+MIA!D123+'@NYJ'!D123+DEN!D123+'@MIA'!D123+'@KCC'!D123+'@BOS'!D123+'@OAK'!D123</f>
        <v>0</v>
      </c>
      <c r="E123" s="12" t="e">
        <f t="shared" si="4"/>
        <v>#DIV/0!</v>
      </c>
      <c r="F123">
        <f>MAX(NYJ!F123,HOU!F123,BOS!F123,SDC!F123,'@DEN'!F123,OAK!F123,'@HOU'!F123,'@NYJ'!F123,DEN!F123,'@MIA'!F123,'@KCC'!F123,'@BOS'!F123,'@OAK'!F123,+MIA!F123)</f>
        <v>0</v>
      </c>
      <c r="G123">
        <f>+NYJ!G123+HOU!G123+BOS!G123+SDC!G123+'@DEN'!G123+OAK!G123+'@HOU'!G123+MIA!G123+'@NYJ'!G123+DEN!G123+'@MIA'!G123+'@KCC'!G123+'@BOS'!G123+'@OAK'!G123</f>
        <v>0</v>
      </c>
      <c r="H123">
        <f>NYJ!H123+HOU!H123+BOS!H123+SDC!H123+'@DEN'!H123+OAK!H123+'@HOU'!H123+MIA!H123+'@NYJ'!H123+DEN!H123+'@MIA'!H123+'@KCC'!H123+'@BOS'!H123+'@OAK'!H123+blank1!H123+blank!H123</f>
        <v>0</v>
      </c>
      <c r="K123" s="3">
        <v>1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7" ht="12.75">
      <c r="A128" t="s">
        <v>131</v>
      </c>
      <c r="C128">
        <f>+NYJ!C128+HOU!C128+BOS!C128+SDC!C128+'@DEN'!C128+OAK!C128+'@HOU'!C128+MIA!C128+'@NYJ'!C128+DEN!C128+'@MIA'!C128+'@KCC'!C128+'@BOS'!C128+'@OAK'!C128+blank1!C128+blank!C128</f>
        <v>65</v>
      </c>
      <c r="D128">
        <f>+NYJ!D128+HOU!D128+BOS!D128+SDC!D128+'@DEN'!D128+OAK!D128+'@HOU'!D128+MIA!D128+'@NYJ'!D128+DEN!D128+'@MIA'!D128+'@KCC'!D128+'@BOS'!D128+'@OAK'!D128+blank1!D128+blank!D128</f>
        <v>2654</v>
      </c>
      <c r="E128" s="12">
        <f>+D128/C128</f>
        <v>40.83076923076923</v>
      </c>
      <c r="F128">
        <f>MAX(NYJ!F128,HOU!F128,BOS!F128,SDC!F128,'@DEN'!F128,OAK!F128,'@HOU'!F128,'@NYJ'!F128,DEN!F128,'@MIA'!F128,'@KCC'!F128,'@BOS'!F128,'@OAK'!F128,blank1!F128,blank!F128,+MIA!F128)</f>
        <v>60</v>
      </c>
      <c r="G128">
        <f>+NYJ!G128+HOU!G128+BOS!G128+SDC!G128+'@DEN'!G128+OAK!G128+'@HOU'!G128+MIA!G128+'@NYJ'!G128+DEN!G128+'@MIA'!G128+'@KCC'!G128+'@BOS'!G128+'@OAK'!G128+blank1!G128+blank!G128</f>
        <v>0</v>
      </c>
    </row>
    <row r="129" spans="3:7" ht="12.75">
      <c r="C129">
        <f>+NYJ!C129+HOU!C129+BOS!C129+SDC!C129+'@DEN'!C129+OAK!C129+'@HOU'!C129+MIA!C129+'@NYJ'!C129+DEN!C129+'@MIA'!C129+'@KCC'!C129+'@BOS'!C129+'@OAK'!C129+blank1!C129+blank!C129</f>
        <v>0</v>
      </c>
      <c r="D129">
        <f>+NYJ!D129+HOU!D129+BOS!D129+SDC!D129+'@DEN'!D129+OAK!D129+'@HOU'!D129+MIA!D129+'@NYJ'!D129+DEN!D129+'@MIA'!D129+'@KCC'!D129+'@BOS'!D129+'@OAK'!D129+blank1!D129+blank!D129</f>
        <v>0</v>
      </c>
      <c r="E129" s="12" t="e">
        <f>+D129/C129</f>
        <v>#DIV/0!</v>
      </c>
      <c r="F129">
        <f>MAX(NYJ!F129,HOU!F129,BOS!F129,SDC!F129,'@DEN'!F129,OAK!F129,'@HOU'!F129,'@NYJ'!F129,DEN!F129,'@MIA'!F129,'@KCC'!F129,'@BOS'!F129,'@OAK'!F129,blank1!F129,blank!F129,+MIA!F129)</f>
        <v>0</v>
      </c>
      <c r="G129">
        <f>+NYJ!G129+HOU!G129+BOS!G129+SDC!G129+'@DEN'!G129+OAK!G129+'@HOU'!G129+MIA!G129+'@NYJ'!G129+DEN!G129+'@MIA'!G129+'@KCC'!G129+'@BOS'!G129+'@OAK'!G129+blank1!G129+blank!G129</f>
        <v>0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f>+NYJ!C132+HOU!C132+BOS!C132+SDC!C132+'@DEN'!C132+OAK!C132+'@HOU'!C132+MIA!C132+'@NYJ'!C132+DEN!C132+'@MIA'!C132+'@KCC'!C132+'@BOS'!C132+'@OAK'!C132+blank1!C132+blank!C132</f>
        <v>55</v>
      </c>
      <c r="D132">
        <f>+NYJ!D132+HOU!D132+BOS!D132+SDC!D132+'@DEN'!D132+OAK!D132+'@HOU'!D132+MIA!D132+'@NYJ'!D132+DEN!D132+'@MIA'!D132+'@KCC'!D132+'@BOS'!D132+'@OAK'!D132+blank1!D132+blank!D132</f>
        <v>1</v>
      </c>
      <c r="E132">
        <f>+NYJ!E132+HOU!E132+BOS!E132+SDC!E132+'@DEN'!E132+OAK!E132+'@HOU'!E132+MIA!E132+'@NYJ'!E132+DEN!E132+'@MIA'!E132+'@KCC'!E132+'@BOS'!E132+'@OAK'!E132+blank1!E132+blank!E132</f>
        <v>30</v>
      </c>
      <c r="F132">
        <f>+NYJ!F132+HOU!F132+BOS!F132+SDC!F132+'@DEN'!F132+OAK!F132+'@HOU'!F132+MIA!F132+'@NYJ'!F132+DEN!F132+'@MIA'!F132+'@KCC'!F132+'@BOS'!F132+'@OAK'!F132+blank1!F132+blank!F132</f>
        <v>29</v>
      </c>
      <c r="G132">
        <f>+NYJ!G132+HOU!G132+BOS!G132+SDC!G132+'@DEN'!G132+OAK!G132+'@HOU'!G132+MIA!G132+'@NYJ'!G132+DEN!G132+'@MIA'!G132+'@KCC'!G132+'@BOS'!G132+'@OAK'!G132+blank1!G132+blank!G132</f>
        <v>23</v>
      </c>
      <c r="H132">
        <f>+NYJ!H132+HOU!H132+BOS!H132+SDC!H132+'@DEN'!H132+OAK!H132+'@HOU'!H132+MIA!H132+'@NYJ'!H132+DEN!H132+'@MIA'!H132+'@KCC'!H132+'@BOS'!H132+'@OAK'!H132+blank1!H132+blank!H132</f>
        <v>12</v>
      </c>
      <c r="I132" s="12">
        <f>+H132/G132*100</f>
        <v>52.17391304347826</v>
      </c>
      <c r="J132">
        <f>MAX(NYJ!J132,HOU!J132,BOS!J132,SDC!J132,'@DEN'!J132,OAK!J132,'@HOU'!J132,'@NYJ'!J132,DEN!J132,'@MIA'!J132,'@KCC'!J132,'@BOS'!J132,'@OAK'!J132,blank1!J132,blank!J132,+MIA!J132)</f>
        <v>47</v>
      </c>
    </row>
    <row r="133" spans="3:10" ht="12.75">
      <c r="C133">
        <f>+NYJ!C133+HOU!C133+BOS!C133+SDC!C133+'@DEN'!C133+OAK!C133+'@HOU'!C133+MIA!C133+'@NYJ'!C133+DEN!C133+'@MIA'!C133+'@KCC'!C133+'@BOS'!C133+'@OAK'!C133+blank1!C133+blank!C133</f>
        <v>0</v>
      </c>
      <c r="D133">
        <f>+NYJ!D133+HOU!D133+BOS!D133+SDC!D133+'@DEN'!D133+OAK!D133+'@HOU'!D133+MIA!D133+'@NYJ'!D133+DEN!D133+'@MIA'!D133+'@KCC'!D133+'@BOS'!D133+'@OAK'!D133+blank1!D133+blank!D133</f>
        <v>0</v>
      </c>
      <c r="E133">
        <f>+NYJ!E133+HOU!E133+BOS!E133+SDC!E133+'@DEN'!E133+OAK!E133+'@HOU'!E133+MIA!E133+'@NYJ'!E133+DEN!E133+'@MIA'!E133+'@KCC'!E133+'@BOS'!E133+'@OAK'!E133+blank1!E133+blank!E133</f>
        <v>0</v>
      </c>
      <c r="F133">
        <f>+NYJ!F133+HOU!F133+BOS!F133+SDC!F133+'@DEN'!F133+OAK!F133+'@HOU'!F133+MIA!F133+'@NYJ'!F133+DEN!F133+'@MIA'!F133+'@KCC'!F133+'@BOS'!F133+'@OAK'!F133+blank1!F133+blank!F133</f>
        <v>0</v>
      </c>
      <c r="G133">
        <f>+NYJ!G133+HOU!G133+BOS!G133+SDC!G133+'@DEN'!G133+OAK!G133+'@HOU'!G133+MIA!G133+'@NYJ'!G133+DEN!G133+'@MIA'!G133+'@KCC'!G133+'@BOS'!G133+'@OAK'!G133+blank1!G133+blank!G133</f>
        <v>0</v>
      </c>
      <c r="H133">
        <f>+NYJ!H133+HOU!H133+BOS!H133+SDC!H133+'@DEN'!H133+OAK!H133+'@HOU'!H133+MIA!H133+'@NYJ'!H133+DEN!H133+'@MIA'!H133+'@KCC'!H133+'@BOS'!H133+'@OAK'!H133+blank1!H133+blank!H133</f>
        <v>0</v>
      </c>
      <c r="I133" s="12" t="e">
        <f>+H133/G133*100</f>
        <v>#DIV/0!</v>
      </c>
      <c r="J133">
        <f>MAX(NYJ!J133,HOU!J133,BOS!J133,SDC!J133,'@DEN'!J133,OAK!J133,'@HOU'!J133,'@NYJ'!J133,DEN!J133,'@MIA'!J133,'@KCC'!J133,'@BOS'!J133,'@OAK'!J133,blank1!J133,blank!J133,+MIA!J133)</f>
        <v>0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8" ht="12.75">
      <c r="A136" t="s">
        <v>133</v>
      </c>
      <c r="C136">
        <f>+NYJ!C136+HOU!C136+BOS!C136+SDC!C136+'@DEN'!C136+OAK!C136+'@HOU'!C136+MIA!C136+'@NYJ'!C136+DEN!C136+'@MIA'!C136+'@KCC'!C136+'@BOS'!C136+'@OAK'!C136+blank1!C136+blank!C136</f>
        <v>1</v>
      </c>
      <c r="D136">
        <f>+NYJ!D136+HOU!D136+BOS!D136+SDC!D136+'@DEN'!D136+OAK!D136+'@HOU'!D136+MIA!D136+'@NYJ'!D136+DEN!D136+'@MIA'!D136+'@KCC'!D136+'@BOS'!D136+'@OAK'!D136+blank1!D136+blank!D136</f>
        <v>9</v>
      </c>
      <c r="E136" s="12">
        <f>+D136/C136</f>
        <v>9</v>
      </c>
      <c r="F136">
        <f>MAX(NYJ!F136,HOU!F136,BOS!F136,SDC!F136,'@DEN'!F136,OAK!F136,'@HOU'!F136,'@NYJ'!F136,DEN!F136,'@MIA'!F136,'@KCC'!F136,'@BOS'!F136,'@OAK'!F136,blank1!F136,blank!F136,+MIA!F136)</f>
        <v>9</v>
      </c>
      <c r="G136">
        <f>+NYJ!G136+HOU!G136+BOS!G136+SDC!G136+'@DEN'!G136+OAK!G136+'@HOU'!G136+MIA!G136+'@NYJ'!G136+DEN!G136+'@MIA'!G136+'@KCC'!G136+'@BOS'!G136+'@OAK'!G136+blank1!G136+blank!G136</f>
        <v>0</v>
      </c>
      <c r="H136">
        <f>NYJ!H136+HOU!H136+BOS!H136+SDC!H136+'@DEN'!H136+OAK!H136+'@HOU'!H136+MIA!H136+'@NYJ'!H136+DEN!H136+'@MIA'!H136+'@KCC'!H136+'@BOS'!H136+'@OAK'!H136+blank1!H136+blank!H136</f>
        <v>0</v>
      </c>
    </row>
    <row r="137" spans="1:8" ht="12.75">
      <c r="A137" t="s">
        <v>134</v>
      </c>
      <c r="C137">
        <f>+NYJ!C137+HOU!C137+BOS!C137+SDC!C137+'@DEN'!C137+OAK!C137+'@HOU'!C137+MIA!C137+'@NYJ'!C137+DEN!C137+'@MIA'!C137+'@KCC'!C137+'@BOS'!C137+'@OAK'!C137+blank1!C137+blank!C137</f>
        <v>0</v>
      </c>
      <c r="D137">
        <f>+NYJ!D137+HOU!D137+BOS!D137+SDC!D137+'@DEN'!D137+OAK!D137+'@HOU'!D137+MIA!D137+'@NYJ'!D137+DEN!D137+'@MIA'!D137+'@KCC'!D137+'@BOS'!D137+'@OAK'!D137+blank1!D137+blank1!D137</f>
        <v>0</v>
      </c>
      <c r="E137" s="12" t="e">
        <f aca="true" t="shared" si="5" ref="E137:E145">+D137/C137</f>
        <v>#DIV/0!</v>
      </c>
      <c r="F137">
        <f>MAX(NYJ!F137,HOU!F137,BOS!F137,SDC!F137,'@DEN'!F137,OAK!F137,'@HOU'!F137,'@NYJ'!F137,DEN!F137,'@MIA'!F137,'@KCC'!F137,'@BOS'!F137,'@OAK'!F137,blank1!F137,blank!F137,+MIA!F137)</f>
        <v>0</v>
      </c>
      <c r="G137">
        <f>+NYJ!G137+HOU!G137+BOS!G137+SDC!G137+'@DEN'!G137+OAK!G137+'@HOU'!G137+MIA!G137+'@NYJ'!G137+DEN!G137+'@MIA'!G137+'@KCC'!G137+'@BOS'!G137+'@OAK'!G137+blank1!G137+blank!G137</f>
        <v>0</v>
      </c>
      <c r="H137">
        <f>NYJ!H137+HOU!H137+BOS!H137+SDC!H137+'@DEN'!H137+OAK!H137+'@HOU'!H137+MIA!H137+'@NYJ'!H137+DEN!H137+'@MIA'!H137+'@KCC'!H137+'@BOS'!H137+'@OAK'!H137+blank1!H137+blank!H137</f>
        <v>0</v>
      </c>
    </row>
    <row r="138" spans="1:8" ht="12.75">
      <c r="A138" t="s">
        <v>123</v>
      </c>
      <c r="C138">
        <f>+NYJ!C138+HOU!C138+BOS!C138+SDC!C138+'@DEN'!C138+OAK!C138+'@HOU'!C138+MIA!C138+'@NYJ'!C138+DEN!C138+'@MIA'!C138+'@KCC'!C138+'@BOS'!C138+'@OAK'!C138+blank1!C138+blank!C138</f>
        <v>3</v>
      </c>
      <c r="D138">
        <f>+NYJ!D138+HOU!D138+BOS!D138+SDC!D138+'@DEN'!D138+OAK!D138+'@HOU'!D138+MIA!D138+'@NYJ'!D138+DEN!D138+'@MIA'!D138+'@KCC'!D138+'@BOS'!D138+'@OAK'!D138+blank1!D138+blank!D138</f>
        <v>13</v>
      </c>
      <c r="E138" s="12">
        <f t="shared" si="5"/>
        <v>4.333333333333333</v>
      </c>
      <c r="F138">
        <f>MAX(NYJ!F138,HOU!F138,BOS!F138,SDC!F138,'@DEN'!F138,OAK!F138,'@HOU'!F138,'@NYJ'!F138,DEN!F138,'@MIA'!F138,'@KCC'!F138,'@BOS'!F138,'@OAK'!F138,blank1!F138,blank!F138,+MIA!F138)</f>
        <v>5</v>
      </c>
      <c r="G138">
        <f>+NYJ!G138+HOU!G138+BOS!G138+SDC!G138+'@DEN'!G138+OAK!G138+'@HOU'!G138+MIA!G138+'@NYJ'!G138+DEN!G138+'@MIA'!G138+'@KCC'!G138+'@BOS'!G138+'@OAK'!G138+blank1!G138+blank!G138</f>
        <v>0</v>
      </c>
      <c r="H138">
        <f>NYJ!H138+HOU!H138+BOS!H138+SDC!H138+'@DEN'!H138+OAK!H138+'@HOU'!H138+MIA!H138+'@NYJ'!H138+DEN!H138+'@MIA'!H138+'@KCC'!H138+'@BOS'!H138+'@OAK'!H138+blank1!H138+blank!H138</f>
        <v>0</v>
      </c>
    </row>
    <row r="139" spans="1:8" ht="12.75">
      <c r="A139" t="s">
        <v>135</v>
      </c>
      <c r="C139">
        <f>+NYJ!C139+HOU!C139+BOS!C139+SDC!C139+'@DEN'!C139+OAK!C139+'@HOU'!C139+MIA!C139+'@NYJ'!C139+DEN!C139+'@MIA'!C139+'@KCC'!C139+'@BOS'!C139+'@OAK'!C139+blank1!C139+blank!C139</f>
        <v>3</v>
      </c>
      <c r="D139">
        <f>+NYJ!D139+HOU!D139+BOS!D139+SDC!D139+'@DEN'!D139+OAK!D139+'@HOU'!D139+MIA!D139+'@NYJ'!D139+DEN!D139+'@MIA'!D139+'@KCC'!D139+'@BOS'!D139+'@OAK'!D139+blank1!D139+blank!D139</f>
        <v>23</v>
      </c>
      <c r="E139" s="12">
        <f t="shared" si="5"/>
        <v>7.666666666666667</v>
      </c>
      <c r="F139">
        <f>MAX(NYJ!F139,HOU!F139,BOS!F139,SDC!F139,'@DEN'!F139,OAK!F139,'@HOU'!F139,'@NYJ'!F139,DEN!F139,'@MIA'!F139,'@KCC'!F139,'@BOS'!F139,'@OAK'!F139,blank1!F139,blank!F139,+MIA!F139)</f>
        <v>13</v>
      </c>
      <c r="G139">
        <f>+NYJ!G139+HOU!G139+BOS!G139+SDC!G139+'@DEN'!G139+OAK!G139+'@HOU'!G139+MIA!G139+'@NYJ'!G139+DEN!G139+'@MIA'!G139+'@KCC'!G139+'@BOS'!G139+'@OAK'!G139+blank1!G139+blank!G139</f>
        <v>0</v>
      </c>
      <c r="H139">
        <f>NYJ!H139+HOU!H139+BOS!H139+SDC!H139+'@DEN'!H139+OAK!H139+'@HOU'!H139+MIA!H139+'@NYJ'!H139+DEN!H139+'@MIA'!H139+'@KCC'!H139+'@BOS'!H139+'@OAK'!H139+blank1!H139+blank!H139</f>
        <v>0</v>
      </c>
    </row>
    <row r="140" spans="1:8" ht="12.75">
      <c r="A140" t="s">
        <v>127</v>
      </c>
      <c r="C140">
        <f>+NYJ!C140+HOU!C140+BOS!C140+SDC!C140+'@DEN'!C140+OAK!C140+'@HOU'!C140+MIA!C140+'@NYJ'!C140+DEN!C140+'@MIA'!C140+'@KCC'!C140+'@BOS'!C140+'@OAK'!C140+blank1!C140+blank!C140</f>
        <v>4</v>
      </c>
      <c r="D140">
        <f>+NYJ!D140+HOU!D140+BOS!D140+SDC!D140+'@DEN'!D140+OAK!D140+'@HOU'!D140+MIA!D140+'@NYJ'!D140+DEN!D140+'@MIA'!D140+'@KCC'!D140+'@BOS'!D140+'@OAK'!D140+blank1!D140+blank!D140</f>
        <v>2</v>
      </c>
      <c r="E140" s="12">
        <f t="shared" si="5"/>
        <v>0.5</v>
      </c>
      <c r="F140">
        <f>MAX(NYJ!F140,HOU!F140,BOS!F140,SDC!F140,'@DEN'!F140,OAK!F140,'@HOU'!F140,'@NYJ'!F140,DEN!F140,'@MIA'!F140,'@KCC'!F140,'@BOS'!F140,'@OAK'!F140,blank1!F140,blank!F140,+MIA!F140)</f>
        <v>1</v>
      </c>
      <c r="G140">
        <f>+NYJ!G140+HOU!G140+BOS!G140+SDC!G140+'@DEN'!G140+OAK!G140+'@HOU'!G140+MIA!G140+'@NYJ'!G140+DEN!G140+'@MIA'!G140+'@KCC'!G140+'@BOS'!G140+'@OAK'!G140+blank1!G140+blank!G140</f>
        <v>0</v>
      </c>
      <c r="H140">
        <f>NYJ!H140+HOU!H140+BOS!H140+SDC!H140+'@DEN'!H140+OAK!H140+'@HOU'!H140+MIA!H140+'@NYJ'!H140+DEN!H140+'@MIA'!H140+'@KCC'!H140+'@BOS'!H140+'@OAK'!H140+blank1!H140+blank!H140</f>
        <v>0</v>
      </c>
    </row>
    <row r="141" spans="1:8" ht="12.75">
      <c r="A141" t="s">
        <v>125</v>
      </c>
      <c r="C141">
        <f>+NYJ!C141+HOU!C141+BOS!C141+SDC!C141+'@DEN'!C141+OAK!C141+'@HOU'!C141+MIA!C141+'@NYJ'!C141+DEN!C141+'@MIA'!C141+'@KCC'!C141+'@BOS'!C141+'@OAK'!C141+blank1!C141+blank!C141</f>
        <v>7</v>
      </c>
      <c r="D141">
        <f>+NYJ!D141+HOU!D141+BOS!D141+SDC!D141+'@DEN'!D141+OAK!D141+'@HOU'!D141+MIA!D141+'@NYJ'!D141+DEN!D141+'@MIA'!D141+'@KCC'!D141+'@BOS'!D141+'@OAK'!D141+blank1!D141+blank!D141</f>
        <v>49</v>
      </c>
      <c r="E141" s="12">
        <f t="shared" si="5"/>
        <v>7</v>
      </c>
      <c r="F141">
        <f>MAX(NYJ!F141,HOU!F141,BOS!F141,SDC!F141,'@DEN'!F141,OAK!F141,'@HOU'!F141,'@NYJ'!F141,DEN!F141,'@MIA'!F141,'@KCC'!F141,'@BOS'!F141,'@OAK'!F141,blank1!F141,blank!F141,+MIA!F141)</f>
        <v>15</v>
      </c>
      <c r="G141">
        <f>+NYJ!G141+HOU!G141+BOS!G141+SDC!G141+'@DEN'!G141+OAK!G141+'@HOU'!G141+MIA!G141+'@NYJ'!G141+DEN!G141+'@MIA'!G141+'@KCC'!G141+'@BOS'!G141+'@OAK'!G141+blank1!G141+blank!G141</f>
        <v>0</v>
      </c>
      <c r="H141">
        <f>NYJ!H141+HOU!H141+BOS!H141+SDC!H141+'@DEN'!H141+OAK!H141+'@HOU'!H141+MIA!H141+'@NYJ'!H141+DEN!H141+'@MIA'!H141+'@KCC'!H141+'@BOS'!H141+'@OAK'!H141+blank1!H141+blank!H141</f>
        <v>0</v>
      </c>
    </row>
    <row r="142" spans="1:8" ht="12.75">
      <c r="A142" t="s">
        <v>136</v>
      </c>
      <c r="C142">
        <f>+NYJ!C142+HOU!C142+BOS!C142+SDC!C142+'@DEN'!C142+OAK!C142+'@HOU'!C142+MIA!C142+'@NYJ'!C142+DEN!C142+'@MIA'!C142+'@KCC'!C142+'@BOS'!C142+'@OAK'!C142+blank1!C142+blank!C142</f>
        <v>14</v>
      </c>
      <c r="D142">
        <f>+NYJ!D142+HOU!D142+BOS!D142+SDC!D142+'@DEN'!D142+OAK!D142+'@HOU'!D142+MIA!D142+'@NYJ'!D142+DEN!D142+'@MIA'!D142+'@KCC'!D142+'@BOS'!D142+'@OAK'!D142+blank1!D142+blank!D142</f>
        <v>244</v>
      </c>
      <c r="E142" s="12">
        <f t="shared" si="5"/>
        <v>17.428571428571427</v>
      </c>
      <c r="F142">
        <f>MAX(NYJ!F142,HOU!F142,BOS!F142,SDC!F142,'@DEN'!F142,OAK!F142,'@HOU'!F142,'@NYJ'!F142,DEN!F142,'@MIA'!F142,'@KCC'!F142,'@BOS'!F142,'@OAK'!F142,blank1!F142,blank!F142,+MIA!F142)</f>
        <v>87</v>
      </c>
      <c r="G142">
        <f>+NYJ!G142+HOU!G142+BOS!G142+SDC!G142+'@DEN'!G142+OAK!G142+'@HOU'!G142+MIA!G142+'@NYJ'!G142+DEN!G142+'@MIA'!G142+'@KCC'!G142+'@BOS'!G142+'@OAK'!G142+blank1!G142+blank!G142</f>
        <v>1</v>
      </c>
      <c r="H142">
        <f>NYJ!H142+HOU!H142+BOS!H142+SDC!H142+'@DEN'!H142+OAK!H142+'@HOU'!H142+MIA!H142+'@NYJ'!H142+DEN!H142+'@MIA'!H142+'@KCC'!H142+'@BOS'!H142+'@OAK'!H142+blank1!H142+blank!H142</f>
        <v>0</v>
      </c>
    </row>
    <row r="143" spans="1:8" ht="12.75">
      <c r="A143" t="s">
        <v>142</v>
      </c>
      <c r="C143">
        <f>+NYJ!C143+HOU!C143+BOS!C143+SDC!C143+'@DEN'!C143+OAK!C143+'@HOU'!C143+MIA!C143+'@NYJ'!C143+DEN!C143+'@MIA'!C143+'@KCC'!C143+'@BOS'!C143+'@OAK'!C143+blank1!C143+blank!C143</f>
        <v>4</v>
      </c>
      <c r="D143">
        <f>+NYJ!D143+HOU!D143+BOS!D143+SDC!D143+'@DEN'!D143+OAK!D143+'@HOU'!D143+MIA!D143+'@NYJ'!D143+DEN!D143+'@MIA'!D143+'@KCC'!D143+'@BOS'!D143+'@OAK'!D143+blank1!D143+blank!D143</f>
        <v>45</v>
      </c>
      <c r="E143" s="12">
        <f t="shared" si="5"/>
        <v>11.25</v>
      </c>
      <c r="F143">
        <f>MAX(NYJ!F143,HOU!F143,BOS!F143,SDC!F143,'@DEN'!F143,OAK!F143,'@HOU'!F143,'@NYJ'!F143,DEN!F143,'@MIA'!F143,'@KCC'!F143,'@BOS'!F143,'@OAK'!F143,blank1!F143,blank!F143,+MIA!F143)</f>
        <v>18</v>
      </c>
      <c r="G143">
        <f>+NYJ!G143+HOU!G143+BOS!G143+SDC!G143+'@DEN'!G143+OAK!G143+'@HOU'!G143+MIA!G143+'@NYJ'!G143+DEN!G143+'@MIA'!G143+'@KCC'!G143+'@BOS'!G143+'@OAK'!G143+blank1!G143+blank!G143</f>
        <v>0</v>
      </c>
      <c r="H143">
        <f>NYJ!H143+HOU!H143+BOS!H143+SDC!H143+'@DEN'!H143+OAK!H143+'@HOU'!H143+MIA!H143+'@NYJ'!H143+DEN!H143+'@MIA'!H143+'@KCC'!H143+'@BOS'!H143+'@OAK'!H143+blank1!H143+blank!H143</f>
        <v>0</v>
      </c>
    </row>
    <row r="144" spans="1:8" ht="12.75">
      <c r="A144" t="s">
        <v>129</v>
      </c>
      <c r="C144">
        <f>+NYJ!C144+HOU!C144+BOS!C144+SDC!C144+'@DEN'!C144+OAK!C144+'@HOU'!C144+MIA!C144+'@NYJ'!C144+DEN!C144+'@MIA'!C144+'@KCC'!C144+'@BOS'!C144+'@OAK'!C144+blank1!C144+blank!C144</f>
        <v>0</v>
      </c>
      <c r="D144">
        <f>+NYJ!D144+HOU!D144+BOS!D144+SDC!D144+'@DEN'!D144+OAK!D144+'@HOU'!D144+MIA!D144+'@NYJ'!D144+DEN!D144+'@MIA'!D144+'@KCC'!D144+'@BOS'!D144+'@OAK'!D144+blank1!D144+blank!D144</f>
        <v>0</v>
      </c>
      <c r="E144" s="12" t="e">
        <f t="shared" si="5"/>
        <v>#DIV/0!</v>
      </c>
      <c r="F144">
        <f>MAX(NYJ!F144,HOU!F144,BOS!F144,SDC!F144,'@DEN'!F144,OAK!F144,'@HOU'!F144,'@NYJ'!F144,DEN!F144,'@MIA'!F144,'@KCC'!F144,'@BOS'!F144,'@OAK'!F144,blank1!F144,blank!F144,+MIA!F144)</f>
        <v>0</v>
      </c>
      <c r="G144">
        <f>+NYJ!G144+HOU!G144+BOS!G144+SDC!G144+'@DEN'!G144+OAK!G144+'@HOU'!G144+MIA!G144+'@NYJ'!G144+DEN!G144+'@MIA'!G144+'@KCC'!G144+'@BOS'!G144+'@OAK'!G144+blank1!G144+blank!G144</f>
        <v>0</v>
      </c>
      <c r="H144">
        <f>NYJ!H144+HOU!H144+BOS!H144+SDC!H144+'@DEN'!H144+OAK!H144+'@HOU'!H144+MIA!H144+'@NYJ'!H144+DEN!H144+'@MIA'!H144+'@KCC'!H144+'@BOS'!H144+'@OAK'!H144+blank1!H144+blank!H144</f>
        <v>0</v>
      </c>
    </row>
    <row r="145" spans="1:8" ht="12.75">
      <c r="A145" t="s">
        <v>137</v>
      </c>
      <c r="C145">
        <f>+NYJ!C145+HOU!C145+BOS!C145+SDC!C145+'@DEN'!C145+OAK!C145+'@HOU'!C145+MIA!C145+'@NYJ'!C145+DEN!C145+'@MIA'!C145+'@KCC'!C145+'@BOS'!C145+'@OAK'!C145+blank1!C145+blank!C145</f>
        <v>1</v>
      </c>
      <c r="D145">
        <f>+NYJ!D145+HOU!D145+BOS!D145+SDC!D145+'@DEN'!D145+OAK!D145+'@HOU'!D145+MIA!D145+'@NYJ'!D145+DEN!D145+'@MIA'!D145+'@KCC'!D145+'@BOS'!D145+'@OAK'!D145+blank1!D145+blank!D145</f>
        <v>34</v>
      </c>
      <c r="E145" s="12">
        <f t="shared" si="5"/>
        <v>34</v>
      </c>
      <c r="F145">
        <f>MAX(NYJ!F145,HOU!F145,BOS!F145,SDC!F145,'@DEN'!F145,OAK!F145,'@HOU'!F145,'@NYJ'!F145,DEN!F145,'@MIA'!F145,'@KCC'!F145,'@BOS'!F145,'@OAK'!F145,blank1!F145,blank!F145,+MIA!F145)</f>
        <v>34</v>
      </c>
      <c r="G145">
        <f>+NYJ!G145+HOU!G145+BOS!G145+SDC!G145+'@DEN'!G145+OAK!G145+'@HOU'!G145+MIA!G145+'@NYJ'!G145+DEN!G145+'@MIA'!G145+'@KCC'!G145+'@BOS'!G145+'@OAK'!G145+blank1!G145+blank!G145</f>
        <v>0</v>
      </c>
      <c r="H145">
        <f>NYJ!H145+HOU!H145+BOS!H145+SDC!H145+'@DEN'!H145+OAK!H145+'@HOU'!H145+MIA!H145+'@NYJ'!H145+DEN!H145+'@MIA'!H145+'@KCC'!H145+'@BOS'!H145+'@OAK'!H145+blank1!H145+blank!H145</f>
        <v>0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f>NYJ!C148+HOU!C148+BOS!C148+SDC!C148+'@DEN'!C148+OAK!C148+'@HOU'!C148+MIA!C148+'@NYJ'!C148+DEN!C148+'@MIA'!C148+'@KCC'!C148+'@BOS'!C148+'@OAK'!C148+blank1!C148+blank!C148</f>
        <v>13</v>
      </c>
      <c r="D148">
        <f>NYJ!D148+HOU!D148+BOS!D148+SDC!D148+'@DEN'!D148+OAK!D148+'@HOU'!D148+MIA!D148+'@NYJ'!D148+DEN!D148+'@MIA'!D148+'@KCC'!D148+'@BOS'!D148+'@OAK'!D148+blank1!D148+blank!D148</f>
        <v>106</v>
      </c>
    </row>
    <row r="149" spans="1:4" ht="12.75">
      <c r="A149" t="s">
        <v>134</v>
      </c>
      <c r="C149">
        <f>NYJ!C149+HOU!C149+BOS!C149+SDC!C149+'@DEN'!C149+OAK!C149+'@HOU'!C149+MIA!C149+'@NYJ'!C149+DEN!C149+'@MIA'!C149+'@KCC'!C149+'@BOS'!C149+'@OAK'!C149+blank1!C149+blank!C149</f>
        <v>7</v>
      </c>
      <c r="D149">
        <f>NYJ!D149+HOU!D149+BOS!D149+SDC!D149+'@DEN'!D149+OAK!D149+'@HOU'!D149+MIA!D149+'@NYJ'!D149+DEN!D149+'@MIA'!D149+'@KCC'!D149+'@BOS'!D149+'@OAK'!D149+blank1!D149+blank!D149</f>
        <v>47</v>
      </c>
    </row>
    <row r="150" spans="1:4" ht="12.75">
      <c r="A150" t="s">
        <v>138</v>
      </c>
      <c r="C150">
        <f>NYJ!C150+HOU!C150+BOS!C150+SDC!C150+'@DEN'!C150+OAK!C150+'@HOU'!C150+MIA!C150+'@NYJ'!C150+DEN!C150+'@MIA'!C150+'@KCC'!C150+'@BOS'!C150+'@OAK'!C150+blank1!C150+blank!C150</f>
        <v>1</v>
      </c>
      <c r="D150">
        <f>NYJ!D150+HOU!D150+BOS!D150+SDC!D150+'@DEN'!D150+OAK!D150+'@HOU'!D150+MIA!D150+'@NYJ'!D150+DEN!D150+'@MIA'!D150+'@KCC'!D150+'@BOS'!D150+'@OAK'!D150+blank1!D150+blank!D150</f>
        <v>11</v>
      </c>
    </row>
    <row r="151" spans="1:4" ht="12.75">
      <c r="A151" t="s">
        <v>139</v>
      </c>
      <c r="C151">
        <f>NYJ!C151+HOU!C151+BOS!C151+SDC!C151+'@DEN'!C151+OAK!C151+'@HOU'!C151+MIA!C151+'@NYJ'!C151+DEN!C151+'@MIA'!C151+'@KCC'!C151+'@BOS'!C151+'@OAK'!C151+blank1!C151+blank!C151</f>
        <v>5</v>
      </c>
      <c r="D151">
        <f>NYJ!D151+HOU!D151+BOS!D151+SDC!D151+'@DEN'!D151+OAK!D151+'@HOU'!D151+MIA!D151+'@NYJ'!D151+DEN!D151+'@MIA'!D151+'@KCC'!D151+'@BOS'!D151+'@OAK'!D151+blank1!D151+blank!D151</f>
        <v>35</v>
      </c>
    </row>
    <row r="152" spans="1:4" ht="12.75">
      <c r="A152" t="s">
        <v>140</v>
      </c>
      <c r="C152">
        <f>NYJ!C152+HOU!C152+BOS!C152+SDC!C152+'@DEN'!C152+OAK!C152+'@HOU'!C152+MIA!C152+'@NYJ'!C152+DEN!C152+'@MIA'!C152+'@KCC'!C152+'@BOS'!C152+'@OAK'!C152+blank1!C152+blank!C152</f>
        <v>3</v>
      </c>
      <c r="D152">
        <f>NYJ!D152+HOU!D152+BOS!D152+SDC!D152+'@DEN'!D152+OAK!D152+'@HOU'!D152+MIA!D152+'@NYJ'!D152+DEN!D152+'@MIA'!D152+'@KCC'!D152+'@BOS'!D152+'@OAK'!D152+blank1!D152+blank!D152</f>
        <v>27</v>
      </c>
    </row>
    <row r="153" spans="1:4" ht="12.75">
      <c r="A153" t="s">
        <v>135</v>
      </c>
      <c r="C153">
        <f>NYJ!C153+HOU!C153+BOS!C153+SDC!C153+'@DEN'!C153+OAK!C153+'@HOU'!C153+MIA!C153+'@NYJ'!C153+DEN!C153+'@MIA'!C153+'@KCC'!C153+'@BOS'!C153+'@OAK'!C153+blank1!C153+blank!C153</f>
        <v>1</v>
      </c>
      <c r="D153">
        <f>NYJ!D153+HOU!D153+BOS!D153+SDC!D153+'@DEN'!D153+OAK!D153+'@HOU'!D153+MIA!D153+'@NYJ'!D153+DEN!D153+'@MIA'!D153+'@KCC'!D153+'@BOS'!D153+'@OAK'!D153+blank1!D153+blank!D153</f>
        <v>8</v>
      </c>
    </row>
    <row r="154" spans="1:4" ht="12.75">
      <c r="A154" t="s">
        <v>136</v>
      </c>
      <c r="C154">
        <f>NYJ!C154+HOU!C154+BOS!C154+SDC!C154+'@DEN'!C154+OAK!C154+'@HOU'!C154+MIA!C154+'@NYJ'!C154+DEN!C154+'@MIA'!C154+'@KCC'!C154+'@BOS'!C154+'@OAK'!C154+blank1!C154+blank!C154</f>
        <v>6</v>
      </c>
      <c r="D154">
        <f>NYJ!D154+HOU!D154+BOS!D154+SDC!D154+'@DEN'!D154+OAK!D154+'@HOU'!D154+MIA!D154+'@NYJ'!D154+DEN!D154+'@MIA'!D154+'@KCC'!D154+'@BOS'!D154+'@OAK'!D154+blank1!D154+blank!D154</f>
        <v>60</v>
      </c>
    </row>
    <row r="155" spans="1:4" ht="12.75">
      <c r="A155" t="s">
        <v>142</v>
      </c>
      <c r="C155">
        <f>NYJ!C155+HOU!C155+BOS!C155+SDC!C155+'@DEN'!C155+OAK!C155+'@HOU'!C155+MIA!C155+'@NYJ'!C155+DEN!C155+'@MIA'!C155+'@KCC'!C155+'@BOS'!C155+'@OAK'!C155+blank1!C155+blank!C155</f>
        <v>3</v>
      </c>
      <c r="D155">
        <f>NYJ!D155+HOU!D155+BOS!D155+SDC!D155+'@DEN'!D155+OAK!D155+'@HOU'!D155+MIA!D155+'@NYJ'!D155+DEN!D155+'@MIA'!D155+'@KCC'!D155+'@BOS'!D155+'@OAK'!D155+blank1!D155+blank!D155</f>
        <v>35</v>
      </c>
    </row>
    <row r="156" spans="1:4" ht="12.75">
      <c r="A156" t="s">
        <v>129</v>
      </c>
      <c r="C156">
        <f>NYJ!C156+HOU!C156+BOS!C156+SDC!C156+'@DEN'!C156+OAK!C156+'@HOU'!C156+MIA!C156+'@NYJ'!C156+DEN!C156+'@MIA'!C156+'@KCC'!C156+'@BOS'!C156+'@OAK'!C156+blank1!C156+blank!C156</f>
        <v>0</v>
      </c>
      <c r="D156">
        <f>NYJ!D156+HOU!D156+BOS!D156+SDC!D156+'@DEN'!D156+OAK!D156+'@HOU'!D156+MIA!D156+'@NYJ'!D156+DEN!D156+'@MIA'!D156+'@KCC'!D156+'@BOS'!D156+'@OAK'!D156+blank1!D156+blank!D156</f>
        <v>0</v>
      </c>
    </row>
    <row r="157" spans="1:4" ht="12.75">
      <c r="A157" t="s">
        <v>137</v>
      </c>
      <c r="C157">
        <f>NYJ!C157+HOU!C157+BOS!C157+SDC!C157+'@DEN'!C157+OAK!C157+'@HOU'!C157+MIA!C157+'@NYJ'!C157+DEN!C157+'@MIA'!C157+'@KCC'!C157+'@BOS'!C157+'@OAK'!C157+blank1!C157+blank!C157</f>
        <v>0</v>
      </c>
      <c r="D157">
        <f>NYJ!D157+HOU!D157+BOS!D157+SDC!D157+'@DEN'!D157+OAK!D157+'@HOU'!D157+MIA!D157+'@NYJ'!D157+DEN!D157+'@MIA'!D157+'@KCC'!D157+'@BOS'!D157+'@OAK'!D157+blank1!D157+blank!D157</f>
        <v>0</v>
      </c>
    </row>
    <row r="158" spans="3:4" ht="12.75">
      <c r="C158">
        <f>NYJ!C158+HOU!C158+BOS!C158+SDC!C158+'@DEN'!C158+OAK!C158+'@HOU'!C158+MIA!C158+'@NYJ'!C158+DEN!C158+'@MIA'!C158+'@KCC'!C158+'@BOS'!C158+'@OAK'!C158+blank1!C158+blank!C158</f>
        <v>0</v>
      </c>
      <c r="D158">
        <f>NYJ!D158+HOU!D158+BOS!D158+SDC!D158+'@DEN'!D158+OAK!D158+'@HOU'!D158+MIA!D158+'@NYJ'!D158+DEN!D158+'@MIA'!D158+'@KCC'!D158+'@BOS'!D158+'@OAK'!D158+blank1!D158+blank!D158</f>
        <v>0</v>
      </c>
    </row>
    <row r="159" spans="3:4" ht="12.75">
      <c r="C159">
        <f>NYJ!C159+HOU!C159+BOS!C159+SDC!C159+'@DEN'!C159+OAK!C159+'@HOU'!C159+MIA!C159+'@NYJ'!C159+DEN!C159+'@MIA'!C159+'@KCC'!C159+'@BOS'!C159+'@OAK'!C159+blank1!C159+blank!C159</f>
        <v>0</v>
      </c>
      <c r="D159">
        <f>NYJ!D159+HOU!D159+BOS!D159+SDC!D159+'@DEN'!D159+OAK!D159+'@HOU'!D159+MIA!D159+'@NYJ'!D159+DEN!D159+'@MIA'!D159+'@KCC'!D159+'@BOS'!D159+'@OAK'!D159+blank1!D159+blank!D159</f>
        <v>0</v>
      </c>
    </row>
    <row r="160" spans="3:4" ht="12.75">
      <c r="C160">
        <f>NYJ!C160+HOU!C160+BOS!C160+SDC!C160+'@DEN'!C160+OAK!C160+'@HOU'!C160+MIA!C160+'@NYJ'!C160+DEN!C160+'@MIA'!C160+'@KCC'!C160+'@BOS'!C160+'@OAK'!C160+blank1!C160+blank!C160</f>
        <v>0</v>
      </c>
      <c r="D160">
        <f>NYJ!D160+HOU!D160+BOS!D160+SDC!D160+'@DEN'!D160+OAK!D160+'@HOU'!D160+MIA!D160+'@NYJ'!D160+DEN!D160+'@MIA'!D160+'@KCC'!D160+'@BOS'!D160+'@OAK'!D160+blank1!D160+blank!D160</f>
        <v>0</v>
      </c>
    </row>
    <row r="162" spans="4:15" ht="12.75">
      <c r="D162" s="2" t="s">
        <v>88</v>
      </c>
      <c r="E162" s="2" t="s">
        <v>89</v>
      </c>
      <c r="N162" s="2" t="s">
        <v>88</v>
      </c>
      <c r="O162" s="2" t="s">
        <v>89</v>
      </c>
    </row>
    <row r="163" spans="1:15" ht="12.75">
      <c r="A163" t="s">
        <v>97</v>
      </c>
      <c r="C163">
        <f>NYJ!D163+HOU!D163+BOS!D163+SDC!D163+'@DEN'!D163+OAK!D163+'@HOU'!D163+MIA!D163+'@NYJ'!D163+DEN!D163+'@MIA'!D163+'@KCC'!D163+'@BOS'!D163+'@OAK'!D163+blank1!D163+blank!D163</f>
        <v>169</v>
      </c>
      <c r="D163">
        <f>+C163/$B$2</f>
        <v>12.071428571428571</v>
      </c>
      <c r="E163" s="22">
        <f>226/16</f>
        <v>14.125</v>
      </c>
      <c r="H163" t="s">
        <v>97</v>
      </c>
      <c r="M163">
        <f>NYJ!M163+HOU!M163+BOS!M163+SDC!M163+'@DEN'!M163+OAK!M163+'@HOU'!M163+MIA!M163+'@NYJ'!M163+DEN!M163+'@MIA'!M163+'@KCC'!M163+'@BOS'!M163+'@OAK'!M163+blank1!M163+blank!M163</f>
        <v>178</v>
      </c>
      <c r="N163">
        <f>+M163/$B$2</f>
        <v>12.714285714285714</v>
      </c>
      <c r="O163" s="22">
        <f>208/16</f>
        <v>13</v>
      </c>
    </row>
    <row r="164" spans="1:15" ht="12.75">
      <c r="A164" t="s">
        <v>98</v>
      </c>
      <c r="C164">
        <f>NYJ!D164+HOU!D164+BOS!D164+SDC!D164+'@DEN'!D164+OAK!D164+'@HOU'!D164+MIA!D164+'@NYJ'!D164+DEN!D164+'@MIA'!D164+'@KCC'!D164+'@BOS'!D164+'@OAK'!D164+blank1!D164+blank!D164</f>
        <v>53</v>
      </c>
      <c r="D164">
        <f>+C164/$B$2</f>
        <v>3.7857142857142856</v>
      </c>
      <c r="E164" s="22">
        <f>99/16</f>
        <v>6.1875</v>
      </c>
      <c r="H164" t="s">
        <v>98</v>
      </c>
      <c r="M164">
        <f>NYJ!M164+HOU!M164+BOS!M164+SDC!M164+'@DEN'!M164+OAK!M164+'@HOU'!M164+MIA!M164+'@NYJ'!M164+DEN!M164+'@MIA'!M164+'@KCC'!M164+'@BOS'!M164+'@OAK'!M164+blank1!M164+blank!M164</f>
        <v>69</v>
      </c>
      <c r="N164">
        <f>+M164/$B$2</f>
        <v>4.928571428571429</v>
      </c>
      <c r="O164" s="22">
        <f>76/16</f>
        <v>4.75</v>
      </c>
    </row>
    <row r="165" spans="1:15" ht="12.75">
      <c r="A165" t="s">
        <v>99</v>
      </c>
      <c r="D165">
        <f>C164/C163*100</f>
        <v>31.360946745562128</v>
      </c>
      <c r="E165" s="23">
        <f>E164/E163*100</f>
        <v>43.80530973451327</v>
      </c>
      <c r="H165" t="s">
        <v>99</v>
      </c>
      <c r="N165">
        <f>M164/M163*100</f>
        <v>38.764044943820224</v>
      </c>
      <c r="O165" s="23">
        <f>O164/O163*100</f>
        <v>36.53846153846153</v>
      </c>
    </row>
    <row r="167" spans="1:5" ht="12.75">
      <c r="A167" t="s">
        <v>102</v>
      </c>
      <c r="C167">
        <f>NYJ!M31+NYJ!M53+HOU!M31+HOU!M53+BOS!M31+BOS!M53+SDC!M31+SDC!M53+'@DEN'!M31+'@DEN'!M53+OAK!M53+OAK!M31+'@HOU'!M31+'@HOU'!M53+MIA!M31+MIA!M53+'@NYJ'!M31+'@NYJ'!M53+DEN!M31+DEN!M53+'@MIA'!M31+'@MIA'!M53+'@KCC'!M31+'@KCC'!M53+'@BOS'!M31+'@BOS'!M53+'@OAK'!M31+'@OAK'!M53+blank1!M31+blank1!M53+blank!M31+blank!M53</f>
        <v>65</v>
      </c>
      <c r="D167">
        <f>C167/$B$2</f>
        <v>4.642857142857143</v>
      </c>
      <c r="E167">
        <v>31</v>
      </c>
    </row>
    <row r="168" spans="1:5" ht="12.75">
      <c r="A168" t="s">
        <v>103</v>
      </c>
      <c r="C168">
        <f>NYJ!D31+NYJ!D55+HOU!D31+HOU!D55+BOS!D31+BOS!D55+SDC!D31+SDC!D55+'@DEN'!D31+'@DEN'!D55+OAK!D31+OAK!D55+'@HOU'!D31+'@HOU'!D55+MIA!D31+MIA!D55+'@NYJ'!D31+'@NYJ'!D55+DEN!D31+DEN!D55+'@MIA'!D31+'@MIA'!D55+'@KCC'!D31+'@KCC'!D55+'@BOS'!D31+'@BOS'!D55+'@OAK'!D31+'@OAK'!D55+blank1!D31+blank1!D55+blank!D31+blank!D55</f>
        <v>39</v>
      </c>
      <c r="D168">
        <f>C168/$B$2</f>
        <v>2.7857142857142856</v>
      </c>
      <c r="E168">
        <v>21</v>
      </c>
    </row>
    <row r="169" spans="1:5" ht="12.75">
      <c r="A169" t="s">
        <v>104</v>
      </c>
      <c r="C169">
        <f>C167-C168</f>
        <v>26</v>
      </c>
      <c r="D169">
        <f>D167-D168</f>
        <v>1.8571428571428577</v>
      </c>
      <c r="E169">
        <f>E167-E168</f>
        <v>10</v>
      </c>
    </row>
    <row r="171" spans="1:7" ht="12.75">
      <c r="A171" s="2" t="s">
        <v>105</v>
      </c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ht="12.75">
      <c r="B173" s="2" t="s">
        <v>89</v>
      </c>
    </row>
    <row r="174" spans="1:9" ht="12.75">
      <c r="A174" s="2" t="s">
        <v>50</v>
      </c>
      <c r="B174" s="3" t="s">
        <v>59</v>
      </c>
      <c r="C174" s="3" t="s">
        <v>52</v>
      </c>
      <c r="D174" s="3" t="s">
        <v>106</v>
      </c>
      <c r="E174" s="2" t="s">
        <v>107</v>
      </c>
      <c r="F174" s="3" t="s">
        <v>106</v>
      </c>
      <c r="H174" s="3"/>
      <c r="I174" s="3"/>
    </row>
    <row r="175" spans="1:9" ht="12.75">
      <c r="A175" t="str">
        <f>A72</f>
        <v>Lincoln</v>
      </c>
      <c r="B175">
        <f>C72-159</f>
        <v>5</v>
      </c>
      <c r="C175">
        <v>601</v>
      </c>
      <c r="D175" s="2">
        <f>D72-C175</f>
        <v>93</v>
      </c>
      <c r="E175">
        <v>3.8</v>
      </c>
      <c r="F175" s="12">
        <f>E72-E175</f>
        <v>0.43170731707317067</v>
      </c>
      <c r="H175" s="9"/>
      <c r="I175" s="9"/>
    </row>
    <row r="176" spans="1:9" ht="12.75">
      <c r="A176" t="str">
        <f>A73</f>
        <v>Carlton</v>
      </c>
      <c r="B176">
        <f>C73-107</f>
        <v>8</v>
      </c>
      <c r="C176">
        <v>467</v>
      </c>
      <c r="D176" s="2">
        <f>D73-C176</f>
        <v>85</v>
      </c>
      <c r="E176">
        <v>4.4</v>
      </c>
      <c r="F176" s="12">
        <f>E73-E176</f>
        <v>0.39999999999999947</v>
      </c>
      <c r="H176" s="9"/>
      <c r="I176" s="9"/>
    </row>
    <row r="177" spans="1:9" ht="12.75">
      <c r="A177" t="str">
        <f>A74</f>
        <v>Burnett</v>
      </c>
      <c r="B177">
        <f>C74-45</f>
        <v>-6</v>
      </c>
      <c r="C177">
        <v>96</v>
      </c>
      <c r="D177" s="2">
        <f>D74-C177</f>
        <v>8</v>
      </c>
      <c r="E177">
        <v>2.1</v>
      </c>
      <c r="F177" s="12">
        <f>E74-E177</f>
        <v>0.5666666666666664</v>
      </c>
      <c r="H177" s="9"/>
      <c r="I177" s="9"/>
    </row>
    <row r="178" spans="1:9" ht="12.75">
      <c r="A178" t="str">
        <f>A75</f>
        <v>Kemp</v>
      </c>
      <c r="B178">
        <f>C75-36</f>
        <v>-7</v>
      </c>
      <c r="C178">
        <v>58</v>
      </c>
      <c r="D178" s="2">
        <f>D75-C178</f>
        <v>8</v>
      </c>
      <c r="E178">
        <v>1.6</v>
      </c>
      <c r="F178" s="12">
        <f>E75-E178</f>
        <v>0.6758620689655173</v>
      </c>
      <c r="H178" s="9"/>
      <c r="I178" s="9"/>
    </row>
    <row r="179" spans="1:9" ht="12.75">
      <c r="A179" t="str">
        <f>A76</f>
        <v>Bivins</v>
      </c>
      <c r="B179">
        <f>C76-15</f>
        <v>1</v>
      </c>
      <c r="C179">
        <v>58</v>
      </c>
      <c r="D179" s="2">
        <f>D76-C179</f>
        <v>-27</v>
      </c>
      <c r="E179">
        <v>3.9</v>
      </c>
      <c r="F179" s="12">
        <f>E76-E179</f>
        <v>-1.9625</v>
      </c>
      <c r="H179" s="9"/>
      <c r="I179" s="9"/>
    </row>
    <row r="180" spans="4:6" ht="12.75">
      <c r="D180" s="2"/>
      <c r="F180" s="12"/>
    </row>
    <row r="181" spans="1:7" ht="12.75">
      <c r="A181" s="2" t="s">
        <v>56</v>
      </c>
      <c r="B181" s="2" t="s">
        <v>57</v>
      </c>
      <c r="C181" s="2" t="s">
        <v>106</v>
      </c>
      <c r="D181" s="2" t="s">
        <v>52</v>
      </c>
      <c r="E181" s="2" t="s">
        <v>106</v>
      </c>
      <c r="F181" s="2" t="s">
        <v>108</v>
      </c>
      <c r="G181" s="2" t="s">
        <v>106</v>
      </c>
    </row>
    <row r="182" spans="1:7" ht="12.75">
      <c r="A182" t="str">
        <f>A86</f>
        <v>Lincoln</v>
      </c>
      <c r="B182">
        <v>41</v>
      </c>
      <c r="C182" s="2">
        <f aca="true" t="shared" si="6" ref="C182:C193">C86-B182</f>
        <v>-15</v>
      </c>
      <c r="D182">
        <v>558</v>
      </c>
      <c r="E182" s="2">
        <f aca="true" t="shared" si="7" ref="E182:E193">D86-D182</f>
        <v>-292</v>
      </c>
      <c r="F182" s="8">
        <v>13.6</v>
      </c>
      <c r="G182" s="8">
        <f aca="true" t="shared" si="8" ref="G182:G193">E86-F182</f>
        <v>-3.3692307692307697</v>
      </c>
    </row>
    <row r="183" spans="1:7" ht="12.75">
      <c r="A183" t="str">
        <f aca="true" t="shared" si="9" ref="A183:A193">A87</f>
        <v>Carlton</v>
      </c>
      <c r="B183">
        <v>9</v>
      </c>
      <c r="C183" s="2">
        <f t="shared" si="6"/>
        <v>5</v>
      </c>
      <c r="D183">
        <v>97</v>
      </c>
      <c r="E183" s="2">
        <f t="shared" si="7"/>
        <v>36</v>
      </c>
      <c r="F183" s="8">
        <v>10.8</v>
      </c>
      <c r="G183" s="8">
        <f t="shared" si="8"/>
        <v>-1.3000000000000007</v>
      </c>
    </row>
    <row r="184" spans="1:7" ht="12.75">
      <c r="A184" t="str">
        <f t="shared" si="9"/>
        <v>Burnett</v>
      </c>
      <c r="B184">
        <v>11</v>
      </c>
      <c r="C184" s="2">
        <f t="shared" si="6"/>
        <v>-2</v>
      </c>
      <c r="D184">
        <v>114</v>
      </c>
      <c r="E184" s="2">
        <f t="shared" si="7"/>
        <v>-37</v>
      </c>
      <c r="F184" s="8">
        <v>10.4</v>
      </c>
      <c r="G184" s="8">
        <f t="shared" si="8"/>
        <v>-1.844444444444445</v>
      </c>
    </row>
    <row r="185" spans="1:7" ht="12.75">
      <c r="A185" t="str">
        <f t="shared" si="9"/>
        <v>Spikes</v>
      </c>
      <c r="B185">
        <v>1</v>
      </c>
      <c r="C185" s="2">
        <f t="shared" si="6"/>
        <v>2</v>
      </c>
      <c r="D185">
        <v>9</v>
      </c>
      <c r="E185" s="2">
        <f t="shared" si="7"/>
        <v>11</v>
      </c>
      <c r="F185" s="8">
        <v>9</v>
      </c>
      <c r="G185" s="8">
        <f t="shared" si="8"/>
        <v>-2.333333333333333</v>
      </c>
    </row>
    <row r="186" spans="1:7" ht="12.75">
      <c r="A186" t="str">
        <f t="shared" si="9"/>
        <v>Donaldson</v>
      </c>
      <c r="B186">
        <v>1</v>
      </c>
      <c r="C186" s="2">
        <f t="shared" si="6"/>
        <v>-1</v>
      </c>
      <c r="D186">
        <v>20</v>
      </c>
      <c r="E186" s="2">
        <f t="shared" si="7"/>
        <v>-20</v>
      </c>
      <c r="F186" s="8">
        <v>20</v>
      </c>
      <c r="G186" s="8" t="e">
        <f t="shared" si="8"/>
        <v>#DIV/0!</v>
      </c>
    </row>
    <row r="187" spans="1:7" ht="12.75">
      <c r="A187" t="str">
        <f t="shared" si="9"/>
        <v>Dubenion</v>
      </c>
      <c r="B187">
        <v>25</v>
      </c>
      <c r="C187" s="2">
        <f t="shared" si="6"/>
        <v>18</v>
      </c>
      <c r="D187">
        <v>384</v>
      </c>
      <c r="E187" s="2">
        <f t="shared" si="7"/>
        <v>414</v>
      </c>
      <c r="F187" s="8">
        <v>15.4</v>
      </c>
      <c r="G187" s="8">
        <f t="shared" si="8"/>
        <v>3.1581395348837216</v>
      </c>
    </row>
    <row r="188" spans="1:7" ht="12.75">
      <c r="A188" t="str">
        <f t="shared" si="9"/>
        <v>Costa</v>
      </c>
      <c r="B188">
        <v>39</v>
      </c>
      <c r="C188" s="2">
        <f t="shared" si="6"/>
        <v>-1</v>
      </c>
      <c r="D188">
        <v>726</v>
      </c>
      <c r="E188" s="2">
        <f t="shared" si="7"/>
        <v>-126</v>
      </c>
      <c r="F188" s="8">
        <v>18.6</v>
      </c>
      <c r="G188" s="8">
        <f t="shared" si="8"/>
        <v>-2.8105263157894758</v>
      </c>
    </row>
    <row r="189" spans="1:7" ht="12.75">
      <c r="A189" t="str">
        <f t="shared" si="9"/>
        <v>Masters</v>
      </c>
      <c r="B189">
        <v>20</v>
      </c>
      <c r="C189" s="2">
        <f t="shared" si="6"/>
        <v>17</v>
      </c>
      <c r="D189">
        <v>274</v>
      </c>
      <c r="E189" s="2">
        <f t="shared" si="7"/>
        <v>110</v>
      </c>
      <c r="F189" s="8">
        <v>13.7</v>
      </c>
      <c r="G189" s="8">
        <f t="shared" si="8"/>
        <v>-3.3216216216216203</v>
      </c>
    </row>
    <row r="190" spans="1:7" ht="12.75">
      <c r="A190" t="str">
        <f t="shared" si="9"/>
        <v>Powell</v>
      </c>
      <c r="B190">
        <v>20</v>
      </c>
      <c r="C190" s="2">
        <f t="shared" si="6"/>
        <v>6</v>
      </c>
      <c r="D190">
        <v>346</v>
      </c>
      <c r="E190" s="2">
        <f t="shared" si="7"/>
        <v>69</v>
      </c>
      <c r="F190" s="8">
        <v>17.3</v>
      </c>
      <c r="G190" s="8">
        <f t="shared" si="8"/>
        <v>-1.338461538461539</v>
      </c>
    </row>
    <row r="191" spans="1:7" ht="12.75">
      <c r="A191" t="str">
        <f t="shared" si="9"/>
        <v>Ledbetter</v>
      </c>
      <c r="B191">
        <v>9</v>
      </c>
      <c r="C191" s="2">
        <f t="shared" si="6"/>
        <v>0</v>
      </c>
      <c r="D191">
        <v>161</v>
      </c>
      <c r="E191" s="2">
        <f t="shared" si="7"/>
        <v>66</v>
      </c>
      <c r="F191">
        <v>17.9</v>
      </c>
      <c r="G191" s="8">
        <f t="shared" si="8"/>
        <v>7.322222222222223</v>
      </c>
    </row>
    <row r="192" spans="1:7" ht="12.75">
      <c r="A192" t="str">
        <f t="shared" si="9"/>
        <v>Rutkowski</v>
      </c>
      <c r="B192">
        <v>6</v>
      </c>
      <c r="C192" s="2">
        <f t="shared" si="6"/>
        <v>-2</v>
      </c>
      <c r="D192">
        <v>59</v>
      </c>
      <c r="E192" s="2">
        <f t="shared" si="7"/>
        <v>-8</v>
      </c>
      <c r="F192">
        <v>9.8</v>
      </c>
      <c r="G192" s="8">
        <f t="shared" si="8"/>
        <v>2.9499999999999993</v>
      </c>
    </row>
    <row r="193" spans="1:7" ht="12.75">
      <c r="A193" t="str">
        <f t="shared" si="9"/>
        <v>Tracey</v>
      </c>
      <c r="B193">
        <v>1</v>
      </c>
      <c r="C193" s="2">
        <f t="shared" si="6"/>
        <v>-1</v>
      </c>
      <c r="D193">
        <v>15</v>
      </c>
      <c r="E193" s="2">
        <f t="shared" si="7"/>
        <v>-15</v>
      </c>
      <c r="F193">
        <v>15</v>
      </c>
      <c r="G193" s="8" t="e">
        <f t="shared" si="8"/>
        <v>#DIV/0!</v>
      </c>
    </row>
    <row r="196" spans="1:6" ht="12.75">
      <c r="A196" s="2"/>
      <c r="D196" s="2" t="s">
        <v>61</v>
      </c>
      <c r="F196" s="2" t="s">
        <v>52</v>
      </c>
    </row>
    <row r="197" spans="1:13" ht="12.75">
      <c r="A197" s="2" t="s">
        <v>58</v>
      </c>
      <c r="B197" s="2" t="s">
        <v>59</v>
      </c>
      <c r="C197" s="2" t="s">
        <v>60</v>
      </c>
      <c r="D197" s="2" t="s">
        <v>60</v>
      </c>
      <c r="E197" s="2" t="s">
        <v>106</v>
      </c>
      <c r="F197" s="2" t="s">
        <v>63</v>
      </c>
      <c r="G197" s="2" t="s">
        <v>106</v>
      </c>
      <c r="H197" s="2" t="s">
        <v>55</v>
      </c>
      <c r="I197" s="2" t="s">
        <v>106</v>
      </c>
      <c r="J197" s="2" t="s">
        <v>68</v>
      </c>
      <c r="K197" s="2" t="s">
        <v>106</v>
      </c>
      <c r="L197" s="2" t="s">
        <v>70</v>
      </c>
      <c r="M197" s="2" t="s">
        <v>106</v>
      </c>
    </row>
    <row r="198" spans="1:15" ht="12.75">
      <c r="A198" t="str">
        <f>A102</f>
        <v>Kemp</v>
      </c>
      <c r="B198">
        <f>C102-369</f>
        <v>-5</v>
      </c>
      <c r="C198">
        <f>D102-161</f>
        <v>21</v>
      </c>
      <c r="D198">
        <v>43.6</v>
      </c>
      <c r="E198" s="12">
        <f>E102-D198</f>
        <v>6.399999999999999</v>
      </c>
      <c r="F198">
        <v>2503</v>
      </c>
      <c r="G198" s="2">
        <f>F102-F198</f>
        <v>215</v>
      </c>
      <c r="H198">
        <v>14</v>
      </c>
      <c r="I198" s="2">
        <f>G102-H198</f>
        <v>-2</v>
      </c>
      <c r="J198">
        <v>26</v>
      </c>
      <c r="K198" s="2">
        <f>I102-J198</f>
        <v>-3</v>
      </c>
      <c r="L198">
        <v>50</v>
      </c>
      <c r="M198" s="12">
        <f>M102-L198</f>
        <v>9.52380952380954</v>
      </c>
      <c r="O198" s="9"/>
    </row>
    <row r="199" spans="1:15" ht="12.75">
      <c r="A199" t="str">
        <f>A103</f>
        <v>Flores</v>
      </c>
      <c r="B199">
        <f>C103-64</f>
        <v>-11</v>
      </c>
      <c r="C199">
        <f>D103-22</f>
        <v>5</v>
      </c>
      <c r="D199">
        <v>34.4</v>
      </c>
      <c r="E199" s="12">
        <f>E103-D199</f>
        <v>16.543396226415098</v>
      </c>
      <c r="F199">
        <v>260</v>
      </c>
      <c r="G199" s="2">
        <f>F103-F199</f>
        <v>-18</v>
      </c>
      <c r="H199">
        <v>0</v>
      </c>
      <c r="I199" s="2">
        <f>G103-H199</f>
        <v>1</v>
      </c>
      <c r="J199">
        <v>8</v>
      </c>
      <c r="K199" s="2">
        <f>I103-J199</f>
        <v>-4</v>
      </c>
      <c r="L199">
        <v>8.4</v>
      </c>
      <c r="M199" s="12">
        <f>M103-L199</f>
        <v>30.004088050314472</v>
      </c>
      <c r="O199" s="9"/>
    </row>
    <row r="200" spans="1:13" ht="12.75">
      <c r="A200" t="str">
        <f>A104</f>
        <v>Rutkowski</v>
      </c>
      <c r="B200">
        <f>C104-1</f>
        <v>2</v>
      </c>
      <c r="C200">
        <f>D104-0</f>
        <v>0</v>
      </c>
      <c r="D200">
        <v>0</v>
      </c>
      <c r="E200" s="12">
        <f>E104-D200</f>
        <v>0</v>
      </c>
      <c r="F200">
        <v>0</v>
      </c>
      <c r="G200" s="2">
        <f>F104-F200</f>
        <v>0</v>
      </c>
      <c r="H200">
        <v>0</v>
      </c>
      <c r="I200" s="2">
        <f>G104-H200</f>
        <v>0</v>
      </c>
      <c r="J200">
        <v>0</v>
      </c>
      <c r="K200" s="2">
        <f>I104-J200</f>
        <v>0</v>
      </c>
      <c r="L200">
        <v>39.6</v>
      </c>
      <c r="M200" s="12">
        <f>M104-L200</f>
        <v>-0.01666666666666572</v>
      </c>
    </row>
    <row r="202" spans="1:11" ht="12.75">
      <c r="A202" s="2" t="s">
        <v>85</v>
      </c>
      <c r="B202" s="3" t="s">
        <v>72</v>
      </c>
      <c r="C202" s="3" t="s">
        <v>106</v>
      </c>
      <c r="D202" s="3"/>
      <c r="E202" s="3"/>
      <c r="F202" s="3"/>
      <c r="G202" s="3"/>
      <c r="H202" s="3"/>
      <c r="I202" s="3"/>
      <c r="J202" s="3"/>
      <c r="K202" s="3"/>
    </row>
    <row r="203" spans="1:5" ht="12.75">
      <c r="A203" t="str">
        <f>A136</f>
        <v>McDole</v>
      </c>
      <c r="B203">
        <v>1</v>
      </c>
      <c r="C203" s="2">
        <f aca="true" t="shared" si="10" ref="C203:C212">C136-B203</f>
        <v>0</v>
      </c>
      <c r="E203" s="12"/>
    </row>
    <row r="204" spans="1:5" ht="12.75">
      <c r="A204" t="str">
        <f aca="true" t="shared" si="11" ref="A204:A212">A137</f>
        <v>Dunaway</v>
      </c>
      <c r="B204">
        <v>1</v>
      </c>
      <c r="C204" s="2">
        <f t="shared" si="10"/>
        <v>-1</v>
      </c>
      <c r="E204" s="12"/>
    </row>
    <row r="205" spans="1:5" ht="12.75">
      <c r="A205" t="str">
        <f t="shared" si="11"/>
        <v>Tracey</v>
      </c>
      <c r="B205">
        <v>1</v>
      </c>
      <c r="C205" s="2">
        <f t="shared" si="10"/>
        <v>2</v>
      </c>
      <c r="E205" s="12"/>
    </row>
    <row r="206" spans="1:5" ht="12.75">
      <c r="A206" t="str">
        <f t="shared" si="11"/>
        <v>Stratton</v>
      </c>
      <c r="B206">
        <v>1</v>
      </c>
      <c r="C206" s="2">
        <f t="shared" si="10"/>
        <v>2</v>
      </c>
      <c r="E206" s="12"/>
    </row>
    <row r="207" spans="1:5" ht="12.75">
      <c r="A207" t="str">
        <f t="shared" si="11"/>
        <v>Edgerson</v>
      </c>
      <c r="B207">
        <v>2</v>
      </c>
      <c r="C207" s="2">
        <f t="shared" si="10"/>
        <v>2</v>
      </c>
      <c r="E207" s="12"/>
    </row>
    <row r="208" spans="1:5" ht="12.75">
      <c r="A208" t="str">
        <f t="shared" si="11"/>
        <v>Byrd</v>
      </c>
      <c r="B208">
        <v>5</v>
      </c>
      <c r="C208" s="2">
        <f t="shared" si="10"/>
        <v>2</v>
      </c>
      <c r="E208" s="12"/>
    </row>
    <row r="209" spans="1:3" ht="12.75">
      <c r="A209" t="str">
        <f t="shared" si="11"/>
        <v>Janik</v>
      </c>
      <c r="B209">
        <v>10</v>
      </c>
      <c r="C209" s="2">
        <f t="shared" si="10"/>
        <v>4</v>
      </c>
    </row>
    <row r="210" spans="1:3" ht="12.75">
      <c r="A210" t="str">
        <f t="shared" si="11"/>
        <v>Saimes</v>
      </c>
      <c r="B210">
        <v>2</v>
      </c>
      <c r="C210" s="2">
        <f t="shared" si="10"/>
        <v>2</v>
      </c>
    </row>
    <row r="211" spans="1:3" ht="12.75">
      <c r="A211" t="str">
        <f t="shared" si="11"/>
        <v>Meredith</v>
      </c>
      <c r="B211">
        <v>1</v>
      </c>
      <c r="C211" s="2">
        <f t="shared" si="10"/>
        <v>-1</v>
      </c>
    </row>
    <row r="212" spans="1:3" ht="12.75">
      <c r="A212" t="str">
        <f t="shared" si="11"/>
        <v>Schottenheimer</v>
      </c>
      <c r="B212">
        <v>3</v>
      </c>
      <c r="C212" s="2">
        <f t="shared" si="10"/>
        <v>-2</v>
      </c>
    </row>
    <row r="213" ht="12.75">
      <c r="C213" s="2"/>
    </row>
    <row r="214" spans="1:11" ht="12.75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3:4" ht="12.75">
      <c r="C215" s="2"/>
      <c r="D215" s="12"/>
    </row>
    <row r="216" spans="3:4" ht="12.75">
      <c r="C216" s="2"/>
      <c r="D216" s="12"/>
    </row>
    <row r="217" spans="3:4" ht="12.75">
      <c r="C217" s="2"/>
      <c r="D217" s="12"/>
    </row>
    <row r="218" spans="3:4" ht="12.75">
      <c r="C218" s="2"/>
      <c r="D218" s="12"/>
    </row>
    <row r="219" spans="3:4" ht="12.75">
      <c r="C219" s="2"/>
      <c r="D219" s="12"/>
    </row>
    <row r="220" spans="3:4" ht="12.75">
      <c r="C220" s="2"/>
      <c r="D220" s="12"/>
    </row>
    <row r="221" ht="12.75">
      <c r="C221" s="2"/>
    </row>
    <row r="222" ht="12.75">
      <c r="C222" s="2"/>
    </row>
    <row r="223" ht="12.75">
      <c r="C223" s="2"/>
    </row>
    <row r="224" spans="2:9" ht="12.75">
      <c r="B224" s="3"/>
      <c r="C224" s="2"/>
      <c r="D224" s="3"/>
      <c r="E224" s="3"/>
      <c r="F224" s="3"/>
      <c r="G224" s="3"/>
      <c r="H224" s="3"/>
      <c r="I224" s="3"/>
    </row>
    <row r="225" spans="3:4" ht="12.75">
      <c r="C225" s="2"/>
      <c r="D225" s="12"/>
    </row>
    <row r="226" ht="12.75">
      <c r="C226" s="2"/>
    </row>
    <row r="227" spans="3:8" ht="12.75">
      <c r="C227" s="2"/>
      <c r="H227" s="5"/>
    </row>
    <row r="228" spans="2:9" ht="12.75">
      <c r="B228" s="3"/>
      <c r="C228" s="3"/>
      <c r="D228" s="3"/>
      <c r="E228" s="3"/>
      <c r="F228" s="3"/>
      <c r="G228" s="3"/>
      <c r="H228" s="3"/>
      <c r="I228" s="3"/>
    </row>
    <row r="229" ht="12.75">
      <c r="H229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14</v>
      </c>
      <c r="H6" s="1" t="s">
        <v>29</v>
      </c>
      <c r="M6" s="2">
        <v>18</v>
      </c>
    </row>
    <row r="8" spans="1:23" ht="12.75">
      <c r="A8" t="s">
        <v>1</v>
      </c>
      <c r="D8" s="2">
        <v>28</v>
      </c>
      <c r="H8" t="s">
        <v>1</v>
      </c>
      <c r="M8" s="2">
        <v>28</v>
      </c>
      <c r="V8">
        <f>+D8</f>
        <v>28</v>
      </c>
      <c r="W8">
        <f>+M8</f>
        <v>28</v>
      </c>
    </row>
    <row r="9" spans="1:23" ht="12.75">
      <c r="A9" t="s">
        <v>2</v>
      </c>
      <c r="D9" s="2">
        <v>91</v>
      </c>
      <c r="H9" t="s">
        <v>2</v>
      </c>
      <c r="M9" s="2">
        <v>100</v>
      </c>
      <c r="U9" s="13"/>
      <c r="V9">
        <f>+D13</f>
        <v>14</v>
      </c>
      <c r="W9">
        <f>+M13</f>
        <v>20</v>
      </c>
    </row>
    <row r="10" spans="1:23" ht="12.75">
      <c r="A10" s="1" t="s">
        <v>3</v>
      </c>
      <c r="D10" s="8">
        <f>+D9/D8</f>
        <v>3.25</v>
      </c>
      <c r="H10" s="1" t="s">
        <v>3</v>
      </c>
      <c r="M10" s="8">
        <f>+M9/M8</f>
        <v>3.5714285714285716</v>
      </c>
      <c r="V10">
        <f>+(D12-D13)/2</f>
        <v>7</v>
      </c>
      <c r="W10">
        <f>+(M12-M13)/2</f>
        <v>8.5</v>
      </c>
    </row>
    <row r="11" spans="22:23" ht="12.75">
      <c r="V11">
        <f>+D35/2</f>
        <v>3</v>
      </c>
      <c r="W11">
        <f>+M35/2</f>
        <v>1.5</v>
      </c>
    </row>
    <row r="12" spans="1:23" ht="12.75">
      <c r="A12" t="s">
        <v>4</v>
      </c>
      <c r="D12" s="2">
        <v>28</v>
      </c>
      <c r="H12" t="s">
        <v>4</v>
      </c>
      <c r="M12" s="2">
        <v>37</v>
      </c>
      <c r="V12">
        <f>+D39/2</f>
        <v>0.5</v>
      </c>
      <c r="W12">
        <f>+M39/2</f>
        <v>1.5</v>
      </c>
    </row>
    <row r="13" spans="1:23" ht="12.75">
      <c r="A13" t="s">
        <v>5</v>
      </c>
      <c r="D13" s="2">
        <v>14</v>
      </c>
      <c r="H13" t="s">
        <v>5</v>
      </c>
      <c r="M13" s="2">
        <v>20</v>
      </c>
      <c r="V13">
        <f>+D44/2</f>
        <v>1</v>
      </c>
      <c r="W13">
        <f>+M44/2</f>
        <v>1</v>
      </c>
    </row>
    <row r="14" spans="1:13" ht="12.75">
      <c r="A14" t="s">
        <v>6</v>
      </c>
      <c r="D14" s="8">
        <f>+D13/D12*100</f>
        <v>50</v>
      </c>
      <c r="H14" t="s">
        <v>6</v>
      </c>
      <c r="M14" s="8">
        <f>+M13/M12*100</f>
        <v>54.054054054054056</v>
      </c>
    </row>
    <row r="15" spans="1:24" ht="12.75">
      <c r="A15" t="s">
        <v>7</v>
      </c>
      <c r="D15" s="2">
        <v>183</v>
      </c>
      <c r="H15" t="s">
        <v>7</v>
      </c>
      <c r="M15" s="2">
        <v>337</v>
      </c>
      <c r="V15">
        <f>SUM(V8:V13)</f>
        <v>53.5</v>
      </c>
      <c r="W15">
        <f>SUM(W8:W13)</f>
        <v>60.5</v>
      </c>
      <c r="X15">
        <f>+W15+V15</f>
        <v>114</v>
      </c>
    </row>
    <row r="16" spans="1:23" ht="12.75">
      <c r="A16" t="s">
        <v>8</v>
      </c>
      <c r="D16" s="2">
        <v>4</v>
      </c>
      <c r="H16" t="s">
        <v>8</v>
      </c>
      <c r="M16" s="2">
        <v>2</v>
      </c>
      <c r="V16">
        <f>+V15/X15</f>
        <v>0.4692982456140351</v>
      </c>
      <c r="W16">
        <f>+W15/X15</f>
        <v>0.5307017543859649</v>
      </c>
    </row>
    <row r="17" spans="1:23" ht="12.75">
      <c r="A17" t="s">
        <v>9</v>
      </c>
      <c r="D17" s="2">
        <v>26</v>
      </c>
      <c r="H17" t="s">
        <v>9</v>
      </c>
      <c r="M17" s="2">
        <v>19</v>
      </c>
      <c r="V17">
        <f>+V16*60</f>
        <v>28.157894736842106</v>
      </c>
      <c r="W17">
        <f>+W16*60</f>
        <v>31.842105263157894</v>
      </c>
    </row>
    <row r="18" spans="1:23" ht="12.75">
      <c r="A18" t="s">
        <v>10</v>
      </c>
      <c r="D18">
        <f>+D15-D17</f>
        <v>157</v>
      </c>
      <c r="H18" t="s">
        <v>10</v>
      </c>
      <c r="M18">
        <f>+M15-M17</f>
        <v>318</v>
      </c>
      <c r="V18">
        <f>+V17-INT(V17)</f>
        <v>0.1578947368421062</v>
      </c>
      <c r="W18">
        <f>+W17-INT(W17)</f>
        <v>0.8421052631578938</v>
      </c>
    </row>
    <row r="19" spans="1:23" ht="12.75">
      <c r="A19" t="s">
        <v>11</v>
      </c>
      <c r="D19" s="7">
        <f>+D18/D12</f>
        <v>5.607142857142857</v>
      </c>
      <c r="H19" t="s">
        <v>11</v>
      </c>
      <c r="M19" s="7">
        <f>+M18/M12</f>
        <v>8.594594594594595</v>
      </c>
      <c r="V19">
        <f>+V18*60</f>
        <v>9.473684210526372</v>
      </c>
      <c r="W19">
        <f>+W18*60</f>
        <v>50.52631578947363</v>
      </c>
    </row>
    <row r="20" spans="1:23" ht="12.75">
      <c r="A20" t="s">
        <v>12</v>
      </c>
      <c r="D20" s="7">
        <f>+D15/D13</f>
        <v>13.071428571428571</v>
      </c>
      <c r="H20" t="s">
        <v>12</v>
      </c>
      <c r="M20" s="7">
        <f>+M15/M13</f>
        <v>16.85</v>
      </c>
      <c r="U20">
        <v>0</v>
      </c>
      <c r="V20" s="11">
        <f>ROUND(V19,0)</f>
        <v>9</v>
      </c>
      <c r="W20">
        <f>ROUND(W19,0)</f>
        <v>51</v>
      </c>
    </row>
    <row r="21" spans="22:23" ht="12.75">
      <c r="V21">
        <f>INT(V17)</f>
        <v>28</v>
      </c>
      <c r="W21">
        <f>INT(W17)</f>
        <v>31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248</v>
      </c>
      <c r="H23" t="s">
        <v>14</v>
      </c>
      <c r="M23">
        <f>+M18+M9</f>
        <v>418</v>
      </c>
      <c r="V23" s="14" t="str">
        <f>+V21&amp;V22&amp;V20</f>
        <v>28:9</v>
      </c>
      <c r="W23" s="9" t="str">
        <f>+W21&amp;W22&amp;W20</f>
        <v>31:51</v>
      </c>
    </row>
    <row r="24" spans="1:23" ht="12.75">
      <c r="A24" t="s">
        <v>15</v>
      </c>
      <c r="D24" s="7">
        <f>+D9/D23*100</f>
        <v>36.693548387096776</v>
      </c>
      <c r="H24" t="s">
        <v>15</v>
      </c>
      <c r="M24" s="7">
        <f>+M9/M23*100</f>
        <v>23.923444976076556</v>
      </c>
      <c r="V24" s="9" t="str">
        <f>IF(V20&lt;10,+V21&amp;V22&amp;$U$20&amp;V20,+V21&amp;V22&amp;V20)</f>
        <v>28:09</v>
      </c>
      <c r="W24" s="9" t="str">
        <f>IF(W20&lt;10,+W21&amp;W22&amp;$U$20&amp;W20,+W21&amp;W22&amp;W20)</f>
        <v>31:51</v>
      </c>
    </row>
    <row r="25" spans="1:13" ht="12.75">
      <c r="A25" s="1" t="s">
        <v>90</v>
      </c>
      <c r="D25" s="7">
        <f>+D18/D23*100</f>
        <v>63.306451612903224</v>
      </c>
      <c r="H25" s="1" t="s">
        <v>90</v>
      </c>
      <c r="M25" s="7">
        <f>+M18/M23*100</f>
        <v>76.07655502392345</v>
      </c>
    </row>
    <row r="27" spans="1:13" ht="12.75">
      <c r="A27" t="s">
        <v>16</v>
      </c>
      <c r="D27">
        <f>+D8+D12+D16</f>
        <v>60</v>
      </c>
      <c r="H27" t="s">
        <v>16</v>
      </c>
      <c r="M27">
        <f>+M8+M12+M16</f>
        <v>67</v>
      </c>
    </row>
    <row r="28" spans="1:13" ht="12.75">
      <c r="A28" t="s">
        <v>17</v>
      </c>
      <c r="D28" s="8">
        <f>+D23/D27</f>
        <v>4.133333333333334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6.2388059701492535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>
        <v>4</v>
      </c>
    </row>
    <row r="32" spans="1:13" ht="12.75">
      <c r="A32" t="s">
        <v>20</v>
      </c>
      <c r="D32" s="2"/>
      <c r="H32" t="s">
        <v>20</v>
      </c>
      <c r="M32" s="2">
        <v>40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6</v>
      </c>
      <c r="H35" t="s">
        <v>22</v>
      </c>
      <c r="M35" s="2">
        <v>3</v>
      </c>
    </row>
    <row r="36" spans="1:13" ht="12.75">
      <c r="A36" t="s">
        <v>23</v>
      </c>
      <c r="D36" s="2">
        <v>265</v>
      </c>
      <c r="H36" t="s">
        <v>23</v>
      </c>
      <c r="M36" s="2">
        <v>126</v>
      </c>
    </row>
    <row r="37" spans="1:13" ht="12.75">
      <c r="A37" t="s">
        <v>24</v>
      </c>
      <c r="D37" s="8">
        <f>+D36/D35</f>
        <v>44.166666666666664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42</v>
      </c>
    </row>
    <row r="39" spans="1:13" ht="12.75">
      <c r="A39" t="s">
        <v>25</v>
      </c>
      <c r="D39" s="2">
        <v>1</v>
      </c>
      <c r="H39" t="s">
        <v>25</v>
      </c>
      <c r="M39" s="2">
        <v>3</v>
      </c>
    </row>
    <row r="40" spans="1:13" ht="12.75">
      <c r="A40" t="s">
        <v>26</v>
      </c>
      <c r="D40" s="2">
        <v>1</v>
      </c>
      <c r="H40" t="s">
        <v>26</v>
      </c>
      <c r="M40" s="2">
        <v>33</v>
      </c>
    </row>
    <row r="41" spans="1:13" ht="12.75">
      <c r="A41" t="s">
        <v>27</v>
      </c>
      <c r="D41" s="8">
        <f>+D40/D39</f>
        <v>1</v>
      </c>
      <c r="H41" t="s">
        <v>27</v>
      </c>
      <c r="M41" s="8">
        <f>+M40/M39</f>
        <v>11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2</v>
      </c>
      <c r="H44" t="s">
        <v>30</v>
      </c>
      <c r="M44" s="2">
        <v>2</v>
      </c>
    </row>
    <row r="45" spans="1:13" ht="12.75">
      <c r="A45" t="s">
        <v>26</v>
      </c>
      <c r="D45" s="2">
        <v>49</v>
      </c>
      <c r="H45" t="s">
        <v>26</v>
      </c>
      <c r="M45" s="2">
        <v>30</v>
      </c>
    </row>
    <row r="46" spans="1:13" ht="12.75">
      <c r="A46" t="s">
        <v>27</v>
      </c>
      <c r="D46" s="8">
        <f>+D45/D44</f>
        <v>24.5</v>
      </c>
      <c r="H46" t="s">
        <v>27</v>
      </c>
      <c r="M46" s="8">
        <f>+M45/M44</f>
        <v>15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4</v>
      </c>
      <c r="H49" t="s">
        <v>31</v>
      </c>
      <c r="M49" s="2">
        <v>7</v>
      </c>
    </row>
    <row r="50" spans="1:13" ht="12.75">
      <c r="A50" t="s">
        <v>32</v>
      </c>
      <c r="D50" s="2">
        <v>25</v>
      </c>
      <c r="H50" t="s">
        <v>32</v>
      </c>
      <c r="M50" s="2">
        <v>85</v>
      </c>
    </row>
    <row r="52" spans="1:13" ht="12.75">
      <c r="A52" t="s">
        <v>33</v>
      </c>
      <c r="D52" s="2">
        <v>4</v>
      </c>
      <c r="H52" t="s">
        <v>33</v>
      </c>
      <c r="M52" s="2"/>
    </row>
    <row r="53" spans="1:13" ht="12.75">
      <c r="A53" t="s">
        <v>34</v>
      </c>
      <c r="D53" s="2">
        <v>3</v>
      </c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1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7</v>
      </c>
      <c r="H58" t="s">
        <v>38</v>
      </c>
      <c r="M58" s="2">
        <v>13</v>
      </c>
    </row>
    <row r="59" spans="1:13" ht="12.75">
      <c r="A59" t="s">
        <v>39</v>
      </c>
      <c r="D59" s="2">
        <v>1</v>
      </c>
      <c r="H59" t="s">
        <v>39</v>
      </c>
      <c r="M59" s="2">
        <v>1</v>
      </c>
    </row>
    <row r="60" spans="1:13" ht="12.75">
      <c r="A60" t="s">
        <v>40</v>
      </c>
      <c r="D60" s="2"/>
      <c r="H60" t="s">
        <v>40</v>
      </c>
      <c r="M60" s="2"/>
    </row>
    <row r="61" spans="1:13" ht="12.75">
      <c r="A61" t="s">
        <v>41</v>
      </c>
      <c r="D61" s="2">
        <v>1</v>
      </c>
      <c r="H61" t="s">
        <v>41</v>
      </c>
      <c r="M61" s="2">
        <v>1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1</v>
      </c>
      <c r="H63" t="s">
        <v>43</v>
      </c>
      <c r="M63" s="2">
        <v>1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2</v>
      </c>
    </row>
    <row r="66" spans="1:13" ht="12.75">
      <c r="A66" t="s">
        <v>46</v>
      </c>
      <c r="D66" s="2">
        <v>1</v>
      </c>
      <c r="H66" t="s">
        <v>46</v>
      </c>
      <c r="M66" s="2">
        <v>3</v>
      </c>
    </row>
    <row r="67" spans="1:13" ht="12.75">
      <c r="A67" t="s">
        <v>47</v>
      </c>
      <c r="D67" s="8">
        <f>+D65/D66*100</f>
        <v>0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66.66666666666666</v>
      </c>
    </row>
    <row r="68" spans="1:13" ht="12.75">
      <c r="A68" t="s">
        <v>93</v>
      </c>
      <c r="D68" s="10" t="str">
        <f>IF(V20&lt;10,V24,V23)</f>
        <v>28:09</v>
      </c>
      <c r="E68" s="8"/>
      <c r="F68" s="8"/>
      <c r="H68" t="s">
        <v>93</v>
      </c>
      <c r="M68" s="10" t="str">
        <f>IF(W20&lt;10,W24,W23)</f>
        <v>31:51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8" ht="12.75">
      <c r="A72" t="s">
        <v>110</v>
      </c>
      <c r="C72">
        <v>8</v>
      </c>
      <c r="D72">
        <v>8</v>
      </c>
      <c r="E72" s="12">
        <f>+D72/C72</f>
        <v>1</v>
      </c>
      <c r="F72">
        <v>5</v>
      </c>
      <c r="H72">
        <v>1</v>
      </c>
    </row>
    <row r="73" spans="1:8" ht="12.75">
      <c r="A73" t="s">
        <v>111</v>
      </c>
      <c r="C73">
        <v>7</v>
      </c>
      <c r="D73">
        <v>51</v>
      </c>
      <c r="E73" s="12">
        <f>+D73/C73</f>
        <v>7.285714285714286</v>
      </c>
      <c r="F73">
        <v>21</v>
      </c>
      <c r="H73">
        <v>1</v>
      </c>
    </row>
    <row r="74" spans="1:6" ht="12.75">
      <c r="A74" t="s">
        <v>112</v>
      </c>
      <c r="C74">
        <v>10</v>
      </c>
      <c r="D74">
        <v>20</v>
      </c>
      <c r="E74" s="12">
        <f>+D74/C74</f>
        <v>2</v>
      </c>
      <c r="F74">
        <v>13</v>
      </c>
    </row>
    <row r="75" spans="1:8" ht="12.75">
      <c r="A75" t="s">
        <v>113</v>
      </c>
      <c r="C75">
        <v>3</v>
      </c>
      <c r="D75">
        <v>12</v>
      </c>
      <c r="E75" s="12">
        <f aca="true" t="shared" si="0" ref="E75:E81">+D75/C75</f>
        <v>4</v>
      </c>
      <c r="F75">
        <v>7</v>
      </c>
      <c r="H75">
        <v>1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1</v>
      </c>
      <c r="D86">
        <v>-1</v>
      </c>
      <c r="E86" s="12">
        <f aca="true" t="shared" si="1" ref="E86:E97">+D86/C86</f>
        <v>-1</v>
      </c>
      <c r="F86">
        <v>-1</v>
      </c>
    </row>
    <row r="87" spans="1:6" ht="12.75">
      <c r="A87" t="s">
        <v>111</v>
      </c>
      <c r="C87">
        <v>1</v>
      </c>
      <c r="D87">
        <v>4</v>
      </c>
      <c r="E87" s="12">
        <f t="shared" si="1"/>
        <v>4</v>
      </c>
      <c r="F87">
        <v>4</v>
      </c>
    </row>
    <row r="88" spans="1:6" ht="12.75">
      <c r="A88" t="s">
        <v>112</v>
      </c>
      <c r="C88">
        <v>3</v>
      </c>
      <c r="D88">
        <v>21</v>
      </c>
      <c r="E88" s="12">
        <f t="shared" si="1"/>
        <v>7</v>
      </c>
      <c r="F88">
        <v>11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7" ht="12.75">
      <c r="A91" t="s">
        <v>117</v>
      </c>
      <c r="C91">
        <v>4</v>
      </c>
      <c r="D91">
        <v>68</v>
      </c>
      <c r="E91" s="12">
        <f t="shared" si="1"/>
        <v>17</v>
      </c>
      <c r="F91">
        <v>31</v>
      </c>
      <c r="G91">
        <v>1</v>
      </c>
    </row>
    <row r="92" spans="1:5" ht="12.75">
      <c r="A92" t="s">
        <v>118</v>
      </c>
      <c r="E92" s="12" t="e">
        <f t="shared" si="1"/>
        <v>#DIV/0!</v>
      </c>
    </row>
    <row r="93" spans="1:8" ht="12.75">
      <c r="A93" t="s">
        <v>119</v>
      </c>
      <c r="C93">
        <v>5</v>
      </c>
      <c r="D93">
        <v>91</v>
      </c>
      <c r="E93" s="12">
        <f t="shared" si="1"/>
        <v>18.2</v>
      </c>
      <c r="F93">
        <v>50</v>
      </c>
      <c r="H93">
        <v>1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28</v>
      </c>
      <c r="D102">
        <v>14</v>
      </c>
      <c r="E102" s="12">
        <f>+D102/C102*100</f>
        <v>50</v>
      </c>
      <c r="F102">
        <v>183</v>
      </c>
      <c r="G102">
        <v>1</v>
      </c>
      <c r="H102">
        <v>50</v>
      </c>
      <c r="J102" s="8">
        <f>+G102/C102*100</f>
        <v>3.571428571428571</v>
      </c>
      <c r="K102" s="12">
        <f>+I102/C102*100</f>
        <v>0</v>
      </c>
      <c r="L102" s="12">
        <f>+F102/C102</f>
        <v>6.535714285714286</v>
      </c>
      <c r="M102" s="12">
        <f>100*(S102+U102+W102+Y102)/6</f>
        <v>82.88690476190476</v>
      </c>
      <c r="R102">
        <f>+(E102-30)/20</f>
        <v>1</v>
      </c>
      <c r="S102" s="2">
        <f>IF(R102&lt;0,0,R102)</f>
        <v>1</v>
      </c>
      <c r="T102" s="6">
        <f>+(L102-3)/4</f>
        <v>0.8839285714285714</v>
      </c>
      <c r="U102" s="2">
        <f>IF(T102&lt;0,0,T102)</f>
        <v>0.8839285714285714</v>
      </c>
      <c r="V102">
        <f>+J102/5</f>
        <v>0.7142857142857142</v>
      </c>
      <c r="W102" s="2">
        <f>IF(V102&lt;0,0,V102)</f>
        <v>0.7142857142857142</v>
      </c>
      <c r="X102">
        <f>(9.5-K102)/4</f>
        <v>2.375</v>
      </c>
      <c r="Y102" s="2">
        <f>IF(X102&lt;0,0,X102)</f>
        <v>2.375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D108">
        <v>1</v>
      </c>
      <c r="E108">
        <v>1</v>
      </c>
      <c r="F108" s="12">
        <f aca="true" t="shared" si="2" ref="F108:F113">+E108/C108</f>
        <v>1</v>
      </c>
      <c r="G108">
        <v>1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6" ht="12.75">
      <c r="A119" t="s">
        <v>128</v>
      </c>
      <c r="C119">
        <v>2</v>
      </c>
      <c r="D119">
        <v>49</v>
      </c>
      <c r="E119" s="12">
        <f t="shared" si="3"/>
        <v>24.5</v>
      </c>
      <c r="F119">
        <v>25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265</v>
      </c>
      <c r="E128" s="12">
        <f>+D128/C128</f>
        <v>44.166666666666664</v>
      </c>
      <c r="F128">
        <v>54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2</v>
      </c>
      <c r="E132">
        <v>1</v>
      </c>
      <c r="F132">
        <v>1</v>
      </c>
      <c r="G132">
        <v>1</v>
      </c>
      <c r="I132" s="12">
        <f>+H132/G132*100</f>
        <v>0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6" ht="12.75">
      <c r="A138" t="s">
        <v>123</v>
      </c>
      <c r="C138">
        <v>1</v>
      </c>
      <c r="D138">
        <v>3</v>
      </c>
      <c r="E138" s="12">
        <f t="shared" si="4"/>
        <v>3</v>
      </c>
      <c r="F138">
        <v>3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6" ht="12.75">
      <c r="A142" t="s">
        <v>136</v>
      </c>
      <c r="C142">
        <v>3</v>
      </c>
      <c r="D142">
        <v>37</v>
      </c>
      <c r="E142" s="12">
        <f t="shared" si="4"/>
        <v>12.333333333333334</v>
      </c>
      <c r="F142">
        <v>20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spans="1:4" ht="12.75">
      <c r="A149" t="s">
        <v>134</v>
      </c>
      <c r="C149">
        <v>1</v>
      </c>
      <c r="D149">
        <v>5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spans="1:4" ht="12.75">
      <c r="A154" t="s">
        <v>136</v>
      </c>
      <c r="C154">
        <v>1</v>
      </c>
      <c r="D154">
        <v>14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14</v>
      </c>
      <c r="H163" t="s">
        <v>97</v>
      </c>
      <c r="M163">
        <v>14</v>
      </c>
    </row>
    <row r="164" spans="1:13" ht="12.75">
      <c r="A164" t="s">
        <v>98</v>
      </c>
      <c r="D164">
        <v>3</v>
      </c>
      <c r="H164" t="s">
        <v>98</v>
      </c>
      <c r="M164">
        <v>7</v>
      </c>
    </row>
    <row r="165" spans="1:15" ht="12.75">
      <c r="A165" t="s">
        <v>99</v>
      </c>
      <c r="D165">
        <f>D164/D163*100</f>
        <v>21.428571428571427</v>
      </c>
      <c r="E165" s="23"/>
      <c r="H165" t="s">
        <v>99</v>
      </c>
      <c r="M165">
        <f>+M164/M163*100</f>
        <v>50</v>
      </c>
      <c r="O165" s="2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65"/>
  <sheetViews>
    <sheetView workbookViewId="0" topLeftCell="A133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18</v>
      </c>
      <c r="H6" s="1" t="s">
        <v>29</v>
      </c>
      <c r="M6" s="2">
        <v>13</v>
      </c>
    </row>
    <row r="8" spans="1:23" ht="12.75">
      <c r="A8" t="s">
        <v>1</v>
      </c>
      <c r="D8" s="2">
        <v>35</v>
      </c>
      <c r="H8" t="s">
        <v>1</v>
      </c>
      <c r="M8" s="2">
        <v>17</v>
      </c>
      <c r="V8">
        <f>+D8</f>
        <v>35</v>
      </c>
      <c r="W8">
        <f>+M8</f>
        <v>17</v>
      </c>
    </row>
    <row r="9" spans="1:23" ht="12.75">
      <c r="A9" t="s">
        <v>2</v>
      </c>
      <c r="D9" s="2">
        <v>160</v>
      </c>
      <c r="H9" t="s">
        <v>2</v>
      </c>
      <c r="M9" s="2">
        <v>82</v>
      </c>
      <c r="U9" s="13"/>
      <c r="V9">
        <f>+D13</f>
        <v>17</v>
      </c>
      <c r="W9">
        <f>+M13</f>
        <v>12</v>
      </c>
    </row>
    <row r="10" spans="1:23" ht="12.75">
      <c r="A10" s="1" t="s">
        <v>3</v>
      </c>
      <c r="D10" s="8">
        <f>+D9/D8</f>
        <v>4.571428571428571</v>
      </c>
      <c r="H10" s="1" t="s">
        <v>3</v>
      </c>
      <c r="M10" s="8">
        <f>M9/M8</f>
        <v>4.823529411764706</v>
      </c>
      <c r="V10">
        <f>+(D12-D13)/2</f>
        <v>9</v>
      </c>
      <c r="W10">
        <f>+(M12-M13)/2</f>
        <v>6.5</v>
      </c>
    </row>
    <row r="11" spans="22:23" ht="12.75">
      <c r="V11">
        <f>+D35/2</f>
        <v>2</v>
      </c>
      <c r="W11">
        <f>+M35/2</f>
        <v>2.5</v>
      </c>
    </row>
    <row r="12" spans="1:23" ht="12.75">
      <c r="A12" t="s">
        <v>4</v>
      </c>
      <c r="D12" s="2">
        <v>35</v>
      </c>
      <c r="H12" t="s">
        <v>4</v>
      </c>
      <c r="M12" s="2">
        <v>25</v>
      </c>
      <c r="V12">
        <f>+D39/2</f>
        <v>1.5</v>
      </c>
      <c r="W12">
        <f>+M39/2</f>
        <v>0.5</v>
      </c>
    </row>
    <row r="13" spans="1:23" ht="12.75">
      <c r="A13" t="s">
        <v>5</v>
      </c>
      <c r="D13" s="2">
        <v>17</v>
      </c>
      <c r="H13" t="s">
        <v>5</v>
      </c>
      <c r="M13" s="2">
        <v>12</v>
      </c>
      <c r="V13">
        <f>+D44/2</f>
        <v>2</v>
      </c>
      <c r="W13">
        <f>+M44/2</f>
        <v>2.5</v>
      </c>
    </row>
    <row r="14" spans="1:13" ht="12.75">
      <c r="A14" t="s">
        <v>6</v>
      </c>
      <c r="D14" s="8">
        <f>+D13/D12*100</f>
        <v>48.57142857142857</v>
      </c>
      <c r="H14" t="s">
        <v>6</v>
      </c>
      <c r="M14" s="8">
        <f>+M13/M12*100</f>
        <v>48</v>
      </c>
    </row>
    <row r="15" spans="1:24" ht="12.75">
      <c r="A15" t="s">
        <v>7</v>
      </c>
      <c r="D15" s="2">
        <v>256</v>
      </c>
      <c r="H15" t="s">
        <v>7</v>
      </c>
      <c r="M15" s="2">
        <v>179</v>
      </c>
      <c r="V15">
        <f>SUM(V8:V13)</f>
        <v>66.5</v>
      </c>
      <c r="W15">
        <f>SUM(W8:W13)</f>
        <v>41</v>
      </c>
      <c r="X15">
        <f>+W15+V15</f>
        <v>107.5</v>
      </c>
    </row>
    <row r="16" spans="1:23" ht="12.75">
      <c r="A16" t="s">
        <v>8</v>
      </c>
      <c r="D16" s="2">
        <v>1</v>
      </c>
      <c r="H16" t="s">
        <v>8</v>
      </c>
      <c r="M16" s="2">
        <v>10</v>
      </c>
      <c r="V16">
        <f>+V15/X15</f>
        <v>0.6186046511627907</v>
      </c>
      <c r="W16">
        <f>+W15/X15</f>
        <v>0.3813953488372093</v>
      </c>
    </row>
    <row r="17" spans="1:23" ht="12.75">
      <c r="A17" t="s">
        <v>9</v>
      </c>
      <c r="D17" s="2">
        <v>8</v>
      </c>
      <c r="H17" t="s">
        <v>9</v>
      </c>
      <c r="M17" s="2">
        <v>85</v>
      </c>
      <c r="V17">
        <f>+V16*60</f>
        <v>37.116279069767444</v>
      </c>
      <c r="W17">
        <f>+W16*60</f>
        <v>22.88372093023256</v>
      </c>
    </row>
    <row r="18" spans="1:23" ht="12.75">
      <c r="A18" t="s">
        <v>10</v>
      </c>
      <c r="D18">
        <f>+D15-D17</f>
        <v>248</v>
      </c>
      <c r="H18" t="s">
        <v>10</v>
      </c>
      <c r="M18">
        <f>+M15-M17</f>
        <v>94</v>
      </c>
      <c r="V18">
        <f>+V17-INT(V17)</f>
        <v>0.11627906976744384</v>
      </c>
      <c r="W18">
        <f>+W17-INT(W17)</f>
        <v>0.8837209302325597</v>
      </c>
    </row>
    <row r="19" spans="1:23" ht="12.75">
      <c r="A19" t="s">
        <v>11</v>
      </c>
      <c r="D19" s="7">
        <f>+D18/D12</f>
        <v>7.085714285714285</v>
      </c>
      <c r="H19" t="s">
        <v>11</v>
      </c>
      <c r="M19" s="7">
        <f>+M18/M12</f>
        <v>3.76</v>
      </c>
      <c r="V19">
        <f>+V18*60</f>
        <v>6.976744186046631</v>
      </c>
      <c r="W19">
        <f>+W18*60</f>
        <v>53.02325581395358</v>
      </c>
    </row>
    <row r="20" spans="1:23" ht="12.75">
      <c r="A20" t="s">
        <v>12</v>
      </c>
      <c r="D20" s="7">
        <f>+D15/D13</f>
        <v>15.058823529411764</v>
      </c>
      <c r="H20" t="s">
        <v>12</v>
      </c>
      <c r="M20" s="7">
        <f>+M15/M13</f>
        <v>14.916666666666666</v>
      </c>
      <c r="U20">
        <v>0</v>
      </c>
      <c r="V20" s="11">
        <f>ROUND(V19,0)</f>
        <v>7</v>
      </c>
      <c r="W20">
        <f>ROUND(W19,0)</f>
        <v>53</v>
      </c>
    </row>
    <row r="21" spans="22:23" ht="12.75">
      <c r="V21">
        <f>INT(V17)</f>
        <v>37</v>
      </c>
      <c r="W21">
        <f>INT(W17)</f>
        <v>22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408</v>
      </c>
      <c r="H23" t="s">
        <v>14</v>
      </c>
      <c r="M23">
        <f>+M18+M9</f>
        <v>176</v>
      </c>
      <c r="V23" s="14" t="str">
        <f>+V21&amp;V22&amp;V20</f>
        <v>37:7</v>
      </c>
      <c r="W23" s="9" t="str">
        <f>+W21&amp;W22&amp;W20</f>
        <v>22:53</v>
      </c>
    </row>
    <row r="24" spans="1:23" ht="12.75">
      <c r="A24" t="s">
        <v>15</v>
      </c>
      <c r="D24" s="7">
        <f>+D9/D23*100</f>
        <v>39.21568627450981</v>
      </c>
      <c r="H24" t="s">
        <v>15</v>
      </c>
      <c r="M24" s="7">
        <f>+M9/M23*100</f>
        <v>46.590909090909086</v>
      </c>
      <c r="V24" s="9" t="str">
        <f>IF(V20&lt;10,+V21&amp;V22&amp;$U$20&amp;V20,+V21&amp;V22&amp;V20)</f>
        <v>37:07</v>
      </c>
      <c r="W24" s="9" t="str">
        <f>IF(W20&lt;10,+W21&amp;W22&amp;$U$20&amp;W20,+W21&amp;W22&amp;W20)</f>
        <v>22:53</v>
      </c>
    </row>
    <row r="25" spans="1:13" ht="12.75">
      <c r="A25" s="1" t="s">
        <v>90</v>
      </c>
      <c r="D25" s="7">
        <f>+D18/D23*100</f>
        <v>60.78431372549019</v>
      </c>
      <c r="H25" s="1" t="s">
        <v>90</v>
      </c>
      <c r="M25" s="7">
        <f>+M18/M23*100</f>
        <v>53.40909090909091</v>
      </c>
    </row>
    <row r="27" spans="1:13" ht="12.75">
      <c r="A27" t="s">
        <v>16</v>
      </c>
      <c r="D27">
        <f>+D8+D12+D16</f>
        <v>71</v>
      </c>
      <c r="H27" t="s">
        <v>16</v>
      </c>
      <c r="M27">
        <f>+M8+M12+M16</f>
        <v>52</v>
      </c>
    </row>
    <row r="28" spans="1:13" ht="12.75">
      <c r="A28" t="s">
        <v>17</v>
      </c>
      <c r="D28" s="8">
        <f>+D23/D27</f>
        <v>5.746478873239437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3.3846153846153846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4</v>
      </c>
      <c r="H31" t="s">
        <v>19</v>
      </c>
      <c r="M31" s="2">
        <v>2</v>
      </c>
    </row>
    <row r="32" spans="1:13" ht="12.75">
      <c r="A32" t="s">
        <v>20</v>
      </c>
      <c r="D32" s="2">
        <v>88</v>
      </c>
      <c r="H32" t="s">
        <v>20</v>
      </c>
      <c r="M32" s="2">
        <v>39</v>
      </c>
    </row>
    <row r="33" spans="1:13" ht="12.75">
      <c r="A33" t="s">
        <v>21</v>
      </c>
      <c r="D33" s="2">
        <v>1</v>
      </c>
      <c r="H33" t="s">
        <v>21</v>
      </c>
      <c r="M33" s="2"/>
    </row>
    <row r="35" spans="1:13" ht="12.75">
      <c r="A35" t="s">
        <v>22</v>
      </c>
      <c r="D35" s="2">
        <v>4</v>
      </c>
      <c r="H35" t="s">
        <v>22</v>
      </c>
      <c r="M35" s="2">
        <v>5</v>
      </c>
    </row>
    <row r="36" spans="1:13" ht="12.75">
      <c r="A36" t="s">
        <v>23</v>
      </c>
      <c r="D36" s="2">
        <v>176</v>
      </c>
      <c r="H36" t="s">
        <v>23</v>
      </c>
      <c r="M36" s="2">
        <v>204</v>
      </c>
    </row>
    <row r="37" spans="1:13" ht="12.75">
      <c r="A37" t="s">
        <v>24</v>
      </c>
      <c r="D37" s="8">
        <f>+D36/D35</f>
        <v>44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40.8</v>
      </c>
    </row>
    <row r="39" spans="1:13" ht="12.75">
      <c r="A39" t="s">
        <v>25</v>
      </c>
      <c r="D39" s="2">
        <v>3</v>
      </c>
      <c r="H39" t="s">
        <v>25</v>
      </c>
      <c r="M39" s="2">
        <v>1</v>
      </c>
    </row>
    <row r="40" spans="1:13" ht="12.75">
      <c r="A40" t="s">
        <v>26</v>
      </c>
      <c r="D40" s="2">
        <v>15</v>
      </c>
      <c r="H40" t="s">
        <v>26</v>
      </c>
      <c r="M40" s="2">
        <v>10</v>
      </c>
    </row>
    <row r="41" spans="1:13" ht="12.75">
      <c r="A41" t="s">
        <v>27</v>
      </c>
      <c r="D41" s="8">
        <f>+D40/D39</f>
        <v>5</v>
      </c>
      <c r="H41" t="s">
        <v>27</v>
      </c>
      <c r="M41" s="8">
        <f>+M40/M39</f>
        <v>10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4</v>
      </c>
      <c r="H44" t="s">
        <v>30</v>
      </c>
      <c r="M44" s="2">
        <v>5</v>
      </c>
    </row>
    <row r="45" spans="1:13" ht="12.75">
      <c r="A45" t="s">
        <v>26</v>
      </c>
      <c r="D45" s="2">
        <v>89</v>
      </c>
      <c r="H45" t="s">
        <v>26</v>
      </c>
      <c r="M45" s="2">
        <v>125</v>
      </c>
    </row>
    <row r="46" spans="1:13" ht="12.75">
      <c r="A46" t="s">
        <v>27</v>
      </c>
      <c r="D46" s="8">
        <f>+D45/D44</f>
        <v>22.25</v>
      </c>
      <c r="H46" t="s">
        <v>27</v>
      </c>
      <c r="M46" s="8">
        <f>+M45/M44</f>
        <v>25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6</v>
      </c>
      <c r="H49" t="s">
        <v>31</v>
      </c>
      <c r="M49" s="2">
        <v>3</v>
      </c>
    </row>
    <row r="50" spans="1:13" ht="12.75">
      <c r="A50" t="s">
        <v>32</v>
      </c>
      <c r="D50" s="2">
        <v>45</v>
      </c>
      <c r="H50" t="s">
        <v>32</v>
      </c>
      <c r="M50" s="2">
        <v>15</v>
      </c>
    </row>
    <row r="52" spans="1:13" ht="12.75">
      <c r="A52" t="s">
        <v>33</v>
      </c>
      <c r="D52" s="2"/>
      <c r="H52" t="s">
        <v>33</v>
      </c>
      <c r="M52" s="2">
        <v>5</v>
      </c>
    </row>
    <row r="53" spans="1:13" ht="12.75">
      <c r="A53" t="s">
        <v>34</v>
      </c>
      <c r="D53" s="2"/>
      <c r="H53" t="s">
        <v>34</v>
      </c>
      <c r="M53" s="2">
        <v>5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35</v>
      </c>
      <c r="H58" t="s">
        <v>38</v>
      </c>
      <c r="M58" s="2">
        <v>17</v>
      </c>
    </row>
    <row r="59" spans="1:13" ht="12.75">
      <c r="A59" t="s">
        <v>39</v>
      </c>
      <c r="D59" s="2">
        <v>5</v>
      </c>
      <c r="H59" t="s">
        <v>39</v>
      </c>
      <c r="M59" s="2">
        <v>2</v>
      </c>
    </row>
    <row r="60" spans="1:13" ht="12.75">
      <c r="A60" t="s">
        <v>40</v>
      </c>
      <c r="D60" s="2">
        <v>2</v>
      </c>
      <c r="H60" t="s">
        <v>40</v>
      </c>
      <c r="M60" s="2"/>
    </row>
    <row r="61" spans="1:13" ht="12.75">
      <c r="A61" t="s">
        <v>41</v>
      </c>
      <c r="D61" s="2">
        <v>2</v>
      </c>
      <c r="H61" t="s">
        <v>41</v>
      </c>
      <c r="M61" s="2"/>
    </row>
    <row r="62" spans="1:13" ht="12.75">
      <c r="A62" t="s">
        <v>42</v>
      </c>
      <c r="D62" s="2">
        <v>1</v>
      </c>
      <c r="H62" t="s">
        <v>42</v>
      </c>
      <c r="M62" s="2">
        <v>2</v>
      </c>
    </row>
    <row r="63" spans="1:13" ht="12.75">
      <c r="A63" t="s">
        <v>43</v>
      </c>
      <c r="D63" s="2">
        <v>5</v>
      </c>
      <c r="H63" t="s">
        <v>43</v>
      </c>
      <c r="M63" s="2">
        <v>2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1</v>
      </c>
    </row>
    <row r="66" spans="1:13" ht="12.75">
      <c r="A66" t="s">
        <v>46</v>
      </c>
      <c r="D66" s="2"/>
      <c r="H66" t="s">
        <v>46</v>
      </c>
      <c r="M66" s="2">
        <v>1</v>
      </c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100</v>
      </c>
    </row>
    <row r="68" spans="1:13" ht="12.75">
      <c r="A68" t="s">
        <v>93</v>
      </c>
      <c r="D68" s="10" t="str">
        <f>IF(V20&lt;10,V24,V23)</f>
        <v>37:07</v>
      </c>
      <c r="E68" s="8"/>
      <c r="F68" s="8"/>
      <c r="H68" t="s">
        <v>93</v>
      </c>
      <c r="M68" s="10" t="str">
        <f>IF(W20&lt;10,W24,W23)</f>
        <v>22:53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7" ht="12.75">
      <c r="A72" t="s">
        <v>110</v>
      </c>
      <c r="C72">
        <v>18</v>
      </c>
      <c r="D72">
        <v>89</v>
      </c>
      <c r="E72" s="12">
        <f>+D72/C72</f>
        <v>4.944444444444445</v>
      </c>
      <c r="F72">
        <v>27</v>
      </c>
      <c r="G72">
        <v>1</v>
      </c>
    </row>
    <row r="73" spans="1:7" ht="12.75">
      <c r="A73" t="s">
        <v>111</v>
      </c>
      <c r="C73">
        <v>14</v>
      </c>
      <c r="D73">
        <v>72</v>
      </c>
      <c r="E73" s="12">
        <f>+D73/C73</f>
        <v>5.142857142857143</v>
      </c>
      <c r="F73">
        <v>18</v>
      </c>
      <c r="G73">
        <v>1</v>
      </c>
    </row>
    <row r="74" spans="1:5" ht="12.75">
      <c r="A74" t="s">
        <v>112</v>
      </c>
      <c r="E74" s="12" t="e">
        <f>+D74/C74</f>
        <v>#DIV/0!</v>
      </c>
    </row>
    <row r="75" spans="1:6" ht="12.75">
      <c r="A75" t="s">
        <v>113</v>
      </c>
      <c r="C75">
        <v>3</v>
      </c>
      <c r="D75">
        <v>-1</v>
      </c>
      <c r="E75" s="12">
        <f aca="true" t="shared" si="0" ref="E75:E81">+D75/C75</f>
        <v>-0.3333333333333333</v>
      </c>
      <c r="F75">
        <v>1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3</v>
      </c>
      <c r="D86">
        <v>15</v>
      </c>
      <c r="E86" s="12">
        <f aca="true" t="shared" si="1" ref="E86:E97">+D86/C86</f>
        <v>5</v>
      </c>
      <c r="F86">
        <v>10</v>
      </c>
    </row>
    <row r="87" spans="1:6" ht="12.75">
      <c r="A87" t="s">
        <v>111</v>
      </c>
      <c r="C87">
        <v>1</v>
      </c>
      <c r="D87">
        <v>7</v>
      </c>
      <c r="E87" s="12">
        <f t="shared" si="1"/>
        <v>7</v>
      </c>
      <c r="F87">
        <v>7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6</v>
      </c>
      <c r="D91">
        <v>125</v>
      </c>
      <c r="E91" s="12">
        <f t="shared" si="1"/>
        <v>20.833333333333332</v>
      </c>
      <c r="F91">
        <v>42</v>
      </c>
    </row>
    <row r="92" spans="1:7" ht="12.75">
      <c r="A92" t="s">
        <v>118</v>
      </c>
      <c r="C92">
        <v>4</v>
      </c>
      <c r="D92">
        <v>59</v>
      </c>
      <c r="E92" s="12">
        <f t="shared" si="1"/>
        <v>14.75</v>
      </c>
      <c r="F92">
        <v>20</v>
      </c>
      <c r="G92">
        <v>2</v>
      </c>
    </row>
    <row r="93" spans="1:6" ht="12.75">
      <c r="A93" t="s">
        <v>119</v>
      </c>
      <c r="C93">
        <v>3</v>
      </c>
      <c r="D93">
        <v>50</v>
      </c>
      <c r="E93" s="12">
        <f t="shared" si="1"/>
        <v>16.666666666666668</v>
      </c>
      <c r="F93">
        <v>29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35</v>
      </c>
      <c r="D102">
        <v>17</v>
      </c>
      <c r="E102" s="12">
        <f>+D102/C102*100</f>
        <v>48.57142857142857</v>
      </c>
      <c r="F102">
        <v>256</v>
      </c>
      <c r="G102">
        <v>2</v>
      </c>
      <c r="H102">
        <v>42</v>
      </c>
      <c r="I102">
        <v>4</v>
      </c>
      <c r="J102" s="8">
        <f>+G102/C102*100</f>
        <v>5.714285714285714</v>
      </c>
      <c r="K102" s="12">
        <f>+I102/C102*100</f>
        <v>11.428571428571429</v>
      </c>
      <c r="L102" s="12">
        <f>+F102/C102</f>
        <v>7.314285714285714</v>
      </c>
      <c r="M102" s="12">
        <f>100*(S102+U102+W102+Y102)/6</f>
        <v>52.5</v>
      </c>
      <c r="R102">
        <f>+(E102-30)/20</f>
        <v>0.9285714285714285</v>
      </c>
      <c r="S102" s="2">
        <f>IF(R102&lt;0,0,R102)</f>
        <v>0.9285714285714285</v>
      </c>
      <c r="T102" s="6">
        <f>+(L102-3)/4</f>
        <v>1.0785714285714285</v>
      </c>
      <c r="U102" s="2">
        <f>IF(T102&lt;0,0,T102)</f>
        <v>1.0785714285714285</v>
      </c>
      <c r="V102">
        <f>+J102/5</f>
        <v>1.1428571428571428</v>
      </c>
      <c r="W102" s="2">
        <f>IF(V102&lt;0,0,V102)</f>
        <v>1.1428571428571428</v>
      </c>
      <c r="X102">
        <f>(9.5-K102)/4</f>
        <v>-0.4821428571428572</v>
      </c>
      <c r="Y102" s="2">
        <f>IF(X102&lt;0,0,X102)</f>
        <v>0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3</v>
      </c>
      <c r="D108">
        <v>2</v>
      </c>
      <c r="E108">
        <v>15</v>
      </c>
      <c r="F108" s="12">
        <f aca="true" t="shared" si="2" ref="F108:F113">+E108/C108</f>
        <v>5</v>
      </c>
      <c r="G108">
        <v>9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6" ht="12.75">
      <c r="A120" t="s">
        <v>126</v>
      </c>
      <c r="C120">
        <v>4</v>
      </c>
      <c r="D120">
        <v>89</v>
      </c>
      <c r="E120" s="12">
        <f t="shared" si="3"/>
        <v>22.25</v>
      </c>
      <c r="F120">
        <v>22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4</v>
      </c>
      <c r="D128">
        <v>176</v>
      </c>
      <c r="E128" s="12">
        <f>+D128/C128</f>
        <v>44</v>
      </c>
      <c r="F128">
        <v>48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3</v>
      </c>
      <c r="E132">
        <v>5</v>
      </c>
      <c r="F132">
        <v>5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6" ht="12.75">
      <c r="A138" t="s">
        <v>123</v>
      </c>
      <c r="C138">
        <v>1</v>
      </c>
      <c r="D138">
        <v>5</v>
      </c>
      <c r="E138" s="12">
        <f t="shared" si="4"/>
        <v>5</v>
      </c>
      <c r="F138">
        <v>5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6" ht="12.75">
      <c r="A142" t="s">
        <v>136</v>
      </c>
      <c r="C142">
        <v>1</v>
      </c>
      <c r="D142">
        <v>34</v>
      </c>
      <c r="E142" s="12">
        <f t="shared" si="4"/>
        <v>34</v>
      </c>
      <c r="F142">
        <v>34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3</v>
      </c>
      <c r="D148">
        <v>28</v>
      </c>
    </row>
    <row r="149" spans="1:4" ht="12.75">
      <c r="A149" t="s">
        <v>134</v>
      </c>
      <c r="C149">
        <v>3</v>
      </c>
      <c r="D149">
        <v>15</v>
      </c>
    </row>
    <row r="150" ht="12.75">
      <c r="A150" t="s">
        <v>138</v>
      </c>
    </row>
    <row r="151" spans="1:4" ht="12.75">
      <c r="A151" t="s">
        <v>139</v>
      </c>
      <c r="C151">
        <v>1</v>
      </c>
      <c r="D151">
        <v>8</v>
      </c>
    </row>
    <row r="152" ht="12.75">
      <c r="A152" t="s">
        <v>140</v>
      </c>
    </row>
    <row r="153" ht="12.75">
      <c r="A153" t="s">
        <v>135</v>
      </c>
    </row>
    <row r="154" spans="1:4" ht="12.75">
      <c r="A154" t="s">
        <v>136</v>
      </c>
      <c r="C154">
        <v>2</v>
      </c>
      <c r="D154">
        <v>21</v>
      </c>
    </row>
    <row r="155" spans="1:4" ht="12.75">
      <c r="A155" t="s">
        <v>142</v>
      </c>
      <c r="C155">
        <v>1</v>
      </c>
      <c r="D155">
        <v>13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14</v>
      </c>
      <c r="H163" t="s">
        <v>97</v>
      </c>
      <c r="M163">
        <v>15</v>
      </c>
    </row>
    <row r="164" spans="1:13" ht="12.75">
      <c r="A164" t="s">
        <v>98</v>
      </c>
      <c r="D164">
        <v>7</v>
      </c>
      <c r="H164" t="s">
        <v>98</v>
      </c>
      <c r="M164">
        <v>3</v>
      </c>
    </row>
    <row r="165" spans="1:15" ht="12.75">
      <c r="A165" t="s">
        <v>99</v>
      </c>
      <c r="D165">
        <f>D164/D163*100</f>
        <v>50</v>
      </c>
      <c r="E165" s="23"/>
      <c r="H165" t="s">
        <v>99</v>
      </c>
      <c r="M165">
        <f>+M164/M163*100</f>
        <v>20</v>
      </c>
      <c r="O165" s="2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65"/>
  <sheetViews>
    <sheetView workbookViewId="0" topLeftCell="A133">
      <selection activeCell="M166" sqref="M16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10</v>
      </c>
      <c r="H6" s="1" t="s">
        <v>29</v>
      </c>
      <c r="M6" s="2">
        <v>16</v>
      </c>
    </row>
    <row r="8" spans="1:23" ht="12.75">
      <c r="A8" t="s">
        <v>1</v>
      </c>
      <c r="D8" s="2">
        <v>20</v>
      </c>
      <c r="H8" t="s">
        <v>1</v>
      </c>
      <c r="M8" s="2">
        <v>23</v>
      </c>
      <c r="V8">
        <f>+D8</f>
        <v>20</v>
      </c>
      <c r="W8">
        <f>+M8</f>
        <v>23</v>
      </c>
    </row>
    <row r="9" spans="1:23" ht="12.75">
      <c r="A9" t="s">
        <v>2</v>
      </c>
      <c r="D9" s="2">
        <v>69</v>
      </c>
      <c r="H9" t="s">
        <v>2</v>
      </c>
      <c r="M9" s="2">
        <v>46</v>
      </c>
      <c r="U9" s="13"/>
      <c r="V9">
        <f>+D13</f>
        <v>14</v>
      </c>
      <c r="W9">
        <f>+M13</f>
        <v>18</v>
      </c>
    </row>
    <row r="10" spans="1:23" ht="12.75">
      <c r="A10" s="1" t="s">
        <v>3</v>
      </c>
      <c r="D10" s="8">
        <f>+D9/D8</f>
        <v>3.45</v>
      </c>
      <c r="H10" s="1" t="s">
        <v>3</v>
      </c>
      <c r="M10" s="8">
        <f>M9/M8</f>
        <v>2</v>
      </c>
      <c r="V10">
        <f>+(D12-D13)/2</f>
        <v>6.5</v>
      </c>
      <c r="W10">
        <f>+(M12-M13)/2</f>
        <v>6.5</v>
      </c>
    </row>
    <row r="11" spans="22:23" ht="12.75">
      <c r="V11">
        <f>+D35/2</f>
        <v>1.5</v>
      </c>
      <c r="W11">
        <f>+M35/2</f>
        <v>1.5</v>
      </c>
    </row>
    <row r="12" spans="1:23" ht="12.75">
      <c r="A12" t="s">
        <v>4</v>
      </c>
      <c r="D12" s="2">
        <v>27</v>
      </c>
      <c r="H12" t="s">
        <v>4</v>
      </c>
      <c r="M12" s="2">
        <v>31</v>
      </c>
      <c r="V12">
        <f>+D39/2</f>
        <v>0</v>
      </c>
      <c r="W12">
        <f>+M39/2</f>
        <v>1.5</v>
      </c>
    </row>
    <row r="13" spans="1:23" ht="12.75">
      <c r="A13" t="s">
        <v>5</v>
      </c>
      <c r="D13" s="2">
        <v>14</v>
      </c>
      <c r="H13" t="s">
        <v>5</v>
      </c>
      <c r="M13" s="2">
        <v>18</v>
      </c>
      <c r="V13">
        <f>+D44/2</f>
        <v>2</v>
      </c>
      <c r="W13">
        <f>+M44/2</f>
        <v>1.5</v>
      </c>
    </row>
    <row r="14" spans="1:13" ht="12.75">
      <c r="A14" t="s">
        <v>6</v>
      </c>
      <c r="D14" s="8">
        <f>+D13/D12*100</f>
        <v>51.85185185185185</v>
      </c>
      <c r="H14" t="s">
        <v>6</v>
      </c>
      <c r="M14" s="8">
        <f>+M13/M12*100</f>
        <v>58.06451612903226</v>
      </c>
    </row>
    <row r="15" spans="1:24" ht="12.75">
      <c r="A15" t="s">
        <v>7</v>
      </c>
      <c r="D15" s="2">
        <v>179</v>
      </c>
      <c r="H15" t="s">
        <v>7</v>
      </c>
      <c r="M15" s="2">
        <v>216</v>
      </c>
      <c r="V15">
        <f>SUM(V8:V13)</f>
        <v>44</v>
      </c>
      <c r="W15">
        <f>SUM(W8:W13)</f>
        <v>52</v>
      </c>
      <c r="X15">
        <f>+W15+V15</f>
        <v>96</v>
      </c>
    </row>
    <row r="16" spans="1:23" ht="12.75">
      <c r="A16" t="s">
        <v>8</v>
      </c>
      <c r="D16" s="2">
        <v>3</v>
      </c>
      <c r="H16" t="s">
        <v>8</v>
      </c>
      <c r="M16" s="2">
        <v>2</v>
      </c>
      <c r="V16">
        <f>+V15/X15</f>
        <v>0.4583333333333333</v>
      </c>
      <c r="W16">
        <f>+W15/X15</f>
        <v>0.5416666666666666</v>
      </c>
    </row>
    <row r="17" spans="1:23" ht="12.75">
      <c r="A17" t="s">
        <v>9</v>
      </c>
      <c r="D17" s="2">
        <v>22</v>
      </c>
      <c r="H17" t="s">
        <v>9</v>
      </c>
      <c r="M17" s="2">
        <v>15</v>
      </c>
      <c r="V17">
        <f>+V16*60</f>
        <v>27.5</v>
      </c>
      <c r="W17">
        <f>+W16*60</f>
        <v>32.5</v>
      </c>
    </row>
    <row r="18" spans="1:23" ht="12.75">
      <c r="A18" t="s">
        <v>10</v>
      </c>
      <c r="D18">
        <f>+D15-D17</f>
        <v>157</v>
      </c>
      <c r="H18" t="s">
        <v>10</v>
      </c>
      <c r="M18">
        <f>+M15-M17</f>
        <v>201</v>
      </c>
      <c r="V18">
        <f>+V17-INT(V17)</f>
        <v>0.5</v>
      </c>
      <c r="W18">
        <f>+W17-INT(W17)</f>
        <v>0.5</v>
      </c>
    </row>
    <row r="19" spans="1:23" ht="12.75">
      <c r="A19" t="s">
        <v>11</v>
      </c>
      <c r="D19" s="7">
        <f>+D18/D12</f>
        <v>5.814814814814815</v>
      </c>
      <c r="H19" t="s">
        <v>11</v>
      </c>
      <c r="M19" s="7">
        <f>+M18/M12</f>
        <v>6.483870967741935</v>
      </c>
      <c r="V19">
        <f>+V18*60</f>
        <v>30</v>
      </c>
      <c r="W19">
        <f>+W18*60</f>
        <v>30</v>
      </c>
    </row>
    <row r="20" spans="1:23" ht="12.75">
      <c r="A20" t="s">
        <v>12</v>
      </c>
      <c r="D20" s="7">
        <f>+D15/D13</f>
        <v>12.785714285714286</v>
      </c>
      <c r="H20" t="s">
        <v>12</v>
      </c>
      <c r="M20" s="7">
        <f>+M15/M13</f>
        <v>12</v>
      </c>
      <c r="U20">
        <v>0</v>
      </c>
      <c r="V20" s="11">
        <f>ROUND(V19,0)</f>
        <v>30</v>
      </c>
      <c r="W20">
        <f>ROUND(W19,0)</f>
        <v>30</v>
      </c>
    </row>
    <row r="21" spans="22:23" ht="12.75">
      <c r="V21">
        <f>INT(V17)</f>
        <v>27</v>
      </c>
      <c r="W21">
        <f>INT(W17)</f>
        <v>32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226</v>
      </c>
      <c r="H23" t="s">
        <v>14</v>
      </c>
      <c r="M23">
        <f>+M18+M9</f>
        <v>247</v>
      </c>
      <c r="V23" s="14" t="str">
        <f>+V21&amp;V22&amp;V20</f>
        <v>27:30</v>
      </c>
      <c r="W23" s="9" t="str">
        <f>+W21&amp;W22&amp;W20</f>
        <v>32:30</v>
      </c>
    </row>
    <row r="24" spans="1:23" ht="12.75">
      <c r="A24" t="s">
        <v>15</v>
      </c>
      <c r="D24" s="7">
        <f>+D9/D23*100</f>
        <v>30.53097345132743</v>
      </c>
      <c r="H24" t="s">
        <v>15</v>
      </c>
      <c r="M24" s="7">
        <f>+M9/M23*100</f>
        <v>18.62348178137652</v>
      </c>
      <c r="V24" s="9" t="str">
        <f>IF(V20&lt;10,+V21&amp;V22&amp;$U$20&amp;V20,+V21&amp;V22&amp;V20)</f>
        <v>27:30</v>
      </c>
      <c r="W24" s="9" t="str">
        <f>IF(W20&lt;10,+W21&amp;W22&amp;$U$20&amp;W20,+W21&amp;W22&amp;W20)</f>
        <v>32:30</v>
      </c>
    </row>
    <row r="25" spans="1:13" ht="12.75">
      <c r="A25" s="1" t="s">
        <v>90</v>
      </c>
      <c r="D25" s="7">
        <f>+D18/D23*100</f>
        <v>69.46902654867256</v>
      </c>
      <c r="H25" s="1" t="s">
        <v>90</v>
      </c>
      <c r="M25" s="7">
        <f>+M18/M23*100</f>
        <v>81.37651821862349</v>
      </c>
    </row>
    <row r="27" spans="1:13" ht="12.75">
      <c r="A27" t="s">
        <v>16</v>
      </c>
      <c r="D27">
        <f>+D8+D12+D16</f>
        <v>50</v>
      </c>
      <c r="H27" t="s">
        <v>16</v>
      </c>
      <c r="M27">
        <f>+M8+M12+M16</f>
        <v>56</v>
      </c>
    </row>
    <row r="28" spans="1:13" ht="12.75">
      <c r="A28" t="s">
        <v>17</v>
      </c>
      <c r="D28" s="8">
        <f>+D23/D27</f>
        <v>4.52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4.410714285714286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4</v>
      </c>
      <c r="H31" t="s">
        <v>19</v>
      </c>
      <c r="M31" s="2">
        <v>2</v>
      </c>
    </row>
    <row r="32" spans="1:13" ht="12.75">
      <c r="A32" t="s">
        <v>20</v>
      </c>
      <c r="D32" s="2">
        <v>82</v>
      </c>
      <c r="H32" t="s">
        <v>20</v>
      </c>
      <c r="M32" s="2">
        <v>18</v>
      </c>
    </row>
    <row r="33" spans="1:13" ht="12.75">
      <c r="A33" t="s">
        <v>21</v>
      </c>
      <c r="D33" s="2">
        <v>1</v>
      </c>
      <c r="H33" t="s">
        <v>21</v>
      </c>
      <c r="M33" s="2"/>
    </row>
    <row r="35" spans="1:13" ht="12.75">
      <c r="A35" t="s">
        <v>22</v>
      </c>
      <c r="D35" s="2">
        <v>3</v>
      </c>
      <c r="H35" t="s">
        <v>22</v>
      </c>
      <c r="M35" s="2">
        <v>3</v>
      </c>
    </row>
    <row r="36" spans="1:13" ht="12.75">
      <c r="A36" t="s">
        <v>23</v>
      </c>
      <c r="D36" s="2">
        <v>140</v>
      </c>
      <c r="H36" t="s">
        <v>23</v>
      </c>
      <c r="M36" s="2">
        <v>77</v>
      </c>
    </row>
    <row r="37" spans="1:13" ht="12.75">
      <c r="A37" t="s">
        <v>24</v>
      </c>
      <c r="D37" s="8">
        <f>+D36/D35</f>
        <v>46.666666666666664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25.666666666666668</v>
      </c>
    </row>
    <row r="39" spans="1:13" ht="12.75">
      <c r="A39" t="s">
        <v>25</v>
      </c>
      <c r="D39" s="2"/>
      <c r="H39" t="s">
        <v>25</v>
      </c>
      <c r="M39" s="2">
        <v>3</v>
      </c>
    </row>
    <row r="40" spans="1:13" ht="12.75">
      <c r="A40" t="s">
        <v>26</v>
      </c>
      <c r="D40" s="2"/>
      <c r="H40" t="s">
        <v>26</v>
      </c>
      <c r="M40" s="2">
        <v>14</v>
      </c>
    </row>
    <row r="41" spans="1:13" ht="12.75">
      <c r="A41" t="s">
        <v>27</v>
      </c>
      <c r="D41" s="8" t="e">
        <f>+D40/D39</f>
        <v>#DIV/0!</v>
      </c>
      <c r="H41" t="s">
        <v>27</v>
      </c>
      <c r="M41" s="8">
        <f>+M40/M39</f>
        <v>4.666666666666667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4</v>
      </c>
      <c r="H44" t="s">
        <v>30</v>
      </c>
      <c r="M44" s="2">
        <v>3</v>
      </c>
    </row>
    <row r="45" spans="1:13" ht="12.75">
      <c r="A45" t="s">
        <v>26</v>
      </c>
      <c r="D45" s="2">
        <v>108</v>
      </c>
      <c r="H45" t="s">
        <v>26</v>
      </c>
      <c r="M45" s="2">
        <v>104</v>
      </c>
    </row>
    <row r="46" spans="1:13" ht="12.75">
      <c r="A46" t="s">
        <v>27</v>
      </c>
      <c r="D46" s="8">
        <f>+D45/D44</f>
        <v>27</v>
      </c>
      <c r="H46" t="s">
        <v>27</v>
      </c>
      <c r="M46" s="8">
        <f>+M45/M44</f>
        <v>34.666666666666664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4</v>
      </c>
      <c r="H49" t="s">
        <v>31</v>
      </c>
      <c r="M49" s="2">
        <v>5</v>
      </c>
    </row>
    <row r="50" spans="1:13" ht="12.75">
      <c r="A50" t="s">
        <v>32</v>
      </c>
      <c r="D50" s="2">
        <v>35</v>
      </c>
      <c r="H50" t="s">
        <v>32</v>
      </c>
      <c r="M50" s="2">
        <v>40</v>
      </c>
    </row>
    <row r="52" spans="1:13" ht="12.75">
      <c r="A52" t="s">
        <v>33</v>
      </c>
      <c r="D52" s="2">
        <v>5</v>
      </c>
      <c r="H52" t="s">
        <v>33</v>
      </c>
      <c r="M52" s="2">
        <v>4</v>
      </c>
    </row>
    <row r="53" spans="1:13" ht="12.75">
      <c r="A53" t="s">
        <v>34</v>
      </c>
      <c r="D53" s="2">
        <v>3</v>
      </c>
      <c r="H53" t="s">
        <v>34</v>
      </c>
      <c r="M53" s="2">
        <v>4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2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14</v>
      </c>
      <c r="H58" t="s">
        <v>38</v>
      </c>
      <c r="M58" s="2">
        <v>34</v>
      </c>
    </row>
    <row r="59" spans="1:13" ht="12.75">
      <c r="A59" t="s">
        <v>39</v>
      </c>
      <c r="D59" s="2">
        <v>2</v>
      </c>
      <c r="H59" t="s">
        <v>39</v>
      </c>
      <c r="M59" s="2">
        <v>4</v>
      </c>
    </row>
    <row r="60" spans="1:13" ht="12.75">
      <c r="A60" t="s">
        <v>40</v>
      </c>
      <c r="D60" s="2"/>
      <c r="H60" t="s">
        <v>40</v>
      </c>
      <c r="M60" s="2">
        <v>1</v>
      </c>
    </row>
    <row r="61" spans="1:13" ht="12.75">
      <c r="A61" t="s">
        <v>41</v>
      </c>
      <c r="D61" s="2">
        <v>2</v>
      </c>
      <c r="H61" t="s">
        <v>41</v>
      </c>
      <c r="M61" s="2">
        <v>2</v>
      </c>
    </row>
    <row r="62" spans="1:13" ht="12.75">
      <c r="A62" t="s">
        <v>42</v>
      </c>
      <c r="D62" s="2"/>
      <c r="H62" t="s">
        <v>42</v>
      </c>
      <c r="M62" s="2">
        <v>1</v>
      </c>
    </row>
    <row r="63" spans="1:13" ht="12.75">
      <c r="A63" t="s">
        <v>43</v>
      </c>
      <c r="D63" s="2">
        <v>2</v>
      </c>
      <c r="H63" t="s">
        <v>43</v>
      </c>
      <c r="M63" s="2">
        <v>4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2</v>
      </c>
    </row>
    <row r="66" spans="1:13" ht="12.75">
      <c r="A66" t="s">
        <v>46</v>
      </c>
      <c r="D66" s="2"/>
      <c r="H66" t="s">
        <v>46</v>
      </c>
      <c r="M66" s="2">
        <v>3</v>
      </c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66.66666666666666</v>
      </c>
    </row>
    <row r="68" spans="1:13" ht="12.75">
      <c r="A68" t="s">
        <v>93</v>
      </c>
      <c r="D68" s="10" t="str">
        <f>IF(V20&lt;10,V24,V23)</f>
        <v>27:30</v>
      </c>
      <c r="E68" s="8"/>
      <c r="F68" s="8"/>
      <c r="H68" t="s">
        <v>93</v>
      </c>
      <c r="M68" s="10" t="str">
        <f>IF(W20&lt;10,W24,W23)</f>
        <v>32:30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11</v>
      </c>
      <c r="D72">
        <v>53</v>
      </c>
      <c r="E72" s="12">
        <f>+D72/C72</f>
        <v>4.818181818181818</v>
      </c>
      <c r="F72">
        <v>14</v>
      </c>
    </row>
    <row r="73" spans="1:6" ht="12.75">
      <c r="A73" t="s">
        <v>111</v>
      </c>
      <c r="C73">
        <v>9</v>
      </c>
      <c r="D73">
        <v>16</v>
      </c>
      <c r="E73" s="12">
        <f>+D73/C73</f>
        <v>1.7777777777777777</v>
      </c>
      <c r="F73">
        <v>9</v>
      </c>
    </row>
    <row r="74" spans="1:5" ht="12.75">
      <c r="A74" t="s">
        <v>112</v>
      </c>
      <c r="E74" s="12" t="e">
        <f>+D74/C74</f>
        <v>#DIV/0!</v>
      </c>
    </row>
    <row r="75" spans="1:5" ht="12.75">
      <c r="A75" t="s">
        <v>113</v>
      </c>
      <c r="E75" s="12" t="e">
        <f aca="true" t="shared" si="0" ref="E75:E81">+D75/C75</f>
        <v>#DIV/0!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7" ht="12.75">
      <c r="A86" t="s">
        <v>110</v>
      </c>
      <c r="C86">
        <v>4</v>
      </c>
      <c r="D86">
        <v>37</v>
      </c>
      <c r="E86" s="12">
        <f aca="true" t="shared" si="1" ref="E86:E97">+D86/C86</f>
        <v>9.25</v>
      </c>
      <c r="F86">
        <v>12</v>
      </c>
      <c r="G86">
        <v>1</v>
      </c>
    </row>
    <row r="87" spans="1:6" ht="12.75">
      <c r="A87" t="s">
        <v>111</v>
      </c>
      <c r="C87">
        <v>1</v>
      </c>
      <c r="D87">
        <v>2</v>
      </c>
      <c r="E87" s="12">
        <f t="shared" si="1"/>
        <v>2</v>
      </c>
      <c r="F87">
        <v>2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6" ht="12.75">
      <c r="A92" t="s">
        <v>118</v>
      </c>
      <c r="C92">
        <v>3</v>
      </c>
      <c r="D92">
        <v>63</v>
      </c>
      <c r="E92" s="12">
        <f t="shared" si="1"/>
        <v>21</v>
      </c>
      <c r="F92">
        <v>35</v>
      </c>
    </row>
    <row r="93" spans="1:7" ht="12.75">
      <c r="A93" t="s">
        <v>119</v>
      </c>
      <c r="C93">
        <v>1</v>
      </c>
      <c r="D93">
        <v>11</v>
      </c>
      <c r="E93" s="12">
        <f t="shared" si="1"/>
        <v>11</v>
      </c>
      <c r="F93">
        <v>11</v>
      </c>
      <c r="G93">
        <v>1</v>
      </c>
    </row>
    <row r="94" spans="1:6" ht="12.75">
      <c r="A94" t="s">
        <v>120</v>
      </c>
      <c r="C94">
        <v>3</v>
      </c>
      <c r="D94">
        <v>27</v>
      </c>
      <c r="E94" s="12">
        <f t="shared" si="1"/>
        <v>9</v>
      </c>
      <c r="F94">
        <v>22</v>
      </c>
    </row>
    <row r="95" spans="1:8" ht="12.75">
      <c r="A95" t="s">
        <v>121</v>
      </c>
      <c r="C95">
        <v>2</v>
      </c>
      <c r="D95">
        <v>39</v>
      </c>
      <c r="E95" s="12">
        <f t="shared" si="1"/>
        <v>19.5</v>
      </c>
      <c r="F95">
        <v>32</v>
      </c>
      <c r="H95">
        <v>2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27</v>
      </c>
      <c r="D102">
        <v>14</v>
      </c>
      <c r="E102" s="12">
        <f>+D102/C102*100</f>
        <v>51.85185185185185</v>
      </c>
      <c r="F102">
        <v>179</v>
      </c>
      <c r="G102">
        <v>2</v>
      </c>
      <c r="H102">
        <v>35</v>
      </c>
      <c r="I102">
        <v>4</v>
      </c>
      <c r="J102" s="8">
        <f>+G102/C102*100</f>
        <v>7.4074074074074066</v>
      </c>
      <c r="K102" s="12">
        <f>+I102/C102*100</f>
        <v>14.814814814814813</v>
      </c>
      <c r="L102" s="12">
        <f>+F102/C102</f>
        <v>6.62962962962963</v>
      </c>
      <c r="M102" s="12">
        <f>100*(S102+U102+W102+Y102)/6</f>
        <v>58.02469135802468</v>
      </c>
      <c r="N102">
        <v>3</v>
      </c>
      <c r="R102">
        <f>+(E102-30)/20</f>
        <v>1.0925925925925923</v>
      </c>
      <c r="S102" s="2">
        <f>IF(R102&lt;0,0,R102)</f>
        <v>1.0925925925925923</v>
      </c>
      <c r="T102" s="6">
        <f>+(L102-3)/4</f>
        <v>0.9074074074074074</v>
      </c>
      <c r="U102" s="2">
        <f>IF(T102&lt;0,0,T102)</f>
        <v>0.9074074074074074</v>
      </c>
      <c r="V102">
        <f>+J102/5</f>
        <v>1.4814814814814814</v>
      </c>
      <c r="W102" s="2">
        <f>IF(V102&lt;0,0,V102)</f>
        <v>1.4814814814814814</v>
      </c>
      <c r="X102">
        <f>(9.5-K102)/4</f>
        <v>-1.3287037037037033</v>
      </c>
      <c r="Y102" s="2">
        <f>IF(X102&lt;0,0,X102)</f>
        <v>0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6" ht="12.75">
      <c r="A108" t="s">
        <v>125</v>
      </c>
      <c r="F108" s="12" t="e">
        <f aca="true" t="shared" si="2" ref="F108:F113">+E108/C108</f>
        <v>#DIV/0!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6" ht="12.75">
      <c r="A120" t="s">
        <v>126</v>
      </c>
      <c r="C120">
        <v>4</v>
      </c>
      <c r="D120">
        <v>108</v>
      </c>
      <c r="E120" s="12">
        <f t="shared" si="3"/>
        <v>27</v>
      </c>
      <c r="F120">
        <v>40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3</v>
      </c>
      <c r="D128">
        <v>140</v>
      </c>
      <c r="E128" s="12">
        <f>+D128/C128</f>
        <v>46.666666666666664</v>
      </c>
      <c r="F128">
        <v>50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3</v>
      </c>
      <c r="E132">
        <v>2</v>
      </c>
      <c r="F132">
        <v>2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C140">
        <v>1</v>
      </c>
      <c r="E140" s="12">
        <f t="shared" si="4"/>
        <v>0</v>
      </c>
    </row>
    <row r="141" spans="1:5" ht="12.75">
      <c r="A141" t="s">
        <v>125</v>
      </c>
      <c r="E141" s="12" t="e">
        <f t="shared" si="4"/>
        <v>#DIV/0!</v>
      </c>
    </row>
    <row r="142" spans="1:5" ht="12.75">
      <c r="A142" t="s">
        <v>136</v>
      </c>
      <c r="E142" s="12" t="e">
        <f t="shared" si="4"/>
        <v>#DIV/0!</v>
      </c>
    </row>
    <row r="143" spans="1:6" ht="12.75">
      <c r="A143" t="s">
        <v>142</v>
      </c>
      <c r="C143">
        <v>1</v>
      </c>
      <c r="D143">
        <v>18</v>
      </c>
      <c r="E143" s="12">
        <f t="shared" si="4"/>
        <v>18</v>
      </c>
      <c r="F143">
        <v>18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1</v>
      </c>
      <c r="D148">
        <v>6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spans="1:4" ht="12.75">
      <c r="A155" t="s">
        <v>142</v>
      </c>
      <c r="C155">
        <v>1</v>
      </c>
      <c r="D155">
        <v>9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9</v>
      </c>
      <c r="H163" t="s">
        <v>97</v>
      </c>
      <c r="M163">
        <v>12</v>
      </c>
    </row>
    <row r="164" spans="1:13" ht="12.75">
      <c r="A164" t="s">
        <v>98</v>
      </c>
      <c r="D164">
        <v>4</v>
      </c>
      <c r="H164" t="s">
        <v>98</v>
      </c>
      <c r="M164">
        <v>4</v>
      </c>
    </row>
    <row r="165" spans="1:15" ht="12.75">
      <c r="A165" t="s">
        <v>99</v>
      </c>
      <c r="D165">
        <f>D164/D163*100</f>
        <v>44.44444444444444</v>
      </c>
      <c r="E165" s="23"/>
      <c r="H165" t="s">
        <v>99</v>
      </c>
      <c r="M165">
        <f>+M164/M163*100</f>
        <v>33.33333333333333</v>
      </c>
      <c r="O165" s="2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65"/>
  <sheetViews>
    <sheetView workbookViewId="0" topLeftCell="A42">
      <selection activeCell="E66" sqref="E6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14</v>
      </c>
      <c r="H6" s="1" t="s">
        <v>29</v>
      </c>
      <c r="M6" s="2">
        <v>19</v>
      </c>
    </row>
    <row r="8" spans="1:23" ht="12.75">
      <c r="A8" t="s">
        <v>1</v>
      </c>
      <c r="D8" s="2">
        <v>20</v>
      </c>
      <c r="H8" t="s">
        <v>1</v>
      </c>
      <c r="M8" s="2">
        <v>42</v>
      </c>
      <c r="V8">
        <f>+D8</f>
        <v>20</v>
      </c>
      <c r="W8">
        <f>+M8</f>
        <v>42</v>
      </c>
    </row>
    <row r="9" spans="1:23" ht="12.75">
      <c r="A9" t="s">
        <v>2</v>
      </c>
      <c r="D9" s="2">
        <v>104</v>
      </c>
      <c r="H9" t="s">
        <v>2</v>
      </c>
      <c r="M9" s="2">
        <v>129</v>
      </c>
      <c r="U9" s="13"/>
      <c r="V9">
        <f>+D13</f>
        <v>14</v>
      </c>
      <c r="W9">
        <f>+M13</f>
        <v>17</v>
      </c>
    </row>
    <row r="10" spans="1:23" ht="12.75">
      <c r="A10" s="1" t="s">
        <v>3</v>
      </c>
      <c r="D10" s="8">
        <f>+D9/D8</f>
        <v>5.2</v>
      </c>
      <c r="H10" s="1" t="s">
        <v>3</v>
      </c>
      <c r="M10" s="8">
        <f>+M9/M8</f>
        <v>3.0714285714285716</v>
      </c>
      <c r="V10">
        <f>+(D12-D13)/2</f>
        <v>9</v>
      </c>
      <c r="W10">
        <f>+(M12-M13)/2</f>
        <v>5.5</v>
      </c>
    </row>
    <row r="11" spans="22:23" ht="12.75">
      <c r="V11">
        <f>+D35/2</f>
        <v>3</v>
      </c>
      <c r="W11">
        <f>+M35/2</f>
        <v>3</v>
      </c>
    </row>
    <row r="12" spans="1:23" ht="12.75">
      <c r="A12" t="s">
        <v>4</v>
      </c>
      <c r="D12" s="2">
        <v>32</v>
      </c>
      <c r="H12" t="s">
        <v>4</v>
      </c>
      <c r="M12" s="2">
        <v>28</v>
      </c>
      <c r="V12">
        <f>+D39/2</f>
        <v>0.5</v>
      </c>
      <c r="W12">
        <f>+M39/2</f>
        <v>2</v>
      </c>
    </row>
    <row r="13" spans="1:23" ht="12.75">
      <c r="A13" t="s">
        <v>5</v>
      </c>
      <c r="D13" s="2">
        <v>14</v>
      </c>
      <c r="H13" t="s">
        <v>5</v>
      </c>
      <c r="M13" s="2">
        <v>17</v>
      </c>
      <c r="V13">
        <f>+D44/2</f>
        <v>1.5</v>
      </c>
      <c r="W13">
        <f>+M44/2</f>
        <v>1</v>
      </c>
    </row>
    <row r="14" spans="1:13" ht="12.75">
      <c r="A14" t="s">
        <v>6</v>
      </c>
      <c r="D14" s="8">
        <f>+D13/D12*100</f>
        <v>43.75</v>
      </c>
      <c r="H14" t="s">
        <v>6</v>
      </c>
      <c r="M14" s="8">
        <f>+M13/M12*100</f>
        <v>60.71428571428571</v>
      </c>
    </row>
    <row r="15" spans="1:24" ht="12.75">
      <c r="A15" t="s">
        <v>7</v>
      </c>
      <c r="D15" s="2">
        <v>204</v>
      </c>
      <c r="H15" t="s">
        <v>7</v>
      </c>
      <c r="M15" s="2">
        <v>274</v>
      </c>
      <c r="V15">
        <f>SUM(V8:V13)</f>
        <v>48</v>
      </c>
      <c r="W15">
        <f>SUM(W8:W13)</f>
        <v>70.5</v>
      </c>
      <c r="X15">
        <f>+W15+V15</f>
        <v>118.5</v>
      </c>
    </row>
    <row r="16" spans="1:23" ht="12.75">
      <c r="A16" t="s">
        <v>8</v>
      </c>
      <c r="D16" s="2">
        <v>2</v>
      </c>
      <c r="H16" t="s">
        <v>8</v>
      </c>
      <c r="M16" s="2">
        <v>3</v>
      </c>
      <c r="V16">
        <f>+V15/X15</f>
        <v>0.4050632911392405</v>
      </c>
      <c r="W16">
        <f>+W15/X15</f>
        <v>0.5949367088607594</v>
      </c>
    </row>
    <row r="17" spans="1:23" ht="12.75">
      <c r="A17" t="s">
        <v>9</v>
      </c>
      <c r="D17" s="2">
        <v>11</v>
      </c>
      <c r="H17" t="s">
        <v>9</v>
      </c>
      <c r="M17" s="2">
        <v>14</v>
      </c>
      <c r="V17">
        <f>+V16*60</f>
        <v>24.30379746835443</v>
      </c>
      <c r="W17">
        <f>+W16*60</f>
        <v>35.69620253164557</v>
      </c>
    </row>
    <row r="18" spans="1:23" ht="12.75">
      <c r="A18" t="s">
        <v>10</v>
      </c>
      <c r="D18">
        <f>+D15-D17</f>
        <v>193</v>
      </c>
      <c r="H18" t="s">
        <v>10</v>
      </c>
      <c r="M18">
        <f>+M15-M17</f>
        <v>260</v>
      </c>
      <c r="V18">
        <f>+V17-INT(V17)</f>
        <v>0.30379746835442845</v>
      </c>
      <c r="W18">
        <f>+W17-INT(W17)</f>
        <v>0.696202531645568</v>
      </c>
    </row>
    <row r="19" spans="1:23" ht="12.75">
      <c r="A19" t="s">
        <v>11</v>
      </c>
      <c r="D19" s="7">
        <f>+D18/D12</f>
        <v>6.03125</v>
      </c>
      <c r="H19" t="s">
        <v>11</v>
      </c>
      <c r="M19" s="7">
        <f>+M18/M12</f>
        <v>9.285714285714286</v>
      </c>
      <c r="V19">
        <f>+V18*60</f>
        <v>18.227848101265707</v>
      </c>
      <c r="W19">
        <f>+W18*60</f>
        <v>41.77215189873408</v>
      </c>
    </row>
    <row r="20" spans="1:23" ht="12.75">
      <c r="A20" t="s">
        <v>12</v>
      </c>
      <c r="D20" s="7">
        <f>+D15/D13</f>
        <v>14.571428571428571</v>
      </c>
      <c r="H20" t="s">
        <v>12</v>
      </c>
      <c r="M20" s="7">
        <f>+M15/M13</f>
        <v>16.11764705882353</v>
      </c>
      <c r="U20">
        <v>0</v>
      </c>
      <c r="V20" s="11">
        <f>ROUND(V19,0)</f>
        <v>18</v>
      </c>
      <c r="W20">
        <f>ROUND(W19,0)</f>
        <v>42</v>
      </c>
    </row>
    <row r="21" spans="22:23" ht="12.75">
      <c r="V21">
        <f>INT(V17)</f>
        <v>24</v>
      </c>
      <c r="W21">
        <f>INT(W17)</f>
        <v>35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297</v>
      </c>
      <c r="H23" t="s">
        <v>14</v>
      </c>
      <c r="M23">
        <f>+M18+M9</f>
        <v>389</v>
      </c>
      <c r="V23" s="14" t="str">
        <f>+V21&amp;V22&amp;V20</f>
        <v>24:18</v>
      </c>
      <c r="W23" s="9" t="str">
        <f>+W21&amp;W22&amp;W20</f>
        <v>35:42</v>
      </c>
    </row>
    <row r="24" spans="1:23" ht="12.75">
      <c r="A24" t="s">
        <v>15</v>
      </c>
      <c r="D24" s="7">
        <f>+D9/D23*100</f>
        <v>35.01683501683502</v>
      </c>
      <c r="H24" t="s">
        <v>15</v>
      </c>
      <c r="M24" s="7">
        <f>+M9/M23*100</f>
        <v>33.16195372750643</v>
      </c>
      <c r="V24" s="9" t="str">
        <f>IF(V20&lt;10,+V21&amp;V22&amp;$U$20&amp;V20,+V21&amp;V22&amp;V20)</f>
        <v>24:18</v>
      </c>
      <c r="W24" s="9" t="str">
        <f>IF(W20&lt;10,+W21&amp;W22&amp;$U$20&amp;W20,+W21&amp;W22&amp;W20)</f>
        <v>35:42</v>
      </c>
    </row>
    <row r="25" spans="1:13" ht="12.75">
      <c r="A25" s="1" t="s">
        <v>90</v>
      </c>
      <c r="D25" s="7">
        <f>+D18/D23*100</f>
        <v>64.98316498316498</v>
      </c>
      <c r="H25" s="1" t="s">
        <v>90</v>
      </c>
      <c r="M25" s="7">
        <f>+M18/M23*100</f>
        <v>66.83804627249359</v>
      </c>
    </row>
    <row r="27" spans="1:13" ht="12.75">
      <c r="A27" t="s">
        <v>16</v>
      </c>
      <c r="D27">
        <f>+D8+D12+D16</f>
        <v>54</v>
      </c>
      <c r="H27" t="s">
        <v>16</v>
      </c>
      <c r="M27">
        <f>+M8+M12+M16</f>
        <v>73</v>
      </c>
    </row>
    <row r="28" spans="1:13" ht="12.75">
      <c r="A28" t="s">
        <v>17</v>
      </c>
      <c r="D28" s="8">
        <f>+D23/D27</f>
        <v>5.5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5.328767123287672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4</v>
      </c>
      <c r="H31" t="s">
        <v>19</v>
      </c>
      <c r="M31" s="2">
        <v>1</v>
      </c>
    </row>
    <row r="32" spans="1:13" ht="12.75">
      <c r="A32" t="s">
        <v>20</v>
      </c>
      <c r="D32" s="2">
        <v>11</v>
      </c>
      <c r="H32" t="s">
        <v>20</v>
      </c>
      <c r="M32" s="2">
        <v>87</v>
      </c>
    </row>
    <row r="33" spans="1:13" ht="12.75">
      <c r="A33" t="s">
        <v>21</v>
      </c>
      <c r="D33" s="2"/>
      <c r="H33" t="s">
        <v>21</v>
      </c>
      <c r="M33" s="2">
        <v>1</v>
      </c>
    </row>
    <row r="35" spans="1:13" ht="12.75">
      <c r="A35" t="s">
        <v>22</v>
      </c>
      <c r="D35" s="2">
        <v>6</v>
      </c>
      <c r="H35" t="s">
        <v>22</v>
      </c>
      <c r="M35" s="2">
        <v>6</v>
      </c>
    </row>
    <row r="36" spans="1:13" ht="12.75">
      <c r="A36" t="s">
        <v>23</v>
      </c>
      <c r="D36" s="2">
        <v>268</v>
      </c>
      <c r="H36" t="s">
        <v>23</v>
      </c>
      <c r="M36" s="2">
        <v>224</v>
      </c>
    </row>
    <row r="37" spans="1:13" ht="12.75">
      <c r="A37" t="s">
        <v>24</v>
      </c>
      <c r="D37" s="8">
        <f>+D36/D35</f>
        <v>44.666666666666664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37.333333333333336</v>
      </c>
    </row>
    <row r="39" spans="1:13" ht="12.75">
      <c r="A39" t="s">
        <v>25</v>
      </c>
      <c r="D39" s="2">
        <v>1</v>
      </c>
      <c r="H39" t="s">
        <v>25</v>
      </c>
      <c r="M39" s="2">
        <v>4</v>
      </c>
    </row>
    <row r="40" spans="1:13" ht="12.75">
      <c r="A40" t="s">
        <v>26</v>
      </c>
      <c r="D40" s="2">
        <v>4</v>
      </c>
      <c r="H40" t="s">
        <v>26</v>
      </c>
      <c r="M40" s="2">
        <v>43</v>
      </c>
    </row>
    <row r="41" spans="1:13" ht="12.75">
      <c r="A41" t="s">
        <v>27</v>
      </c>
      <c r="D41" s="8">
        <f>+D40/D39</f>
        <v>4</v>
      </c>
      <c r="H41" t="s">
        <v>27</v>
      </c>
      <c r="M41" s="8">
        <f>+M40/M39</f>
        <v>10.75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3</v>
      </c>
      <c r="H44" t="s">
        <v>30</v>
      </c>
      <c r="M44" s="2">
        <v>2</v>
      </c>
    </row>
    <row r="45" spans="1:13" ht="12.75">
      <c r="A45" t="s">
        <v>26</v>
      </c>
      <c r="D45" s="2">
        <v>91</v>
      </c>
      <c r="H45" t="s">
        <v>26</v>
      </c>
      <c r="M45" s="2">
        <v>39</v>
      </c>
    </row>
    <row r="46" spans="1:13" ht="12.75">
      <c r="A46" t="s">
        <v>27</v>
      </c>
      <c r="D46" s="8">
        <f>+D45/D44</f>
        <v>30.333333333333332</v>
      </c>
      <c r="H46" t="s">
        <v>27</v>
      </c>
      <c r="M46" s="8">
        <f>+M45/M44</f>
        <v>19.5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1</v>
      </c>
      <c r="H49" t="s">
        <v>31</v>
      </c>
      <c r="M49" s="2">
        <v>4</v>
      </c>
    </row>
    <row r="50" spans="1:13" ht="12.75">
      <c r="A50" t="s">
        <v>32</v>
      </c>
      <c r="D50" s="2">
        <v>15</v>
      </c>
      <c r="H50" t="s">
        <v>32</v>
      </c>
      <c r="M50" s="2">
        <v>26</v>
      </c>
    </row>
    <row r="52" spans="1:13" ht="12.75">
      <c r="A52" t="s">
        <v>33</v>
      </c>
      <c r="D52" s="2">
        <v>3</v>
      </c>
      <c r="H52" t="s">
        <v>33</v>
      </c>
      <c r="M52" s="2"/>
    </row>
    <row r="53" spans="1:13" ht="12.75">
      <c r="A53" t="s">
        <v>34</v>
      </c>
      <c r="D53" s="2">
        <v>2</v>
      </c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1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14</v>
      </c>
      <c r="H58" t="s">
        <v>38</v>
      </c>
      <c r="M58" s="2">
        <v>21</v>
      </c>
    </row>
    <row r="59" spans="1:13" ht="12.75">
      <c r="A59" t="s">
        <v>39</v>
      </c>
      <c r="D59" s="2">
        <v>2</v>
      </c>
      <c r="H59" t="s">
        <v>39</v>
      </c>
      <c r="M59" s="2">
        <v>3</v>
      </c>
    </row>
    <row r="60" spans="1:13" ht="12.75">
      <c r="A60" t="s">
        <v>40</v>
      </c>
      <c r="D60" s="2">
        <v>1</v>
      </c>
      <c r="H60" t="s">
        <v>40</v>
      </c>
      <c r="M60" s="2">
        <v>1</v>
      </c>
    </row>
    <row r="61" spans="1:13" ht="12.75">
      <c r="A61" t="s">
        <v>41</v>
      </c>
      <c r="D61" s="2"/>
      <c r="H61" t="s">
        <v>41</v>
      </c>
      <c r="M61" s="2">
        <v>2</v>
      </c>
    </row>
    <row r="62" spans="1:13" ht="12.75">
      <c r="A62" t="s">
        <v>42</v>
      </c>
      <c r="D62" s="2">
        <v>1</v>
      </c>
      <c r="H62" t="s">
        <v>42</v>
      </c>
      <c r="M62" s="2"/>
    </row>
    <row r="63" spans="1:13" ht="12.75">
      <c r="A63" t="s">
        <v>43</v>
      </c>
      <c r="D63" s="2">
        <v>2</v>
      </c>
      <c r="H63" t="s">
        <v>43</v>
      </c>
      <c r="M63" s="2">
        <v>3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/>
    </row>
    <row r="66" spans="1:13" ht="12.75">
      <c r="A66" t="s">
        <v>46</v>
      </c>
      <c r="D66" s="2">
        <v>1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0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0</v>
      </c>
    </row>
    <row r="68" spans="1:13" ht="12.75">
      <c r="A68" t="s">
        <v>93</v>
      </c>
      <c r="D68" s="10" t="str">
        <f>IF(V20&lt;10,V24,V23)</f>
        <v>24:18</v>
      </c>
      <c r="E68" s="8"/>
      <c r="F68" s="8"/>
      <c r="H68" t="s">
        <v>93</v>
      </c>
      <c r="M68" s="10" t="str">
        <f>IF(W20&lt;10,W24,W23)</f>
        <v>35:42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8</v>
      </c>
      <c r="D72">
        <v>58</v>
      </c>
      <c r="E72" s="12">
        <f>+D72/C72</f>
        <v>7.25</v>
      </c>
      <c r="F72">
        <v>19</v>
      </c>
    </row>
    <row r="73" spans="1:7" ht="12.75">
      <c r="A73" t="s">
        <v>111</v>
      </c>
      <c r="C73">
        <v>9</v>
      </c>
      <c r="D73">
        <v>43</v>
      </c>
      <c r="E73" s="12">
        <f>+D73/C73</f>
        <v>4.777777777777778</v>
      </c>
      <c r="F73">
        <v>10</v>
      </c>
      <c r="G73">
        <v>1</v>
      </c>
    </row>
    <row r="74" spans="1:5" ht="12.75">
      <c r="A74" t="s">
        <v>112</v>
      </c>
      <c r="E74" s="12" t="e">
        <f>+D74/C74</f>
        <v>#DIV/0!</v>
      </c>
    </row>
    <row r="75" spans="1:6" ht="12.75">
      <c r="A75" t="s">
        <v>113</v>
      </c>
      <c r="C75">
        <v>3</v>
      </c>
      <c r="D75">
        <v>3</v>
      </c>
      <c r="E75" s="12">
        <f aca="true" t="shared" si="0" ref="E75:E81">+D75/C75</f>
        <v>1</v>
      </c>
      <c r="F75">
        <v>3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5" ht="12.75">
      <c r="A86" t="s">
        <v>110</v>
      </c>
      <c r="E86" s="12" t="e">
        <f aca="true" t="shared" si="1" ref="E86:E97">+D86/C86</f>
        <v>#DIV/0!</v>
      </c>
    </row>
    <row r="87" spans="1:6" ht="12.75">
      <c r="A87" t="s">
        <v>111</v>
      </c>
      <c r="C87">
        <v>2</v>
      </c>
      <c r="D87">
        <v>8</v>
      </c>
      <c r="E87" s="12">
        <f t="shared" si="1"/>
        <v>4</v>
      </c>
      <c r="F87">
        <v>5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6" ht="12.75">
      <c r="A92" t="s">
        <v>118</v>
      </c>
      <c r="C92">
        <v>3</v>
      </c>
      <c r="D92">
        <v>36</v>
      </c>
      <c r="E92" s="12">
        <f t="shared" si="1"/>
        <v>12</v>
      </c>
      <c r="F92">
        <v>26</v>
      </c>
    </row>
    <row r="93" spans="1:5" ht="12.75">
      <c r="A93" t="s">
        <v>119</v>
      </c>
      <c r="E93" s="12" t="e">
        <f t="shared" si="1"/>
        <v>#DIV/0!</v>
      </c>
    </row>
    <row r="94" spans="1:6" ht="12.75">
      <c r="A94" t="s">
        <v>120</v>
      </c>
      <c r="C94">
        <v>4</v>
      </c>
      <c r="D94">
        <v>46</v>
      </c>
      <c r="E94" s="12">
        <f t="shared" si="1"/>
        <v>11.5</v>
      </c>
      <c r="F94">
        <v>23</v>
      </c>
    </row>
    <row r="95" spans="1:8" ht="12.75">
      <c r="A95" t="s">
        <v>121</v>
      </c>
      <c r="C95">
        <v>5</v>
      </c>
      <c r="D95">
        <v>114</v>
      </c>
      <c r="E95" s="12">
        <f t="shared" si="1"/>
        <v>22.8</v>
      </c>
      <c r="F95">
        <v>60</v>
      </c>
      <c r="H95">
        <v>1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32</v>
      </c>
      <c r="D102">
        <v>14</v>
      </c>
      <c r="E102" s="12">
        <f>+D102/C102*100</f>
        <v>43.75</v>
      </c>
      <c r="F102">
        <v>204</v>
      </c>
      <c r="H102">
        <v>60</v>
      </c>
      <c r="I102">
        <v>4</v>
      </c>
      <c r="J102" s="8">
        <f>+G102/C102*100</f>
        <v>0</v>
      </c>
      <c r="K102" s="12">
        <f>+I102/C102*100</f>
        <v>12.5</v>
      </c>
      <c r="L102" s="12">
        <f>+F102/C102</f>
        <v>6.375</v>
      </c>
      <c r="M102" s="12">
        <f>100*(S102+U102+W102+Y102)/6</f>
        <v>25.520833333333332</v>
      </c>
      <c r="R102">
        <f>+(E102-30)/20</f>
        <v>0.6875</v>
      </c>
      <c r="S102" s="2">
        <f>IF(R102&lt;0,0,R102)</f>
        <v>0.6875</v>
      </c>
      <c r="T102" s="6">
        <f>+(L102-3)/4</f>
        <v>0.84375</v>
      </c>
      <c r="U102" s="2">
        <f>IF(T102&lt;0,0,T102)</f>
        <v>0.84375</v>
      </c>
      <c r="V102">
        <f>+J102/5</f>
        <v>0</v>
      </c>
      <c r="W102" s="2">
        <f>IF(V102&lt;0,0,V102)</f>
        <v>0</v>
      </c>
      <c r="X102">
        <f>(9.5-K102)/4</f>
        <v>-0.75</v>
      </c>
      <c r="Y102" s="2">
        <f>IF(X102&lt;0,0,X102)</f>
        <v>0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D108">
        <v>2</v>
      </c>
      <c r="E108">
        <v>4</v>
      </c>
      <c r="F108" s="12">
        <f aca="true" t="shared" si="2" ref="F108:F113">+E108/C108</f>
        <v>4</v>
      </c>
      <c r="G108">
        <v>4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6" ht="12.75">
      <c r="A120" t="s">
        <v>126</v>
      </c>
      <c r="C120">
        <v>3</v>
      </c>
      <c r="D120">
        <v>91</v>
      </c>
      <c r="E120" s="12">
        <f t="shared" si="3"/>
        <v>30.333333333333332</v>
      </c>
      <c r="F120">
        <v>39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268</v>
      </c>
      <c r="E128" s="12">
        <f>+D128/C128</f>
        <v>44.666666666666664</v>
      </c>
      <c r="F128">
        <v>50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3</v>
      </c>
      <c r="E132">
        <v>2</v>
      </c>
      <c r="F132">
        <v>2</v>
      </c>
      <c r="G132">
        <v>1</v>
      </c>
      <c r="I132" s="12">
        <f>+H132/G132*100</f>
        <v>0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7" ht="12.75">
      <c r="A142" t="s">
        <v>136</v>
      </c>
      <c r="C142">
        <v>1</v>
      </c>
      <c r="D142">
        <v>87</v>
      </c>
      <c r="E142" s="12">
        <f t="shared" si="4"/>
        <v>87</v>
      </c>
      <c r="F142">
        <v>87</v>
      </c>
      <c r="G142">
        <v>1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2</v>
      </c>
      <c r="D148">
        <v>10</v>
      </c>
    </row>
    <row r="149" ht="12.75">
      <c r="A149" t="s">
        <v>134</v>
      </c>
    </row>
    <row r="150" ht="12.75">
      <c r="A150" t="s">
        <v>138</v>
      </c>
    </row>
    <row r="151" spans="1:4" ht="12.75">
      <c r="A151" t="s">
        <v>139</v>
      </c>
      <c r="C151">
        <v>1</v>
      </c>
      <c r="D151">
        <v>4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3:14" ht="12.75">
      <c r="C162" s="2"/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9</v>
      </c>
      <c r="H163" t="s">
        <v>97</v>
      </c>
      <c r="M163">
        <v>11</v>
      </c>
    </row>
    <row r="164" spans="1:13" ht="12.75">
      <c r="A164" t="s">
        <v>98</v>
      </c>
      <c r="H164" t="s">
        <v>98</v>
      </c>
      <c r="M164">
        <v>4</v>
      </c>
    </row>
    <row r="165" spans="1:15" ht="12.75">
      <c r="A165" t="s">
        <v>99</v>
      </c>
      <c r="D165">
        <f>D164/D163*100</f>
        <v>0</v>
      </c>
      <c r="E165" s="23"/>
      <c r="H165" t="s">
        <v>99</v>
      </c>
      <c r="M165">
        <f>+M164/M163*100</f>
        <v>36.36363636363637</v>
      </c>
      <c r="O165" s="2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65"/>
  <sheetViews>
    <sheetView workbookViewId="0" topLeftCell="A132">
      <selection activeCell="M165" sqref="M16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13</v>
      </c>
      <c r="H6" s="1" t="s">
        <v>29</v>
      </c>
      <c r="M6" s="2">
        <v>19</v>
      </c>
    </row>
    <row r="8" spans="1:23" ht="12.75">
      <c r="A8" t="s">
        <v>1</v>
      </c>
      <c r="D8" s="2">
        <v>31</v>
      </c>
      <c r="H8" t="s">
        <v>1</v>
      </c>
      <c r="M8" s="2">
        <v>30</v>
      </c>
      <c r="V8">
        <f>+D8</f>
        <v>31</v>
      </c>
      <c r="W8">
        <f>+M8</f>
        <v>30</v>
      </c>
    </row>
    <row r="9" spans="1:23" ht="12.75">
      <c r="A9" t="s">
        <v>2</v>
      </c>
      <c r="D9" s="2">
        <v>109</v>
      </c>
      <c r="H9" t="s">
        <v>2</v>
      </c>
      <c r="M9" s="2">
        <v>102</v>
      </c>
      <c r="U9" s="13"/>
      <c r="V9">
        <f>+D13</f>
        <v>10</v>
      </c>
      <c r="W9">
        <f>+M13</f>
        <v>13</v>
      </c>
    </row>
    <row r="10" spans="1:23" ht="12.75">
      <c r="A10" s="1" t="s">
        <v>3</v>
      </c>
      <c r="D10" s="8">
        <f>+D9/D8</f>
        <v>3.5161290322580645</v>
      </c>
      <c r="H10" s="1" t="s">
        <v>3</v>
      </c>
      <c r="M10" s="8">
        <f>+M9/M8</f>
        <v>3.4</v>
      </c>
      <c r="V10">
        <f>+(D12-D13)/2</f>
        <v>6</v>
      </c>
      <c r="W10">
        <f>+(M12-M13)/2</f>
        <v>10</v>
      </c>
    </row>
    <row r="11" spans="22:23" ht="12.75">
      <c r="V11">
        <f>+D35/2</f>
        <v>3</v>
      </c>
      <c r="W11">
        <f>+M35/2</f>
        <v>2</v>
      </c>
    </row>
    <row r="12" spans="1:23" ht="12.75">
      <c r="A12" t="s">
        <v>4</v>
      </c>
      <c r="D12" s="2">
        <v>22</v>
      </c>
      <c r="H12" t="s">
        <v>4</v>
      </c>
      <c r="M12" s="2">
        <v>33</v>
      </c>
      <c r="V12">
        <f>+D39/2</f>
        <v>0.5</v>
      </c>
      <c r="W12">
        <f>+M39/2</f>
        <v>2.5</v>
      </c>
    </row>
    <row r="13" spans="1:23" ht="12.75">
      <c r="A13" t="s">
        <v>5</v>
      </c>
      <c r="D13" s="2">
        <v>10</v>
      </c>
      <c r="H13" t="s">
        <v>5</v>
      </c>
      <c r="M13" s="2">
        <v>13</v>
      </c>
      <c r="V13">
        <f>+D44/2</f>
        <v>0.5</v>
      </c>
      <c r="W13">
        <f>+M44/2</f>
        <v>1.5</v>
      </c>
    </row>
    <row r="14" spans="1:13" ht="12.75">
      <c r="A14" t="s">
        <v>6</v>
      </c>
      <c r="D14" s="8">
        <f>+D13/D12*100</f>
        <v>45.45454545454545</v>
      </c>
      <c r="H14" t="s">
        <v>6</v>
      </c>
      <c r="M14" s="8">
        <f>+M13/M12*100</f>
        <v>39.39393939393939</v>
      </c>
    </row>
    <row r="15" spans="1:24" ht="12.75">
      <c r="A15" t="s">
        <v>7</v>
      </c>
      <c r="D15" s="2">
        <v>227</v>
      </c>
      <c r="H15" t="s">
        <v>7</v>
      </c>
      <c r="M15" s="2">
        <v>265</v>
      </c>
      <c r="V15">
        <f>SUM(V8:V13)</f>
        <v>51</v>
      </c>
      <c r="W15">
        <f>SUM(W8:W13)</f>
        <v>59</v>
      </c>
      <c r="X15">
        <f>+W15+V15</f>
        <v>110</v>
      </c>
    </row>
    <row r="16" spans="1:23" ht="12.75">
      <c r="A16" t="s">
        <v>8</v>
      </c>
      <c r="D16" s="2">
        <v>2</v>
      </c>
      <c r="H16" t="s">
        <v>8</v>
      </c>
      <c r="M16" s="2">
        <v>5</v>
      </c>
      <c r="V16">
        <f>+V15/X15</f>
        <v>0.4636363636363636</v>
      </c>
      <c r="W16">
        <f>+W15/X15</f>
        <v>0.5363636363636364</v>
      </c>
    </row>
    <row r="17" spans="1:23" ht="12.75">
      <c r="A17" t="s">
        <v>9</v>
      </c>
      <c r="D17" s="2">
        <v>22</v>
      </c>
      <c r="H17" t="s">
        <v>9</v>
      </c>
      <c r="M17" s="2">
        <v>43</v>
      </c>
      <c r="V17">
        <f>+V16*60</f>
        <v>27.818181818181817</v>
      </c>
      <c r="W17">
        <f>+W16*60</f>
        <v>32.18181818181818</v>
      </c>
    </row>
    <row r="18" spans="1:23" ht="12.75">
      <c r="A18" t="s">
        <v>10</v>
      </c>
      <c r="D18">
        <f>+D15-D17</f>
        <v>205</v>
      </c>
      <c r="H18" t="s">
        <v>10</v>
      </c>
      <c r="M18">
        <f>+M15-M17</f>
        <v>222</v>
      </c>
      <c r="V18">
        <f>+V17-INT(V17)</f>
        <v>0.8181818181818166</v>
      </c>
      <c r="W18">
        <f>+W17-INT(W17)</f>
        <v>0.18181818181817988</v>
      </c>
    </row>
    <row r="19" spans="1:23" ht="12.75">
      <c r="A19" t="s">
        <v>11</v>
      </c>
      <c r="D19" s="7">
        <f>+D18/D12</f>
        <v>9.318181818181818</v>
      </c>
      <c r="H19" t="s">
        <v>11</v>
      </c>
      <c r="M19" s="7">
        <f>+M18/M12</f>
        <v>6.7272727272727275</v>
      </c>
      <c r="V19">
        <f>+V18*60</f>
        <v>49.090909090908994</v>
      </c>
      <c r="W19">
        <f>+W18*60</f>
        <v>10.909090909090793</v>
      </c>
    </row>
    <row r="20" spans="1:23" ht="12.75">
      <c r="A20" t="s">
        <v>12</v>
      </c>
      <c r="D20" s="7">
        <f>+D15/D13</f>
        <v>22.7</v>
      </c>
      <c r="H20" t="s">
        <v>12</v>
      </c>
      <c r="M20" s="7">
        <f>+M15/M13</f>
        <v>20.384615384615383</v>
      </c>
      <c r="U20">
        <v>0</v>
      </c>
      <c r="V20" s="11">
        <f>ROUND(V19,0)</f>
        <v>49</v>
      </c>
      <c r="W20">
        <f>ROUND(W19,0)</f>
        <v>11</v>
      </c>
    </row>
    <row r="21" spans="22:23" ht="12.75">
      <c r="V21">
        <f>INT(V17)</f>
        <v>27</v>
      </c>
      <c r="W21">
        <f>INT(W17)</f>
        <v>32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314</v>
      </c>
      <c r="H23" t="s">
        <v>14</v>
      </c>
      <c r="M23">
        <f>+M18+M9</f>
        <v>324</v>
      </c>
      <c r="V23" s="14" t="str">
        <f>+V21&amp;V22&amp;V20</f>
        <v>27:49</v>
      </c>
      <c r="W23" s="9" t="str">
        <f>+W21&amp;W22&amp;W20</f>
        <v>32:11</v>
      </c>
    </row>
    <row r="24" spans="1:23" ht="12.75">
      <c r="A24" t="s">
        <v>15</v>
      </c>
      <c r="D24" s="7">
        <f>+D9/D23*100</f>
        <v>34.71337579617834</v>
      </c>
      <c r="H24" t="s">
        <v>15</v>
      </c>
      <c r="M24" s="7">
        <f>+M9/M23*100</f>
        <v>31.48148148148148</v>
      </c>
      <c r="V24" s="9" t="str">
        <f>IF(V20&lt;10,+V21&amp;V22&amp;$U$20&amp;V20,+V21&amp;V22&amp;V20)</f>
        <v>27:49</v>
      </c>
      <c r="W24" s="9" t="str">
        <f>IF(W20&lt;10,+W21&amp;W22&amp;$U$20&amp;W20,+W21&amp;W22&amp;W20)</f>
        <v>32:11</v>
      </c>
    </row>
    <row r="25" spans="1:13" ht="12.75">
      <c r="A25" s="1" t="s">
        <v>90</v>
      </c>
      <c r="D25" s="7">
        <f>+D18/D23*100</f>
        <v>65.28662420382165</v>
      </c>
      <c r="H25" s="1" t="s">
        <v>90</v>
      </c>
      <c r="M25" s="7">
        <f>+M18/M23*100</f>
        <v>68.51851851851852</v>
      </c>
    </row>
    <row r="27" spans="1:13" ht="12.75">
      <c r="A27" t="s">
        <v>16</v>
      </c>
      <c r="D27">
        <f>+D8+D12+D16</f>
        <v>55</v>
      </c>
      <c r="H27" t="s">
        <v>16</v>
      </c>
      <c r="M27">
        <f>+M8+M12+M16</f>
        <v>68</v>
      </c>
    </row>
    <row r="28" spans="1:13" ht="12.75">
      <c r="A28" t="s">
        <v>17</v>
      </c>
      <c r="D28" s="8">
        <f>+D23/D27</f>
        <v>5.709090909090909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4.764705882352941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3</v>
      </c>
    </row>
    <row r="32" spans="1:13" ht="12.75">
      <c r="A32" t="s">
        <v>20</v>
      </c>
      <c r="D32" s="2"/>
      <c r="H32" t="s">
        <v>20</v>
      </c>
      <c r="M32" s="2">
        <v>5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6</v>
      </c>
      <c r="H35" t="s">
        <v>22</v>
      </c>
      <c r="M35" s="2">
        <v>4</v>
      </c>
    </row>
    <row r="36" spans="1:13" ht="12.75">
      <c r="A36" t="s">
        <v>23</v>
      </c>
      <c r="D36" s="2">
        <v>17</v>
      </c>
      <c r="H36" t="s">
        <v>23</v>
      </c>
      <c r="M36" s="2">
        <v>163</v>
      </c>
    </row>
    <row r="37" spans="1:13" ht="12.75">
      <c r="A37" t="s">
        <v>24</v>
      </c>
      <c r="D37" s="8">
        <f>+D36/D35</f>
        <v>2.8333333333333335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40.75</v>
      </c>
    </row>
    <row r="39" spans="1:13" ht="12.75">
      <c r="A39" t="s">
        <v>25</v>
      </c>
      <c r="D39" s="2">
        <v>1</v>
      </c>
      <c r="H39" t="s">
        <v>25</v>
      </c>
      <c r="M39" s="2">
        <v>5</v>
      </c>
    </row>
    <row r="40" spans="1:13" ht="12.75">
      <c r="A40" t="s">
        <v>26</v>
      </c>
      <c r="D40" s="2">
        <v>1</v>
      </c>
      <c r="H40" t="s">
        <v>26</v>
      </c>
      <c r="M40" s="2">
        <v>32</v>
      </c>
    </row>
    <row r="41" spans="1:13" ht="12.75">
      <c r="A41" t="s">
        <v>27</v>
      </c>
      <c r="D41" s="8">
        <f>+D40/D39</f>
        <v>1</v>
      </c>
      <c r="H41" t="s">
        <v>27</v>
      </c>
      <c r="M41" s="8">
        <f>+M40/M39</f>
        <v>6.4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1</v>
      </c>
      <c r="H44" t="s">
        <v>30</v>
      </c>
      <c r="M44" s="2">
        <v>3</v>
      </c>
    </row>
    <row r="45" spans="1:13" ht="12.75">
      <c r="A45" t="s">
        <v>26</v>
      </c>
      <c r="D45" s="2">
        <v>28</v>
      </c>
      <c r="H45" t="s">
        <v>26</v>
      </c>
      <c r="M45" s="2">
        <v>55</v>
      </c>
    </row>
    <row r="46" spans="1:13" ht="12.75">
      <c r="A46" t="s">
        <v>27</v>
      </c>
      <c r="D46" s="8">
        <f>+D45/D44</f>
        <v>28</v>
      </c>
      <c r="H46" t="s">
        <v>27</v>
      </c>
      <c r="M46" s="8">
        <f>+M45/M44</f>
        <v>18.333333333333332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6</v>
      </c>
      <c r="H49" t="s">
        <v>31</v>
      </c>
      <c r="M49" s="2">
        <v>3</v>
      </c>
    </row>
    <row r="50" spans="1:13" ht="12.75">
      <c r="A50" t="s">
        <v>32</v>
      </c>
      <c r="D50" s="2">
        <v>45</v>
      </c>
      <c r="H50" t="s">
        <v>32</v>
      </c>
      <c r="M50" s="2">
        <v>21</v>
      </c>
    </row>
    <row r="52" spans="1:13" ht="12.75">
      <c r="A52" t="s">
        <v>33</v>
      </c>
      <c r="D52" s="2"/>
      <c r="H52" t="s">
        <v>33</v>
      </c>
      <c r="M52" s="2">
        <v>2</v>
      </c>
    </row>
    <row r="53" spans="1:13" ht="12.75">
      <c r="A53" t="s">
        <v>34</v>
      </c>
      <c r="D53" s="2"/>
      <c r="H53" t="s">
        <v>34</v>
      </c>
      <c r="M53" s="2">
        <v>2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21</v>
      </c>
      <c r="H58" t="s">
        <v>38</v>
      </c>
      <c r="M58" s="2">
        <v>12</v>
      </c>
    </row>
    <row r="59" spans="1:13" ht="12.75">
      <c r="A59" t="s">
        <v>39</v>
      </c>
      <c r="D59" s="2">
        <v>3</v>
      </c>
      <c r="H59" t="s">
        <v>39</v>
      </c>
      <c r="M59" s="2">
        <v>1</v>
      </c>
    </row>
    <row r="60" spans="1:13" ht="12.75">
      <c r="A60" t="s">
        <v>40</v>
      </c>
      <c r="D60" s="2">
        <v>1</v>
      </c>
      <c r="H60" t="s">
        <v>40</v>
      </c>
      <c r="M60" s="2"/>
    </row>
    <row r="61" spans="1:13" ht="12.75">
      <c r="A61" t="s">
        <v>41</v>
      </c>
      <c r="D61" s="2">
        <v>2</v>
      </c>
      <c r="H61" t="s">
        <v>41</v>
      </c>
      <c r="M61" s="2">
        <v>1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3</v>
      </c>
      <c r="H63" t="s">
        <v>43</v>
      </c>
      <c r="M63" s="2"/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2</v>
      </c>
    </row>
    <row r="66" spans="1:13" ht="12.75">
      <c r="A66" t="s">
        <v>46</v>
      </c>
      <c r="D66" s="2"/>
      <c r="H66" t="s">
        <v>46</v>
      </c>
      <c r="M66" s="2">
        <v>2</v>
      </c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100</v>
      </c>
    </row>
    <row r="68" spans="1:13" ht="12.75">
      <c r="A68" t="s">
        <v>93</v>
      </c>
      <c r="D68" s="10"/>
      <c r="E68" s="8"/>
      <c r="F68" s="8"/>
      <c r="H68" t="s">
        <v>93</v>
      </c>
      <c r="M68" s="10" t="str">
        <f>IF(W20&lt;10,W24,W23)</f>
        <v>32:11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8</v>
      </c>
      <c r="D72">
        <v>30</v>
      </c>
      <c r="E72" s="12">
        <f>+D72/C72</f>
        <v>3.75</v>
      </c>
      <c r="F72">
        <v>8</v>
      </c>
    </row>
    <row r="73" spans="1:6" ht="12.75">
      <c r="A73" t="s">
        <v>111</v>
      </c>
      <c r="C73">
        <v>11</v>
      </c>
      <c r="D73">
        <v>43</v>
      </c>
      <c r="E73" s="12">
        <f>+D73/C73</f>
        <v>3.909090909090909</v>
      </c>
      <c r="F73">
        <v>16</v>
      </c>
    </row>
    <row r="74" spans="1:5" ht="12.75">
      <c r="A74" t="s">
        <v>112</v>
      </c>
      <c r="E74" s="12" t="e">
        <f>+D74/C74</f>
        <v>#DIV/0!</v>
      </c>
    </row>
    <row r="75" spans="1:5" ht="12.75">
      <c r="A75" t="s">
        <v>113</v>
      </c>
      <c r="E75" s="12" t="e">
        <f aca="true" t="shared" si="0" ref="E75:E81">+D75/C75</f>
        <v>#DIV/0!</v>
      </c>
    </row>
    <row r="76" spans="1:7" ht="12.75">
      <c r="A76" t="s">
        <v>114</v>
      </c>
      <c r="C76">
        <v>14</v>
      </c>
      <c r="D76">
        <v>36</v>
      </c>
      <c r="E76" s="12">
        <f t="shared" si="0"/>
        <v>2.5714285714285716</v>
      </c>
      <c r="F76">
        <v>9</v>
      </c>
      <c r="G76">
        <v>1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5" ht="12.75">
      <c r="A86" t="s">
        <v>110</v>
      </c>
      <c r="E86" s="12" t="e">
        <f aca="true" t="shared" si="1" ref="E86:E97">+D86/C86</f>
        <v>#DIV/0!</v>
      </c>
    </row>
    <row r="87" spans="1:5" ht="12.75">
      <c r="A87" t="s">
        <v>111</v>
      </c>
      <c r="E87" s="12" t="e">
        <f t="shared" si="1"/>
        <v>#DIV/0!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6" ht="12.75">
      <c r="A92" t="s">
        <v>118</v>
      </c>
      <c r="C92">
        <v>3</v>
      </c>
      <c r="D92">
        <v>88</v>
      </c>
      <c r="E92" s="12">
        <f t="shared" si="1"/>
        <v>29.333333333333332</v>
      </c>
      <c r="F92">
        <v>36</v>
      </c>
    </row>
    <row r="93" spans="1:5" ht="12.75">
      <c r="A93" t="s">
        <v>119</v>
      </c>
      <c r="E93" s="12" t="e">
        <f t="shared" si="1"/>
        <v>#DIV/0!</v>
      </c>
    </row>
    <row r="94" spans="1:7" ht="12.75">
      <c r="A94" t="s">
        <v>120</v>
      </c>
      <c r="C94">
        <v>4</v>
      </c>
      <c r="D94">
        <v>65</v>
      </c>
      <c r="E94" s="12">
        <f t="shared" si="1"/>
        <v>16.25</v>
      </c>
      <c r="F94">
        <v>34</v>
      </c>
      <c r="G94">
        <v>1</v>
      </c>
    </row>
    <row r="95" spans="1:7" ht="12.75">
      <c r="A95" t="s">
        <v>121</v>
      </c>
      <c r="C95">
        <v>2</v>
      </c>
      <c r="D95">
        <v>74</v>
      </c>
      <c r="E95" s="12">
        <f t="shared" si="1"/>
        <v>37</v>
      </c>
      <c r="F95">
        <v>62</v>
      </c>
      <c r="G95">
        <v>1</v>
      </c>
    </row>
    <row r="96" spans="1:5" ht="12.75">
      <c r="A96" t="s">
        <v>122</v>
      </c>
      <c r="C96">
        <v>1</v>
      </c>
      <c r="E96" s="12">
        <f t="shared" si="1"/>
        <v>0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18</v>
      </c>
      <c r="D102">
        <v>10</v>
      </c>
      <c r="E102" s="12">
        <f>+D102/C102*100</f>
        <v>55.55555555555556</v>
      </c>
      <c r="F102">
        <v>227</v>
      </c>
      <c r="G102">
        <v>2</v>
      </c>
      <c r="H102">
        <v>62</v>
      </c>
      <c r="J102" s="8">
        <f>+G102/C102*100</f>
        <v>11.11111111111111</v>
      </c>
      <c r="K102" s="12">
        <f>+I102/C102*100</f>
        <v>0</v>
      </c>
      <c r="L102" s="12">
        <f>+F102/C102</f>
        <v>12.61111111111111</v>
      </c>
      <c r="M102" s="12">
        <f>100*(S102+U102+W102+Y102)/6</f>
        <v>137.96296296296296</v>
      </c>
      <c r="R102">
        <f>+(E102-30)/20</f>
        <v>1.277777777777778</v>
      </c>
      <c r="S102" s="2">
        <f>IF(R102&lt;0,0,R102)</f>
        <v>1.277777777777778</v>
      </c>
      <c r="T102" s="6">
        <f>+(L102-3)/4</f>
        <v>2.4027777777777777</v>
      </c>
      <c r="U102" s="2">
        <f>IF(T102&lt;0,0,T102)</f>
        <v>2.4027777777777777</v>
      </c>
      <c r="V102">
        <f>+J102/5</f>
        <v>2.2222222222222223</v>
      </c>
      <c r="W102" s="2">
        <f>IF(V102&lt;0,0,V102)</f>
        <v>2.2222222222222223</v>
      </c>
      <c r="X102">
        <f>(9.5-K102)/4</f>
        <v>2.375</v>
      </c>
      <c r="Y102" s="2">
        <f>IF(X102&lt;0,0,X102)</f>
        <v>2.375</v>
      </c>
    </row>
    <row r="103" spans="1:25" ht="12.75">
      <c r="A103" t="s">
        <v>124</v>
      </c>
      <c r="C103">
        <v>4</v>
      </c>
      <c r="E103" s="12">
        <f>+D103/C103*100</f>
        <v>0</v>
      </c>
      <c r="I103">
        <v>1</v>
      </c>
      <c r="J103" s="8">
        <f>+G103/C103*100</f>
        <v>0</v>
      </c>
      <c r="K103" s="12">
        <f>+I103/C103*100</f>
        <v>25</v>
      </c>
      <c r="L103" s="12">
        <f>+F103/C103</f>
        <v>0</v>
      </c>
      <c r="M103" s="12">
        <f>100*(S103+U103+W103+Y103)/6</f>
        <v>0</v>
      </c>
      <c r="R103">
        <f>+(E103-30)/20</f>
        <v>-1.5</v>
      </c>
      <c r="S103" s="2">
        <f>IF(R103&lt;0,0,R103)</f>
        <v>0</v>
      </c>
      <c r="T103" s="6">
        <f>+(L103-3)/4</f>
        <v>-0.75</v>
      </c>
      <c r="U103" s="2">
        <f>IF(T103&lt;0,0,T103)</f>
        <v>0</v>
      </c>
      <c r="V103">
        <f>+J103/5</f>
        <v>0</v>
      </c>
      <c r="W103" s="2">
        <f>IF(V103&lt;0,0,V103)</f>
        <v>0</v>
      </c>
      <c r="X103">
        <f>(9.5-K103)/4</f>
        <v>-3.875</v>
      </c>
      <c r="Y103" s="2">
        <f>IF(X103&lt;0,0,X103)</f>
        <v>0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E108">
        <v>1</v>
      </c>
      <c r="F108" s="12">
        <f aca="true" t="shared" si="2" ref="F108:F113">+E108/C108</f>
        <v>1</v>
      </c>
      <c r="G108">
        <v>1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6" ht="12.75">
      <c r="A120" t="s">
        <v>126</v>
      </c>
      <c r="C120">
        <v>1</v>
      </c>
      <c r="D120">
        <v>28</v>
      </c>
      <c r="E120" s="12">
        <f t="shared" si="3"/>
        <v>28</v>
      </c>
      <c r="F120">
        <v>28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217</v>
      </c>
      <c r="E128" s="12">
        <f>+D128/C128</f>
        <v>36.166666666666664</v>
      </c>
      <c r="F128">
        <v>52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5</v>
      </c>
      <c r="E132">
        <v>3</v>
      </c>
      <c r="F132">
        <v>3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6" ht="12.75">
      <c r="A140" t="s">
        <v>127</v>
      </c>
      <c r="C140">
        <v>1</v>
      </c>
      <c r="D140">
        <v>1</v>
      </c>
      <c r="E140" s="12">
        <f t="shared" si="4"/>
        <v>1</v>
      </c>
      <c r="F140">
        <v>1</v>
      </c>
    </row>
    <row r="141" spans="1:6" ht="12.75">
      <c r="A141" t="s">
        <v>125</v>
      </c>
      <c r="C141">
        <v>1</v>
      </c>
      <c r="D141">
        <v>5</v>
      </c>
      <c r="E141" s="12">
        <f t="shared" si="4"/>
        <v>5</v>
      </c>
      <c r="F141">
        <v>5</v>
      </c>
    </row>
    <row r="142" spans="1:6" ht="12.75">
      <c r="A142" t="s">
        <v>136</v>
      </c>
      <c r="C142">
        <v>1</v>
      </c>
      <c r="D142">
        <v>-1</v>
      </c>
      <c r="E142" s="12">
        <f t="shared" si="4"/>
        <v>-1</v>
      </c>
      <c r="F142">
        <v>-1</v>
      </c>
    </row>
    <row r="143" spans="1:5" ht="12.75">
      <c r="A143" t="s">
        <v>142</v>
      </c>
      <c r="E143" s="12" t="e">
        <f>H144:H145</f>
        <v>#VALUE!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2</v>
      </c>
      <c r="D148">
        <v>14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spans="1:4" ht="12.75">
      <c r="A153" t="s">
        <v>135</v>
      </c>
      <c r="C153">
        <v>1</v>
      </c>
      <c r="D153">
        <v>8</v>
      </c>
    </row>
    <row r="154" spans="1:4" ht="12.75">
      <c r="A154" t="s">
        <v>136</v>
      </c>
      <c r="C154">
        <v>2</v>
      </c>
      <c r="D154">
        <v>21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14</v>
      </c>
      <c r="H163" t="s">
        <v>97</v>
      </c>
      <c r="M163">
        <v>13</v>
      </c>
    </row>
    <row r="164" spans="1:13" ht="12.75">
      <c r="A164" t="s">
        <v>98</v>
      </c>
      <c r="D164">
        <v>1</v>
      </c>
      <c r="H164" t="s">
        <v>98</v>
      </c>
      <c r="M164">
        <v>4</v>
      </c>
    </row>
    <row r="165" spans="1:15" ht="12.75">
      <c r="A165" t="s">
        <v>99</v>
      </c>
      <c r="D165">
        <f>D164/D163*100</f>
        <v>7.142857142857142</v>
      </c>
      <c r="E165" s="23"/>
      <c r="H165" t="s">
        <v>99</v>
      </c>
      <c r="M165">
        <f>+M164/M163*100</f>
        <v>30.76923076923077</v>
      </c>
      <c r="O165" s="2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65"/>
  <sheetViews>
    <sheetView workbookViewId="0" topLeftCell="A134">
      <selection activeCell="M166" sqref="M16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12</v>
      </c>
      <c r="H6" s="1" t="s">
        <v>29</v>
      </c>
      <c r="M6" s="2">
        <v>13</v>
      </c>
    </row>
    <row r="8" spans="1:13" ht="12.75">
      <c r="A8" t="s">
        <v>1</v>
      </c>
      <c r="D8" s="2">
        <v>22</v>
      </c>
      <c r="H8" t="s">
        <v>1</v>
      </c>
      <c r="M8" s="2">
        <v>34</v>
      </c>
    </row>
    <row r="9" spans="1:13" ht="12.75">
      <c r="A9" t="s">
        <v>2</v>
      </c>
      <c r="D9" s="2">
        <v>61</v>
      </c>
      <c r="H9" t="s">
        <v>2</v>
      </c>
      <c r="M9" s="2">
        <v>187</v>
      </c>
    </row>
    <row r="10" spans="1:13" ht="12.75">
      <c r="A10" s="1" t="s">
        <v>3</v>
      </c>
      <c r="D10" s="8">
        <f>+D9/D8</f>
        <v>2.772727272727273</v>
      </c>
      <c r="H10" s="1" t="s">
        <v>3</v>
      </c>
      <c r="M10" s="8">
        <f>+M9/M8</f>
        <v>5.5</v>
      </c>
    </row>
    <row r="12" spans="1:13" ht="12.75">
      <c r="A12" t="s">
        <v>4</v>
      </c>
      <c r="D12" s="2">
        <v>26</v>
      </c>
      <c r="H12" t="s">
        <v>4</v>
      </c>
      <c r="M12" s="2">
        <v>25</v>
      </c>
    </row>
    <row r="13" spans="1:13" ht="12.75">
      <c r="A13" t="s">
        <v>5</v>
      </c>
      <c r="D13" s="2">
        <v>14</v>
      </c>
      <c r="H13" t="s">
        <v>5</v>
      </c>
      <c r="M13" s="2">
        <v>12</v>
      </c>
    </row>
    <row r="14" spans="1:13" ht="12.75">
      <c r="A14" t="s">
        <v>6</v>
      </c>
      <c r="D14" s="8">
        <f>+D13/D12*100</f>
        <v>53.84615384615385</v>
      </c>
      <c r="H14" t="s">
        <v>6</v>
      </c>
      <c r="M14" s="8">
        <f>+M13/M12*100</f>
        <v>48</v>
      </c>
    </row>
    <row r="15" spans="1:13" ht="12.75">
      <c r="A15" t="s">
        <v>7</v>
      </c>
      <c r="D15" s="2">
        <v>198</v>
      </c>
      <c r="H15" t="s">
        <v>7</v>
      </c>
      <c r="M15" s="2">
        <v>245</v>
      </c>
    </row>
    <row r="16" spans="1:13" ht="12.75">
      <c r="A16" t="s">
        <v>8</v>
      </c>
      <c r="D16" s="2">
        <v>7</v>
      </c>
      <c r="H16" t="s">
        <v>8</v>
      </c>
      <c r="M16" s="2">
        <v>3</v>
      </c>
    </row>
    <row r="17" spans="1:13" ht="12.75">
      <c r="A17" t="s">
        <v>9</v>
      </c>
      <c r="D17" s="2">
        <v>55</v>
      </c>
      <c r="H17" t="s">
        <v>9</v>
      </c>
      <c r="M17" s="2">
        <v>30</v>
      </c>
    </row>
    <row r="18" spans="1:13" ht="12.75">
      <c r="A18" t="s">
        <v>10</v>
      </c>
      <c r="D18">
        <f>+D15-D17</f>
        <v>143</v>
      </c>
      <c r="H18" t="s">
        <v>10</v>
      </c>
      <c r="M18">
        <f>+M15-M17</f>
        <v>215</v>
      </c>
    </row>
    <row r="19" spans="1:13" ht="12.75">
      <c r="A19" t="s">
        <v>11</v>
      </c>
      <c r="D19" s="7">
        <f>+D18/D12</f>
        <v>5.5</v>
      </c>
      <c r="H19" t="s">
        <v>11</v>
      </c>
      <c r="M19" s="7">
        <f>+M18/M12</f>
        <v>8.6</v>
      </c>
    </row>
    <row r="20" spans="1:13" ht="12.75">
      <c r="A20" t="s">
        <v>12</v>
      </c>
      <c r="D20" s="7">
        <f>+D15/D13</f>
        <v>14.142857142857142</v>
      </c>
      <c r="H20" t="s">
        <v>12</v>
      </c>
      <c r="M20" s="7">
        <f>+M15/M13</f>
        <v>20.416666666666668</v>
      </c>
    </row>
    <row r="22" spans="1:8" ht="12.75">
      <c r="A22" t="s">
        <v>13</v>
      </c>
      <c r="H22" t="s">
        <v>13</v>
      </c>
    </row>
    <row r="23" spans="1:13" ht="12.75">
      <c r="A23" t="s">
        <v>14</v>
      </c>
      <c r="D23">
        <f>+D18+D9</f>
        <v>204</v>
      </c>
      <c r="H23" t="s">
        <v>14</v>
      </c>
      <c r="M23">
        <f>+M18+M9</f>
        <v>402</v>
      </c>
    </row>
    <row r="24" spans="1:13" ht="12.75">
      <c r="A24" t="s">
        <v>15</v>
      </c>
      <c r="D24" s="7">
        <f>+D9/D23*100</f>
        <v>29.901960784313726</v>
      </c>
      <c r="H24" t="s">
        <v>15</v>
      </c>
      <c r="M24" s="7">
        <f>+M9/M23*100</f>
        <v>46.517412935323385</v>
      </c>
    </row>
    <row r="25" spans="1:13" ht="12.75">
      <c r="A25" s="1" t="s">
        <v>90</v>
      </c>
      <c r="D25" s="7">
        <f>+D18/D23*100</f>
        <v>70.09803921568627</v>
      </c>
      <c r="H25" s="1" t="s">
        <v>90</v>
      </c>
      <c r="M25" s="7">
        <f>+M18/M23*100</f>
        <v>53.482587064676615</v>
      </c>
    </row>
    <row r="27" spans="1:13" ht="12.75">
      <c r="A27" t="s">
        <v>16</v>
      </c>
      <c r="D27">
        <f>+D8+D12+D16</f>
        <v>55</v>
      </c>
      <c r="H27" t="s">
        <v>16</v>
      </c>
      <c r="M27">
        <f>+M8+M12+M16</f>
        <v>62</v>
      </c>
    </row>
    <row r="28" spans="1:13" ht="12.75">
      <c r="A28" t="s">
        <v>17</v>
      </c>
      <c r="D28" s="8">
        <f>+D23/D27</f>
        <v>3.709090909090909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6.483870967741935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4</v>
      </c>
    </row>
    <row r="32" spans="1:13" ht="12.75">
      <c r="A32" t="s">
        <v>20</v>
      </c>
      <c r="D32" s="2">
        <v>17</v>
      </c>
      <c r="H32" t="s">
        <v>20</v>
      </c>
      <c r="M32" s="2">
        <v>21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3</v>
      </c>
      <c r="H35" t="s">
        <v>22</v>
      </c>
      <c r="M35" s="2">
        <v>2</v>
      </c>
    </row>
    <row r="36" spans="1:13" ht="12.75">
      <c r="A36" t="s">
        <v>23</v>
      </c>
      <c r="D36" s="2">
        <v>115</v>
      </c>
      <c r="H36" t="s">
        <v>23</v>
      </c>
      <c r="M36" s="2">
        <v>88</v>
      </c>
    </row>
    <row r="37" spans="1:13" ht="12.75">
      <c r="A37" t="s">
        <v>24</v>
      </c>
      <c r="D37" s="8">
        <f>+D36/D35</f>
        <v>38.333333333333336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44</v>
      </c>
    </row>
    <row r="39" spans="1:13" ht="12.75">
      <c r="A39" t="s">
        <v>25</v>
      </c>
      <c r="D39" s="2"/>
      <c r="H39" t="s">
        <v>25</v>
      </c>
      <c r="M39" s="2">
        <v>2</v>
      </c>
    </row>
    <row r="40" spans="1:13" ht="12.75">
      <c r="A40" t="s">
        <v>26</v>
      </c>
      <c r="D40" s="2"/>
      <c r="H40" t="s">
        <v>26</v>
      </c>
      <c r="M40" s="2">
        <v>17</v>
      </c>
    </row>
    <row r="41" spans="1:13" ht="12.75">
      <c r="A41" t="s">
        <v>27</v>
      </c>
      <c r="D41" s="8" t="e">
        <f>+D40/D39</f>
        <v>#DIV/0!</v>
      </c>
      <c r="H41" t="s">
        <v>27</v>
      </c>
      <c r="M41" s="8">
        <f>+M40/M39</f>
        <v>8.5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6</v>
      </c>
      <c r="H44" t="s">
        <v>30</v>
      </c>
      <c r="M44" s="2">
        <v>4</v>
      </c>
    </row>
    <row r="45" spans="1:13" ht="12.75">
      <c r="A45" t="s">
        <v>26</v>
      </c>
      <c r="D45" s="2">
        <v>166</v>
      </c>
      <c r="H45" t="s">
        <v>26</v>
      </c>
      <c r="M45" s="2">
        <v>99</v>
      </c>
    </row>
    <row r="46" spans="1:13" ht="12.75">
      <c r="A46" t="s">
        <v>27</v>
      </c>
      <c r="D46" s="8">
        <f>+D45/D44</f>
        <v>27.666666666666668</v>
      </c>
      <c r="H46" t="s">
        <v>27</v>
      </c>
      <c r="M46" s="8">
        <f>+M45/M44</f>
        <v>24.75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4</v>
      </c>
      <c r="H49" t="s">
        <v>31</v>
      </c>
      <c r="M49" s="2">
        <v>8</v>
      </c>
    </row>
    <row r="50" spans="1:13" ht="12.75">
      <c r="A50" t="s">
        <v>32</v>
      </c>
      <c r="D50" s="2">
        <v>35</v>
      </c>
      <c r="H50" t="s">
        <v>32</v>
      </c>
      <c r="M50" s="2">
        <v>70</v>
      </c>
    </row>
    <row r="52" spans="1:13" ht="12.75">
      <c r="A52" t="s">
        <v>33</v>
      </c>
      <c r="D52" s="2">
        <v>4</v>
      </c>
      <c r="H52" t="s">
        <v>33</v>
      </c>
      <c r="M52" s="2"/>
    </row>
    <row r="53" spans="1:13" ht="12.75">
      <c r="A53" t="s">
        <v>34</v>
      </c>
      <c r="D53" s="2">
        <v>2</v>
      </c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2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9</v>
      </c>
      <c r="H58" t="s">
        <v>38</v>
      </c>
      <c r="M58" s="2">
        <v>33</v>
      </c>
    </row>
    <row r="59" spans="1:13" ht="12.75">
      <c r="A59" t="s">
        <v>39</v>
      </c>
      <c r="D59" s="2"/>
      <c r="H59" t="s">
        <v>39</v>
      </c>
      <c r="M59" s="2">
        <v>4</v>
      </c>
    </row>
    <row r="60" spans="1:13" ht="12.75">
      <c r="A60" t="s">
        <v>40</v>
      </c>
      <c r="D60" s="2"/>
      <c r="H60" t="s">
        <v>40</v>
      </c>
      <c r="M60" s="2">
        <v>2</v>
      </c>
    </row>
    <row r="61" spans="1:13" ht="12.75">
      <c r="A61" t="s">
        <v>41</v>
      </c>
      <c r="D61" s="2"/>
      <c r="H61" t="s">
        <v>41</v>
      </c>
      <c r="M61" s="2">
        <v>2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/>
      <c r="H63" t="s">
        <v>43</v>
      </c>
      <c r="M63" s="2">
        <v>3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3</v>
      </c>
      <c r="H65" t="s">
        <v>45</v>
      </c>
      <c r="M65" s="2">
        <v>2</v>
      </c>
    </row>
    <row r="66" spans="1:13" ht="12.75">
      <c r="A66" t="s">
        <v>46</v>
      </c>
      <c r="D66" s="2">
        <v>4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75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100</v>
      </c>
    </row>
    <row r="68" spans="1:13" ht="12.75">
      <c r="A68" t="s">
        <v>96</v>
      </c>
      <c r="D68" s="10">
        <f>IF(V20&lt;10,V24,V23)</f>
        <v>0</v>
      </c>
      <c r="E68" s="8"/>
      <c r="F68" s="8"/>
      <c r="H68" t="s">
        <v>95</v>
      </c>
      <c r="M68" s="10"/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2</v>
      </c>
      <c r="D72">
        <v>6</v>
      </c>
      <c r="E72" s="12">
        <f>+D72/C72</f>
        <v>3</v>
      </c>
      <c r="F72">
        <v>4</v>
      </c>
    </row>
    <row r="73" spans="1:8" ht="12.75">
      <c r="A73" t="s">
        <v>111</v>
      </c>
      <c r="C73">
        <v>7</v>
      </c>
      <c r="D73">
        <v>39</v>
      </c>
      <c r="E73" s="12">
        <f>+D73/C73</f>
        <v>5.571428571428571</v>
      </c>
      <c r="F73">
        <v>29</v>
      </c>
      <c r="H73">
        <v>1</v>
      </c>
    </row>
    <row r="74" spans="1:8" ht="12.75">
      <c r="A74" t="s">
        <v>112</v>
      </c>
      <c r="C74">
        <v>10</v>
      </c>
      <c r="D74">
        <v>-9</v>
      </c>
      <c r="E74" s="12">
        <f>+D74/C74</f>
        <v>-0.9</v>
      </c>
      <c r="F74">
        <v>13</v>
      </c>
      <c r="H74">
        <v>1</v>
      </c>
    </row>
    <row r="75" spans="1:6" ht="12.75">
      <c r="A75" t="s">
        <v>113</v>
      </c>
      <c r="C75">
        <v>3</v>
      </c>
      <c r="D75">
        <v>25</v>
      </c>
      <c r="E75" s="12">
        <f aca="true" t="shared" si="0" ref="E75:E81">+D75/C75</f>
        <v>8.333333333333334</v>
      </c>
      <c r="F75">
        <v>17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5" ht="12.75">
      <c r="A86" t="s">
        <v>110</v>
      </c>
      <c r="E86" s="12" t="e">
        <f aca="true" t="shared" si="1" ref="E86:E97">+D86/C86</f>
        <v>#DIV/0!</v>
      </c>
    </row>
    <row r="87" spans="1:6" ht="12.75">
      <c r="A87" t="s">
        <v>111</v>
      </c>
      <c r="C87">
        <v>1</v>
      </c>
      <c r="D87">
        <v>15</v>
      </c>
      <c r="E87" s="12">
        <f t="shared" si="1"/>
        <v>15</v>
      </c>
      <c r="F87">
        <v>15</v>
      </c>
    </row>
    <row r="88" spans="1:6" ht="12.75">
      <c r="A88" t="s">
        <v>112</v>
      </c>
      <c r="C88">
        <v>3</v>
      </c>
      <c r="D88">
        <v>13</v>
      </c>
      <c r="E88" s="12">
        <f t="shared" si="1"/>
        <v>4.333333333333333</v>
      </c>
      <c r="F88">
        <v>12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6" ht="12.75">
      <c r="A92" t="s">
        <v>118</v>
      </c>
      <c r="C92">
        <v>3</v>
      </c>
      <c r="D92">
        <v>41</v>
      </c>
      <c r="E92" s="12">
        <f t="shared" si="1"/>
        <v>13.666666666666666</v>
      </c>
      <c r="F92">
        <v>19</v>
      </c>
    </row>
    <row r="93" spans="1:5" ht="12.75">
      <c r="A93" t="s">
        <v>119</v>
      </c>
      <c r="E93" s="12" t="e">
        <f t="shared" si="1"/>
        <v>#DIV/0!</v>
      </c>
    </row>
    <row r="94" spans="1:8" ht="12.75">
      <c r="A94" t="s">
        <v>120</v>
      </c>
      <c r="C94">
        <v>5</v>
      </c>
      <c r="D94">
        <v>78</v>
      </c>
      <c r="E94" s="12">
        <f t="shared" si="1"/>
        <v>15.6</v>
      </c>
      <c r="F94">
        <v>29</v>
      </c>
      <c r="H94">
        <v>1</v>
      </c>
    </row>
    <row r="95" spans="1:5" ht="12.75">
      <c r="A95" t="s">
        <v>121</v>
      </c>
      <c r="E95" s="12" t="e">
        <f t="shared" si="1"/>
        <v>#DIV/0!</v>
      </c>
    </row>
    <row r="96" spans="1:6" ht="12.75">
      <c r="A96" t="s">
        <v>122</v>
      </c>
      <c r="C96">
        <v>3</v>
      </c>
      <c r="D96">
        <v>51</v>
      </c>
      <c r="E96" s="12">
        <f t="shared" si="1"/>
        <v>17</v>
      </c>
      <c r="F96">
        <v>23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26</v>
      </c>
      <c r="D102">
        <v>14</v>
      </c>
      <c r="E102" s="12">
        <f>+D102/C102*100</f>
        <v>53.84615384615385</v>
      </c>
      <c r="F102">
        <v>198</v>
      </c>
      <c r="H102">
        <v>29</v>
      </c>
      <c r="I102">
        <v>1</v>
      </c>
      <c r="J102" s="8">
        <f>+G102/C102*100</f>
        <v>0</v>
      </c>
      <c r="K102" s="12">
        <f>+I102/C102*100</f>
        <v>3.8461538461538463</v>
      </c>
      <c r="L102" s="12">
        <f>+F102/C102</f>
        <v>7.615384615384615</v>
      </c>
      <c r="M102" s="12">
        <f>100*(S102+U102+W102+Y102)/6</f>
        <v>62.6602564102564</v>
      </c>
      <c r="R102">
        <f>+(E102-30)/20</f>
        <v>1.1923076923076923</v>
      </c>
      <c r="S102" s="2">
        <f>IF(R102&lt;0,0,R102)</f>
        <v>1.1923076923076923</v>
      </c>
      <c r="T102" s="6">
        <f>+(L102-3)/4</f>
        <v>1.1538461538461537</v>
      </c>
      <c r="U102" s="2">
        <f>IF(T102&lt;0,0,T102)</f>
        <v>1.1538461538461537</v>
      </c>
      <c r="V102">
        <f>+J102/5</f>
        <v>0</v>
      </c>
      <c r="W102" s="2">
        <f>IF(V102&lt;0,0,V102)</f>
        <v>0</v>
      </c>
      <c r="X102">
        <f>(9.5-K102)/4</f>
        <v>1.4134615384615383</v>
      </c>
      <c r="Y102" s="2">
        <f>IF(X102&lt;0,0,X102)</f>
        <v>1.4134615384615383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6" ht="12.75">
      <c r="A108" t="s">
        <v>125</v>
      </c>
      <c r="F108" s="12" t="e">
        <f aca="true" t="shared" si="2" ref="F108:F113">+E108/C108</f>
        <v>#DIV/0!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2</v>
      </c>
      <c r="D118">
        <v>74</v>
      </c>
      <c r="E118" s="12">
        <f aca="true" t="shared" si="3" ref="E118:E123">+D118/C118</f>
        <v>37</v>
      </c>
      <c r="F118">
        <v>41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8" ht="12.75">
      <c r="A121" t="s">
        <v>122</v>
      </c>
      <c r="C121">
        <v>3</v>
      </c>
      <c r="D121">
        <v>72</v>
      </c>
      <c r="E121" s="12">
        <f t="shared" si="3"/>
        <v>24</v>
      </c>
      <c r="F121">
        <v>41</v>
      </c>
      <c r="H121">
        <v>1</v>
      </c>
    </row>
    <row r="122" spans="1:8" ht="12.75">
      <c r="A122" t="s">
        <v>129</v>
      </c>
      <c r="C122">
        <v>1</v>
      </c>
      <c r="D122">
        <v>20</v>
      </c>
      <c r="E122" s="12">
        <f t="shared" si="3"/>
        <v>20</v>
      </c>
      <c r="F122">
        <v>20</v>
      </c>
      <c r="H122">
        <v>1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3</v>
      </c>
      <c r="D128">
        <v>115</v>
      </c>
      <c r="E128" s="12">
        <f>+D128/C128</f>
        <v>38.333333333333336</v>
      </c>
      <c r="F128">
        <v>48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4</v>
      </c>
      <c r="G132">
        <v>4</v>
      </c>
      <c r="H132">
        <v>3</v>
      </c>
      <c r="I132" s="12">
        <f>+H132/G132*100</f>
        <v>75</v>
      </c>
      <c r="J132">
        <v>17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6" ht="12.75">
      <c r="A136" t="s">
        <v>133</v>
      </c>
      <c r="C136">
        <v>1</v>
      </c>
      <c r="D136">
        <v>9</v>
      </c>
      <c r="E136" s="12">
        <f>+D136/C136</f>
        <v>9</v>
      </c>
      <c r="F136">
        <v>9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6" ht="12.75">
      <c r="A140" t="s">
        <v>127</v>
      </c>
      <c r="C140">
        <v>1</v>
      </c>
      <c r="D140">
        <v>1</v>
      </c>
      <c r="E140" s="12">
        <f t="shared" si="4"/>
        <v>1</v>
      </c>
      <c r="F140">
        <v>1</v>
      </c>
    </row>
    <row r="141" spans="1:6" ht="12.75">
      <c r="A141" t="s">
        <v>125</v>
      </c>
      <c r="C141">
        <v>1</v>
      </c>
      <c r="D141">
        <v>11</v>
      </c>
      <c r="E141" s="12">
        <f t="shared" si="4"/>
        <v>11</v>
      </c>
      <c r="F141">
        <v>11</v>
      </c>
    </row>
    <row r="142" spans="1:5" ht="12.75">
      <c r="A142" t="s">
        <v>136</v>
      </c>
      <c r="E142" s="12" t="e">
        <f t="shared" si="4"/>
        <v>#DIV/0!</v>
      </c>
    </row>
    <row r="143" spans="1:5" ht="12.75">
      <c r="A143" t="s">
        <v>142</v>
      </c>
      <c r="C143">
        <v>1</v>
      </c>
      <c r="E143" s="12">
        <f t="shared" si="4"/>
        <v>0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2</v>
      </c>
      <c r="D148">
        <v>22</v>
      </c>
    </row>
    <row r="149" spans="1:4" ht="12.75">
      <c r="A149" t="s">
        <v>134</v>
      </c>
      <c r="C149">
        <v>1</v>
      </c>
      <c r="D149">
        <v>8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14</v>
      </c>
      <c r="H163" t="s">
        <v>97</v>
      </c>
      <c r="M163">
        <v>9</v>
      </c>
    </row>
    <row r="164" spans="1:13" ht="12.75">
      <c r="A164" t="s">
        <v>98</v>
      </c>
      <c r="D164">
        <v>5</v>
      </c>
      <c r="H164" t="s">
        <v>98</v>
      </c>
      <c r="M164">
        <v>4</v>
      </c>
    </row>
    <row r="165" spans="1:15" ht="12.75">
      <c r="A165" t="s">
        <v>99</v>
      </c>
      <c r="D165">
        <f>D164/D163*100</f>
        <v>35.714285714285715</v>
      </c>
      <c r="E165" s="23"/>
      <c r="H165" t="s">
        <v>99</v>
      </c>
      <c r="M165">
        <f>+M164/M163*100</f>
        <v>44.44444444444444</v>
      </c>
      <c r="O165" s="2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Y192"/>
  <sheetViews>
    <sheetView workbookViewId="0" topLeftCell="A37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/>
      <c r="H6" s="1" t="s">
        <v>29</v>
      </c>
      <c r="M6" s="2"/>
    </row>
    <row r="8" spans="1:13" ht="12.75">
      <c r="A8" t="s">
        <v>1</v>
      </c>
      <c r="D8" s="2"/>
      <c r="H8" t="s">
        <v>1</v>
      </c>
      <c r="M8" s="2"/>
    </row>
    <row r="9" spans="1:13" ht="12.75">
      <c r="A9" t="s">
        <v>2</v>
      </c>
      <c r="D9" s="2"/>
      <c r="H9" t="s">
        <v>2</v>
      </c>
      <c r="M9" s="2"/>
    </row>
    <row r="10" spans="1:13" ht="12.75">
      <c r="A10" s="1" t="s">
        <v>3</v>
      </c>
      <c r="D10" s="8" t="e">
        <f>+D9/D8</f>
        <v>#DIV/0!</v>
      </c>
      <c r="H10" s="1" t="s">
        <v>3</v>
      </c>
      <c r="M10" s="8" t="e">
        <f>+M9/M8</f>
        <v>#DIV/0!</v>
      </c>
    </row>
    <row r="12" spans="1:13" ht="12.75">
      <c r="A12" t="s">
        <v>4</v>
      </c>
      <c r="D12" s="2"/>
      <c r="H12" t="s">
        <v>4</v>
      </c>
      <c r="M12" s="2"/>
    </row>
    <row r="13" spans="1:13" ht="12.75">
      <c r="A13" t="s">
        <v>5</v>
      </c>
      <c r="D13" s="2"/>
      <c r="H13" t="s">
        <v>5</v>
      </c>
      <c r="M13" s="2"/>
    </row>
    <row r="14" spans="1:13" ht="12.75">
      <c r="A14" t="s">
        <v>6</v>
      </c>
      <c r="D14" s="8" t="e">
        <f>+D13/D12*100</f>
        <v>#DIV/0!</v>
      </c>
      <c r="H14" t="s">
        <v>6</v>
      </c>
      <c r="M14" s="8" t="e">
        <f>+M13/M12*100</f>
        <v>#DIV/0!</v>
      </c>
    </row>
    <row r="15" spans="1:13" ht="12.75">
      <c r="A15" t="s">
        <v>7</v>
      </c>
      <c r="D15" s="2"/>
      <c r="H15" t="s">
        <v>7</v>
      </c>
      <c r="M15" s="2"/>
    </row>
    <row r="16" spans="1:13" ht="12.75">
      <c r="A16" t="s">
        <v>8</v>
      </c>
      <c r="D16" s="2"/>
      <c r="H16" t="s">
        <v>8</v>
      </c>
      <c r="M16" s="2"/>
    </row>
    <row r="17" spans="1:13" ht="12.75">
      <c r="A17" t="s">
        <v>9</v>
      </c>
      <c r="D17" s="2"/>
      <c r="H17" t="s">
        <v>9</v>
      </c>
      <c r="M17" s="2"/>
    </row>
    <row r="18" spans="1:13" ht="12.75">
      <c r="A18" t="s">
        <v>10</v>
      </c>
      <c r="D18">
        <f>+D15-D17</f>
        <v>0</v>
      </c>
      <c r="H18" t="s">
        <v>10</v>
      </c>
      <c r="M18">
        <f>+M15-M17</f>
        <v>0</v>
      </c>
    </row>
    <row r="19" spans="1:13" ht="12.75">
      <c r="A19" t="s">
        <v>11</v>
      </c>
      <c r="D19" s="7" t="e">
        <f>+D18/D12</f>
        <v>#DIV/0!</v>
      </c>
      <c r="H19" t="s">
        <v>11</v>
      </c>
      <c r="M19" s="7" t="e">
        <f>+M18/M12</f>
        <v>#DIV/0!</v>
      </c>
    </row>
    <row r="20" spans="1:13" ht="12.75">
      <c r="A20" t="s">
        <v>12</v>
      </c>
      <c r="D20" s="7" t="e">
        <f>+D15/D13</f>
        <v>#DIV/0!</v>
      </c>
      <c r="H20" t="s">
        <v>12</v>
      </c>
      <c r="M20" s="7" t="e">
        <f>+M15/M13</f>
        <v>#DIV/0!</v>
      </c>
    </row>
    <row r="22" spans="1:8" ht="12.75">
      <c r="A22" t="s">
        <v>13</v>
      </c>
      <c r="H22" t="s">
        <v>13</v>
      </c>
    </row>
    <row r="23" spans="1:13" ht="12.75">
      <c r="A23" t="s">
        <v>14</v>
      </c>
      <c r="D23">
        <f>+D18+D9</f>
        <v>0</v>
      </c>
      <c r="H23" t="s">
        <v>14</v>
      </c>
      <c r="M23">
        <f>+M18+M9</f>
        <v>0</v>
      </c>
    </row>
    <row r="24" spans="1:13" ht="12.75">
      <c r="A24" t="s">
        <v>15</v>
      </c>
      <c r="D24" s="7" t="e">
        <f>+D9/D23*100</f>
        <v>#DIV/0!</v>
      </c>
      <c r="H24" t="s">
        <v>15</v>
      </c>
      <c r="M24" s="7" t="e">
        <f>+M9/M23*100</f>
        <v>#DIV/0!</v>
      </c>
    </row>
    <row r="25" spans="1:13" ht="12.75">
      <c r="A25" s="1" t="s">
        <v>90</v>
      </c>
      <c r="D25" s="7" t="e">
        <f>+D18/D23*100</f>
        <v>#DIV/0!</v>
      </c>
      <c r="H25" s="1" t="s">
        <v>90</v>
      </c>
      <c r="M25" s="7" t="e">
        <f>+M18/M23*100</f>
        <v>#DIV/0!</v>
      </c>
    </row>
    <row r="27" spans="1:13" ht="12.75">
      <c r="A27" t="s">
        <v>16</v>
      </c>
      <c r="D27">
        <f>+D8+D12+D16</f>
        <v>0</v>
      </c>
      <c r="H27" t="s">
        <v>16</v>
      </c>
      <c r="M27">
        <f>+M8+M12+M16</f>
        <v>0</v>
      </c>
    </row>
    <row r="28" spans="1:13" ht="12.75">
      <c r="A28" t="s">
        <v>17</v>
      </c>
      <c r="D28" s="8" t="e">
        <f>+D23/D27</f>
        <v>#DIV/0!</v>
      </c>
      <c r="E28" s="7"/>
      <c r="F28" s="7"/>
      <c r="G28" s="7"/>
      <c r="H28" s="7" t="s">
        <v>17</v>
      </c>
      <c r="I28" s="7"/>
      <c r="J28" s="7"/>
      <c r="K28" s="7"/>
      <c r="L28" s="7"/>
      <c r="M28" s="8" t="e">
        <f>+M23/M27</f>
        <v>#DIV/0!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/>
    </row>
    <row r="32" spans="1:13" ht="12.75">
      <c r="A32" t="s">
        <v>20</v>
      </c>
      <c r="D32" s="2"/>
      <c r="H32" t="s">
        <v>20</v>
      </c>
      <c r="M32" s="2"/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/>
      <c r="H35" t="s">
        <v>22</v>
      </c>
      <c r="M35" s="2"/>
    </row>
    <row r="36" spans="1:13" ht="12.75">
      <c r="A36" t="s">
        <v>23</v>
      </c>
      <c r="D36" s="2"/>
      <c r="H36" t="s">
        <v>23</v>
      </c>
      <c r="M36" s="2"/>
    </row>
    <row r="37" spans="1:13" ht="12.75">
      <c r="A37" t="s">
        <v>24</v>
      </c>
      <c r="D37" s="8" t="e">
        <f>+D36/D35</f>
        <v>#DIV/0!</v>
      </c>
      <c r="E37" s="7"/>
      <c r="F37" s="7"/>
      <c r="G37" s="7"/>
      <c r="H37" s="7" t="s">
        <v>24</v>
      </c>
      <c r="I37" s="7"/>
      <c r="J37" s="7"/>
      <c r="K37" s="7"/>
      <c r="L37" s="7"/>
      <c r="M37" s="8" t="e">
        <f>+M36/M35</f>
        <v>#DIV/0!</v>
      </c>
    </row>
    <row r="39" spans="1:13" ht="12.75">
      <c r="A39" t="s">
        <v>25</v>
      </c>
      <c r="D39" s="2"/>
      <c r="H39" t="s">
        <v>25</v>
      </c>
      <c r="M39" s="2"/>
    </row>
    <row r="40" spans="1:13" ht="12.75">
      <c r="A40" t="s">
        <v>26</v>
      </c>
      <c r="D40" s="2"/>
      <c r="H40" t="s">
        <v>26</v>
      </c>
      <c r="M40" s="2"/>
    </row>
    <row r="41" spans="1:13" ht="12.75">
      <c r="A41" t="s">
        <v>27</v>
      </c>
      <c r="D41" s="8" t="e">
        <f>+D40/D39</f>
        <v>#DIV/0!</v>
      </c>
      <c r="H41" t="s">
        <v>27</v>
      </c>
      <c r="M41" s="8" t="e">
        <f>+M40/M39</f>
        <v>#DIV/0!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/>
      <c r="H44" t="s">
        <v>30</v>
      </c>
      <c r="M44" s="2"/>
    </row>
    <row r="45" spans="1:13" ht="12.75">
      <c r="A45" t="s">
        <v>26</v>
      </c>
      <c r="D45" s="2"/>
      <c r="H45" t="s">
        <v>26</v>
      </c>
      <c r="M45" s="2"/>
    </row>
    <row r="46" spans="1:13" ht="12.75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/>
      <c r="H49" t="s">
        <v>31</v>
      </c>
      <c r="M49" s="2"/>
    </row>
    <row r="50" spans="1:13" ht="12.75">
      <c r="A50" t="s">
        <v>32</v>
      </c>
      <c r="D50" s="2"/>
      <c r="H50" t="s">
        <v>32</v>
      </c>
      <c r="M50" s="2"/>
    </row>
    <row r="52" spans="1:13" ht="12.75">
      <c r="A52" t="s">
        <v>33</v>
      </c>
      <c r="D52" s="2"/>
      <c r="H52" t="s">
        <v>33</v>
      </c>
      <c r="M52" s="2"/>
    </row>
    <row r="53" spans="1:13" ht="12.75">
      <c r="A53" t="s">
        <v>34</v>
      </c>
      <c r="D53" s="2"/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/>
      <c r="H58" t="s">
        <v>38</v>
      </c>
      <c r="M58" s="2"/>
    </row>
    <row r="59" spans="1:13" ht="12.75">
      <c r="A59" t="s">
        <v>39</v>
      </c>
      <c r="D59" s="2"/>
      <c r="H59" t="s">
        <v>39</v>
      </c>
      <c r="M59" s="2"/>
    </row>
    <row r="60" spans="1:13" ht="12.75">
      <c r="A60" t="s">
        <v>40</v>
      </c>
      <c r="D60" s="2"/>
      <c r="H60" t="s">
        <v>40</v>
      </c>
      <c r="M60" s="2"/>
    </row>
    <row r="61" spans="1:13" ht="12.75">
      <c r="A61" t="s">
        <v>41</v>
      </c>
      <c r="D61" s="2"/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/>
      <c r="H63" t="s">
        <v>43</v>
      </c>
      <c r="M63" s="2"/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/>
    </row>
    <row r="66" spans="1:13" ht="12.75">
      <c r="A66" t="s">
        <v>46</v>
      </c>
      <c r="D66" s="2"/>
      <c r="H66" t="s">
        <v>46</v>
      </c>
      <c r="M66" s="2"/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 t="e">
        <f>+M65/M66*100</f>
        <v>#DIV/0!</v>
      </c>
    </row>
    <row r="68" spans="1:13" ht="12.75">
      <c r="A68" t="s">
        <v>96</v>
      </c>
      <c r="D68" s="10"/>
      <c r="E68" s="8"/>
      <c r="F68" s="8"/>
      <c r="H68" t="s">
        <v>95</v>
      </c>
      <c r="M68" s="10"/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5" ht="12.75">
      <c r="A72" t="s">
        <v>110</v>
      </c>
      <c r="E72" s="12" t="e">
        <f aca="true" t="shared" si="0" ref="E72:E81">+D72/C72</f>
        <v>#DIV/0!</v>
      </c>
    </row>
    <row r="73" spans="1:5" ht="12.75">
      <c r="A73" t="s">
        <v>111</v>
      </c>
      <c r="E73" s="12" t="e">
        <f t="shared" si="0"/>
        <v>#DIV/0!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113</v>
      </c>
      <c r="E75" s="12" t="e">
        <f t="shared" si="0"/>
        <v>#DIV/0!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5" ht="12.75">
      <c r="A86" t="s">
        <v>110</v>
      </c>
      <c r="E86" s="12" t="e">
        <f aca="true" t="shared" si="1" ref="E86:E97">+D86/C86</f>
        <v>#DIV/0!</v>
      </c>
    </row>
    <row r="87" spans="1:5" ht="12.75">
      <c r="A87" t="s">
        <v>111</v>
      </c>
      <c r="E87" s="12" t="e">
        <f t="shared" si="1"/>
        <v>#DIV/0!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5" ht="12.75">
      <c r="A92" t="s">
        <v>118</v>
      </c>
      <c r="E92" s="12" t="e">
        <f t="shared" si="1"/>
        <v>#DIV/0!</v>
      </c>
    </row>
    <row r="93" spans="1:5" ht="12.75">
      <c r="A93" t="s">
        <v>119</v>
      </c>
      <c r="E93" s="12" t="e">
        <f t="shared" si="1"/>
        <v>#DIV/0!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IF(R102&lt;0,0,R102)</f>
        <v>#DIV/0!</v>
      </c>
      <c r="T102" s="6" t="e">
        <f>+(L102-3)/4</f>
        <v>#DIV/0!</v>
      </c>
      <c r="U102" s="2" t="e">
        <f>IF(T102&lt;0,0,T102)</f>
        <v>#DIV/0!</v>
      </c>
      <c r="V102" t="e">
        <f>+J102/5</f>
        <v>#DIV/0!</v>
      </c>
      <c r="W102" s="2" t="e">
        <f>IF(V102&lt;0,0,V102)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6" ht="12.75">
      <c r="A108" t="s">
        <v>125</v>
      </c>
      <c r="F108" s="12" t="e">
        <f aca="true" t="shared" si="2" ref="F108:F113">+E108/C108</f>
        <v>#DIV/0!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8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  <c r="H127" s="3" t="s">
        <v>84</v>
      </c>
    </row>
    <row r="128" spans="1:5" ht="12.75">
      <c r="A128" t="s">
        <v>131</v>
      </c>
      <c r="E128" s="12" t="e">
        <f>+D128/C128</f>
        <v>#DIV/0!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 aca="true" t="shared" si="4" ref="E136:E145">+D136/C136</f>
        <v>#DIV/0!</v>
      </c>
    </row>
    <row r="137" spans="1:5" ht="12.75">
      <c r="A137" t="s">
        <v>134</v>
      </c>
      <c r="E137" s="12" t="e">
        <f t="shared" si="4"/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5" ht="12.75">
      <c r="A142" t="s">
        <v>136</v>
      </c>
      <c r="E142" s="12" t="e">
        <f t="shared" si="4"/>
        <v>#DIV/0!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8" ht="12.75">
      <c r="A163" t="s">
        <v>97</v>
      </c>
      <c r="H163" t="s">
        <v>97</v>
      </c>
    </row>
    <row r="164" spans="1:8" ht="12.75">
      <c r="A164" t="s">
        <v>98</v>
      </c>
      <c r="H164" t="s">
        <v>98</v>
      </c>
    </row>
    <row r="165" spans="1:15" ht="12.75">
      <c r="A165" t="s">
        <v>99</v>
      </c>
      <c r="D165" t="e">
        <f>D164/D163*100</f>
        <v>#DIV/0!</v>
      </c>
      <c r="E165" s="23"/>
      <c r="H165" t="s">
        <v>99</v>
      </c>
      <c r="M165" t="e">
        <f>+M164/M163*100</f>
        <v>#DIV/0!</v>
      </c>
      <c r="O165" s="23"/>
    </row>
    <row r="181" spans="2:6" ht="12.75">
      <c r="B181">
        <v>41</v>
      </c>
      <c r="D181">
        <v>558</v>
      </c>
      <c r="F181">
        <v>13.6</v>
      </c>
    </row>
    <row r="182" spans="2:6" ht="12.75">
      <c r="B182">
        <v>9</v>
      </c>
      <c r="D182">
        <v>97</v>
      </c>
      <c r="F182">
        <v>10.8</v>
      </c>
    </row>
    <row r="183" spans="2:6" ht="12.75">
      <c r="B183">
        <v>11</v>
      </c>
      <c r="D183">
        <v>114</v>
      </c>
      <c r="F183">
        <v>10.4</v>
      </c>
    </row>
    <row r="184" spans="2:6" ht="12.75">
      <c r="B184">
        <v>1</v>
      </c>
      <c r="D184">
        <v>9</v>
      </c>
      <c r="F184">
        <v>9</v>
      </c>
    </row>
    <row r="185" spans="2:6" ht="12.75">
      <c r="B185">
        <v>1</v>
      </c>
      <c r="D185">
        <v>20</v>
      </c>
      <c r="F185">
        <v>20</v>
      </c>
    </row>
    <row r="186" spans="2:6" ht="12.75">
      <c r="B186">
        <v>25</v>
      </c>
      <c r="D186">
        <v>384</v>
      </c>
      <c r="F186">
        <v>15.4</v>
      </c>
    </row>
    <row r="187" spans="2:6" ht="12.75">
      <c r="B187">
        <v>39</v>
      </c>
      <c r="D187">
        <v>726</v>
      </c>
      <c r="F187">
        <v>18.6</v>
      </c>
    </row>
    <row r="188" spans="2:6" ht="12.75">
      <c r="B188">
        <v>20</v>
      </c>
      <c r="D188">
        <v>274</v>
      </c>
      <c r="F188">
        <v>13.7</v>
      </c>
    </row>
    <row r="189" spans="2:6" ht="12.75">
      <c r="B189">
        <v>20</v>
      </c>
      <c r="D189">
        <v>346</v>
      </c>
      <c r="F189">
        <v>17.3</v>
      </c>
    </row>
    <row r="190" spans="2:6" ht="12.75">
      <c r="B190">
        <v>9</v>
      </c>
      <c r="D190">
        <v>161</v>
      </c>
      <c r="F190">
        <v>17.9</v>
      </c>
    </row>
    <row r="191" spans="2:6" ht="12.75">
      <c r="B191">
        <v>6</v>
      </c>
      <c r="D191">
        <v>59</v>
      </c>
      <c r="F191">
        <v>9.8</v>
      </c>
    </row>
    <row r="192" spans="2:6" ht="12.75">
      <c r="B192">
        <v>1</v>
      </c>
      <c r="D192">
        <v>15</v>
      </c>
      <c r="F192">
        <v>15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Y192"/>
  <sheetViews>
    <sheetView workbookViewId="0" topLeftCell="A58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/>
      <c r="H6" s="1" t="s">
        <v>29</v>
      </c>
      <c r="M6" s="2"/>
    </row>
    <row r="8" spans="1:13" ht="12.75">
      <c r="A8" t="s">
        <v>1</v>
      </c>
      <c r="D8" s="2"/>
      <c r="H8" t="s">
        <v>1</v>
      </c>
      <c r="M8" s="2"/>
    </row>
    <row r="9" spans="1:13" ht="12.75">
      <c r="A9" t="s">
        <v>2</v>
      </c>
      <c r="D9" s="2"/>
      <c r="H9" t="s">
        <v>2</v>
      </c>
      <c r="M9" s="2"/>
    </row>
    <row r="10" spans="1:13" ht="12.75">
      <c r="A10" s="1" t="s">
        <v>3</v>
      </c>
      <c r="D10" s="8" t="e">
        <f>+D9/D8</f>
        <v>#DIV/0!</v>
      </c>
      <c r="H10" s="1" t="s">
        <v>3</v>
      </c>
      <c r="M10" s="8" t="e">
        <f>+M9/M8</f>
        <v>#DIV/0!</v>
      </c>
    </row>
    <row r="12" spans="1:13" ht="12.75">
      <c r="A12" t="s">
        <v>4</v>
      </c>
      <c r="D12" s="2"/>
      <c r="H12" t="s">
        <v>4</v>
      </c>
      <c r="M12" s="2"/>
    </row>
    <row r="13" spans="1:13" ht="12.75">
      <c r="A13" t="s">
        <v>5</v>
      </c>
      <c r="D13" s="2"/>
      <c r="H13" t="s">
        <v>5</v>
      </c>
      <c r="M13" s="2"/>
    </row>
    <row r="14" spans="1:13" ht="12.75">
      <c r="A14" t="s">
        <v>6</v>
      </c>
      <c r="D14" s="8" t="e">
        <f>+D13/D12*100</f>
        <v>#DIV/0!</v>
      </c>
      <c r="H14" t="s">
        <v>6</v>
      </c>
      <c r="M14" s="8" t="e">
        <f>+M13/M12*100</f>
        <v>#DIV/0!</v>
      </c>
    </row>
    <row r="15" spans="1:13" ht="12.75">
      <c r="A15" t="s">
        <v>7</v>
      </c>
      <c r="D15" s="2"/>
      <c r="H15" t="s">
        <v>7</v>
      </c>
      <c r="M15" s="2"/>
    </row>
    <row r="16" spans="1:13" ht="12.75">
      <c r="A16" t="s">
        <v>8</v>
      </c>
      <c r="D16" s="2"/>
      <c r="H16" t="s">
        <v>8</v>
      </c>
      <c r="M16" s="2"/>
    </row>
    <row r="17" spans="1:13" ht="12.75">
      <c r="A17" t="s">
        <v>9</v>
      </c>
      <c r="D17" s="2"/>
      <c r="H17" t="s">
        <v>9</v>
      </c>
      <c r="M17" s="2"/>
    </row>
    <row r="18" spans="1:13" ht="12.75">
      <c r="A18" t="s">
        <v>10</v>
      </c>
      <c r="D18">
        <f>+D15-D17</f>
        <v>0</v>
      </c>
      <c r="H18" t="s">
        <v>10</v>
      </c>
      <c r="M18">
        <f>+M15-M17</f>
        <v>0</v>
      </c>
    </row>
    <row r="19" spans="1:13" ht="12.75">
      <c r="A19" t="s">
        <v>11</v>
      </c>
      <c r="D19" s="7" t="e">
        <f>+D18/D12</f>
        <v>#DIV/0!</v>
      </c>
      <c r="H19" t="s">
        <v>11</v>
      </c>
      <c r="M19" s="7" t="e">
        <f>+M18/M12</f>
        <v>#DIV/0!</v>
      </c>
    </row>
    <row r="20" spans="1:13" ht="12.75">
      <c r="A20" t="s">
        <v>12</v>
      </c>
      <c r="D20" s="7" t="e">
        <f>+D15/D13</f>
        <v>#DIV/0!</v>
      </c>
      <c r="H20" t="s">
        <v>12</v>
      </c>
      <c r="M20" s="7" t="e">
        <f>+M15/M13</f>
        <v>#DIV/0!</v>
      </c>
    </row>
    <row r="22" spans="1:8" ht="12.75">
      <c r="A22" t="s">
        <v>13</v>
      </c>
      <c r="H22" t="s">
        <v>13</v>
      </c>
    </row>
    <row r="23" spans="1:13" ht="12.75">
      <c r="A23" t="s">
        <v>14</v>
      </c>
      <c r="D23">
        <f>+D18+D9</f>
        <v>0</v>
      </c>
      <c r="H23" t="s">
        <v>14</v>
      </c>
      <c r="M23">
        <f>+M18+M9</f>
        <v>0</v>
      </c>
    </row>
    <row r="24" spans="1:13" ht="12.75">
      <c r="A24" t="s">
        <v>15</v>
      </c>
      <c r="D24" s="7" t="e">
        <f>+D9/D23*100</f>
        <v>#DIV/0!</v>
      </c>
      <c r="H24" t="s">
        <v>15</v>
      </c>
      <c r="M24" s="7" t="e">
        <f>+M9/M23*100</f>
        <v>#DIV/0!</v>
      </c>
    </row>
    <row r="25" spans="1:13" ht="12.75">
      <c r="A25" s="1" t="s">
        <v>90</v>
      </c>
      <c r="D25" s="7" t="e">
        <f>+D18/D23*100</f>
        <v>#DIV/0!</v>
      </c>
      <c r="H25" s="1" t="s">
        <v>90</v>
      </c>
      <c r="M25" s="7" t="e">
        <f>+M18/M23*100</f>
        <v>#DIV/0!</v>
      </c>
    </row>
    <row r="27" spans="1:13" ht="12.75">
      <c r="A27" t="s">
        <v>16</v>
      </c>
      <c r="D27">
        <f>+D8+D12+D16</f>
        <v>0</v>
      </c>
      <c r="H27" t="s">
        <v>16</v>
      </c>
      <c r="M27">
        <f>+M8+M12+M16</f>
        <v>0</v>
      </c>
    </row>
    <row r="28" spans="1:13" ht="12.75">
      <c r="A28" t="s">
        <v>17</v>
      </c>
      <c r="D28" s="8" t="e">
        <f>+D23/D27</f>
        <v>#DIV/0!</v>
      </c>
      <c r="E28" s="7"/>
      <c r="F28" s="7"/>
      <c r="G28" s="7"/>
      <c r="H28" s="7" t="s">
        <v>17</v>
      </c>
      <c r="I28" s="7"/>
      <c r="J28" s="7"/>
      <c r="K28" s="7"/>
      <c r="L28" s="7"/>
      <c r="M28" s="8" t="e">
        <f>+M23/M27</f>
        <v>#DIV/0!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/>
    </row>
    <row r="32" spans="1:13" ht="12.75">
      <c r="A32" t="s">
        <v>20</v>
      </c>
      <c r="D32" s="2"/>
      <c r="H32" t="s">
        <v>20</v>
      </c>
      <c r="M32" s="2"/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/>
      <c r="H35" t="s">
        <v>22</v>
      </c>
      <c r="M35" s="2"/>
    </row>
    <row r="36" spans="1:13" ht="12.75">
      <c r="A36" t="s">
        <v>23</v>
      </c>
      <c r="D36" s="2"/>
      <c r="H36" t="s">
        <v>23</v>
      </c>
      <c r="M36" s="2"/>
    </row>
    <row r="37" spans="1:13" ht="12.75">
      <c r="A37" t="s">
        <v>24</v>
      </c>
      <c r="D37" s="8" t="e">
        <f>+D36/D35</f>
        <v>#DIV/0!</v>
      </c>
      <c r="E37" s="7"/>
      <c r="F37" s="7"/>
      <c r="G37" s="7"/>
      <c r="H37" s="7" t="s">
        <v>24</v>
      </c>
      <c r="I37" s="7"/>
      <c r="J37" s="7"/>
      <c r="K37" s="7"/>
      <c r="L37" s="7"/>
      <c r="M37" s="8" t="e">
        <f>+M36/M35</f>
        <v>#DIV/0!</v>
      </c>
    </row>
    <row r="39" spans="1:13" ht="12.75">
      <c r="A39" t="s">
        <v>25</v>
      </c>
      <c r="D39" s="2"/>
      <c r="H39" t="s">
        <v>25</v>
      </c>
      <c r="M39" s="2"/>
    </row>
    <row r="40" spans="1:13" ht="12.75">
      <c r="A40" t="s">
        <v>26</v>
      </c>
      <c r="D40" s="2"/>
      <c r="H40" t="s">
        <v>26</v>
      </c>
      <c r="M40" s="2"/>
    </row>
    <row r="41" spans="1:13" ht="12.75">
      <c r="A41" t="s">
        <v>27</v>
      </c>
      <c r="D41" s="8" t="e">
        <f>+D40/D39</f>
        <v>#DIV/0!</v>
      </c>
      <c r="H41" t="s">
        <v>27</v>
      </c>
      <c r="M41" s="8" t="e">
        <f>+M40/M39</f>
        <v>#DIV/0!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/>
      <c r="H44" t="s">
        <v>30</v>
      </c>
      <c r="M44" s="2"/>
    </row>
    <row r="45" spans="1:13" ht="12.75">
      <c r="A45" t="s">
        <v>26</v>
      </c>
      <c r="D45" s="2"/>
      <c r="H45" t="s">
        <v>26</v>
      </c>
      <c r="M45" s="2"/>
    </row>
    <row r="46" spans="1:13" ht="12.75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/>
      <c r="H49" t="s">
        <v>31</v>
      </c>
      <c r="M49" s="2"/>
    </row>
    <row r="50" spans="1:13" ht="12.75">
      <c r="A50" t="s">
        <v>32</v>
      </c>
      <c r="D50" s="2"/>
      <c r="H50" t="s">
        <v>32</v>
      </c>
      <c r="M50" s="2"/>
    </row>
    <row r="52" spans="1:13" ht="12.75">
      <c r="A52" t="s">
        <v>33</v>
      </c>
      <c r="D52" s="2"/>
      <c r="H52" t="s">
        <v>33</v>
      </c>
      <c r="M52" s="2"/>
    </row>
    <row r="53" spans="1:13" ht="12.75">
      <c r="A53" t="s">
        <v>34</v>
      </c>
      <c r="D53" s="2"/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/>
      <c r="H58" t="s">
        <v>38</v>
      </c>
      <c r="M58" s="2"/>
    </row>
    <row r="59" spans="1:13" ht="12.75">
      <c r="A59" t="s">
        <v>39</v>
      </c>
      <c r="D59" s="2"/>
      <c r="H59" t="s">
        <v>39</v>
      </c>
      <c r="M59" s="2"/>
    </row>
    <row r="60" spans="1:13" ht="12.75">
      <c r="A60" t="s">
        <v>40</v>
      </c>
      <c r="D60" s="2"/>
      <c r="H60" t="s">
        <v>40</v>
      </c>
      <c r="M60" s="2"/>
    </row>
    <row r="61" spans="1:13" ht="12.75">
      <c r="A61" t="s">
        <v>41</v>
      </c>
      <c r="D61" s="2"/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/>
      <c r="H63" t="s">
        <v>43</v>
      </c>
      <c r="M63" s="2"/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/>
    </row>
    <row r="66" spans="1:13" ht="12.75">
      <c r="A66" t="s">
        <v>46</v>
      </c>
      <c r="D66" s="2"/>
      <c r="H66" t="s">
        <v>46</v>
      </c>
      <c r="M66" s="2"/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 t="e">
        <f>+M65/M66*100</f>
        <v>#DIV/0!</v>
      </c>
    </row>
    <row r="68" spans="1:13" ht="12.75">
      <c r="A68" t="s">
        <v>96</v>
      </c>
      <c r="D68" s="10"/>
      <c r="E68" s="8"/>
      <c r="F68" s="8"/>
      <c r="H68" t="s">
        <v>95</v>
      </c>
      <c r="M68" s="10"/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5" ht="12.75">
      <c r="A72" t="s">
        <v>110</v>
      </c>
      <c r="E72" s="12" t="e">
        <f aca="true" t="shared" si="0" ref="E72:E81">+D72/C72</f>
        <v>#DIV/0!</v>
      </c>
    </row>
    <row r="73" spans="1:5" ht="12.75">
      <c r="A73" t="s">
        <v>111</v>
      </c>
      <c r="E73" s="12" t="e">
        <f t="shared" si="0"/>
        <v>#DIV/0!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113</v>
      </c>
      <c r="E75" s="12" t="e">
        <f t="shared" si="0"/>
        <v>#DIV/0!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5" ht="12.75">
      <c r="A86" t="s">
        <v>110</v>
      </c>
      <c r="E86" s="12" t="e">
        <f aca="true" t="shared" si="1" ref="E86:E97">+D86/C86</f>
        <v>#DIV/0!</v>
      </c>
    </row>
    <row r="87" spans="1:5" ht="12.75">
      <c r="A87" t="s">
        <v>111</v>
      </c>
      <c r="E87" s="12" t="e">
        <f t="shared" si="1"/>
        <v>#DIV/0!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5" ht="12.75">
      <c r="A91" t="s">
        <v>117</v>
      </c>
      <c r="E91" s="12" t="e">
        <f t="shared" si="1"/>
        <v>#DIV/0!</v>
      </c>
    </row>
    <row r="92" spans="1:5" ht="12.75">
      <c r="A92" t="s">
        <v>118</v>
      </c>
      <c r="E92" s="12" t="e">
        <f t="shared" si="1"/>
        <v>#DIV/0!</v>
      </c>
    </row>
    <row r="93" spans="1:5" ht="12.75">
      <c r="A93" t="s">
        <v>119</v>
      </c>
      <c r="E93" s="12" t="e">
        <f t="shared" si="1"/>
        <v>#DIV/0!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IF(R102&lt;0,0,R102)</f>
        <v>#DIV/0!</v>
      </c>
      <c r="T102" s="6" t="e">
        <f>+(L102-3)/4</f>
        <v>#DIV/0!</v>
      </c>
      <c r="U102" s="2" t="e">
        <f>IF(T102&lt;0,0,T102)</f>
        <v>#DIV/0!</v>
      </c>
      <c r="V102" t="e">
        <f>+J102/5</f>
        <v>#DIV/0!</v>
      </c>
      <c r="W102" s="2" t="e">
        <f>IF(V102&lt;0,0,V102)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6" ht="12.75">
      <c r="A108" t="s">
        <v>125</v>
      </c>
      <c r="F108" s="12" t="e">
        <f aca="true" t="shared" si="2" ref="F108:F113">+E108/C108</f>
        <v>#DIV/0!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5" ht="12.75">
      <c r="A128" t="s">
        <v>131</v>
      </c>
      <c r="E128" s="12" t="e">
        <f>+D128/C128</f>
        <v>#DIV/0!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 aca="true" t="shared" si="4" ref="E136:E145">+D136/C136</f>
        <v>#DIV/0!</v>
      </c>
    </row>
    <row r="137" spans="1:5" ht="12.75">
      <c r="A137" t="s">
        <v>134</v>
      </c>
      <c r="E137" s="12" t="e">
        <f t="shared" si="4"/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5" ht="12.75">
      <c r="A142" t="s">
        <v>136</v>
      </c>
      <c r="E142" s="12" t="e">
        <f t="shared" si="4"/>
        <v>#DIV/0!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8" ht="12.75">
      <c r="A163" t="s">
        <v>97</v>
      </c>
      <c r="H163" t="s">
        <v>97</v>
      </c>
    </row>
    <row r="164" spans="1:8" ht="12.75">
      <c r="A164" t="s">
        <v>98</v>
      </c>
      <c r="H164" t="s">
        <v>98</v>
      </c>
    </row>
    <row r="165" spans="1:15" ht="12.75">
      <c r="A165" t="s">
        <v>99</v>
      </c>
      <c r="D165" t="e">
        <f>D164/D163*100</f>
        <v>#DIV/0!</v>
      </c>
      <c r="E165" s="23"/>
      <c r="H165" t="s">
        <v>99</v>
      </c>
      <c r="M165" t="e">
        <f>+M164/M163*100</f>
        <v>#DIV/0!</v>
      </c>
      <c r="O165" s="23"/>
    </row>
    <row r="181" spans="2:6" ht="12.75">
      <c r="B181">
        <v>41</v>
      </c>
      <c r="D181">
        <v>558</v>
      </c>
      <c r="F181">
        <v>13.6</v>
      </c>
    </row>
    <row r="182" spans="2:6" ht="12.75">
      <c r="B182">
        <v>9</v>
      </c>
      <c r="D182">
        <v>97</v>
      </c>
      <c r="F182">
        <v>10.8</v>
      </c>
    </row>
    <row r="183" spans="2:6" ht="12.75">
      <c r="B183">
        <v>11</v>
      </c>
      <c r="D183">
        <v>114</v>
      </c>
      <c r="F183">
        <v>10.4</v>
      </c>
    </row>
    <row r="184" spans="2:6" ht="12.75">
      <c r="B184">
        <v>1</v>
      </c>
      <c r="D184">
        <v>9</v>
      </c>
      <c r="F184">
        <v>9</v>
      </c>
    </row>
    <row r="185" spans="2:6" ht="12.75">
      <c r="B185">
        <v>1</v>
      </c>
      <c r="D185">
        <v>20</v>
      </c>
      <c r="F185">
        <v>20</v>
      </c>
    </row>
    <row r="186" spans="2:6" ht="12.75">
      <c r="B186">
        <v>25</v>
      </c>
      <c r="D186">
        <v>384</v>
      </c>
      <c r="F186">
        <v>15.4</v>
      </c>
    </row>
    <row r="187" spans="2:6" ht="12.75">
      <c r="B187">
        <v>39</v>
      </c>
      <c r="D187">
        <v>726</v>
      </c>
      <c r="F187">
        <v>18.6</v>
      </c>
    </row>
    <row r="188" spans="2:6" ht="12.75">
      <c r="B188">
        <v>20</v>
      </c>
      <c r="D188">
        <v>274</v>
      </c>
      <c r="F188">
        <v>13.7</v>
      </c>
    </row>
    <row r="189" spans="2:6" ht="12.75">
      <c r="B189">
        <v>20</v>
      </c>
      <c r="D189">
        <v>346</v>
      </c>
      <c r="F189">
        <v>17.3</v>
      </c>
    </row>
    <row r="190" spans="2:6" ht="12.75">
      <c r="B190">
        <v>9</v>
      </c>
      <c r="D190">
        <v>161</v>
      </c>
      <c r="F190">
        <v>17.9</v>
      </c>
    </row>
    <row r="191" spans="2:6" ht="12.75">
      <c r="B191">
        <v>6</v>
      </c>
      <c r="D191">
        <v>59</v>
      </c>
      <c r="F191">
        <v>9.8</v>
      </c>
    </row>
    <row r="192" spans="2:6" ht="12.75">
      <c r="B192">
        <v>1</v>
      </c>
      <c r="D192">
        <v>15</v>
      </c>
      <c r="F192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G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23</v>
      </c>
      <c r="H6" s="1" t="s">
        <v>29</v>
      </c>
      <c r="M6" s="2">
        <v>17</v>
      </c>
    </row>
    <row r="8" spans="1:23" ht="12.75">
      <c r="A8" t="s">
        <v>1</v>
      </c>
      <c r="D8" s="2">
        <v>30</v>
      </c>
      <c r="H8" t="s">
        <v>1</v>
      </c>
      <c r="M8" s="2">
        <v>22</v>
      </c>
      <c r="V8">
        <f>+D8</f>
        <v>30</v>
      </c>
      <c r="W8">
        <f>+M8</f>
        <v>22</v>
      </c>
    </row>
    <row r="9" spans="1:23" ht="12.75">
      <c r="A9" t="s">
        <v>2</v>
      </c>
      <c r="D9" s="2">
        <v>190</v>
      </c>
      <c r="H9" t="s">
        <v>2</v>
      </c>
      <c r="M9" s="2">
        <v>96</v>
      </c>
      <c r="P9" s="13"/>
      <c r="U9" s="13"/>
      <c r="V9">
        <f>+D13</f>
        <v>16</v>
      </c>
      <c r="W9">
        <f>+M13</f>
        <v>17</v>
      </c>
    </row>
    <row r="10" spans="1:23" ht="12.75">
      <c r="A10" s="1" t="s">
        <v>3</v>
      </c>
      <c r="D10" s="8">
        <f>+D9/D8</f>
        <v>6.333333333333333</v>
      </c>
      <c r="H10" s="1" t="s">
        <v>3</v>
      </c>
      <c r="M10" s="8">
        <f>+M9/M8</f>
        <v>4.363636363636363</v>
      </c>
      <c r="V10">
        <f>+(D12-D13)/2</f>
        <v>9.5</v>
      </c>
      <c r="W10">
        <f>+(M12-M13)/2</f>
        <v>9.5</v>
      </c>
    </row>
    <row r="11" spans="22:23" ht="12.75">
      <c r="V11">
        <f>+D35/2</f>
        <v>3</v>
      </c>
      <c r="W11">
        <f>+M35/2</f>
        <v>1.5</v>
      </c>
    </row>
    <row r="12" spans="1:23" ht="12.75">
      <c r="A12" t="s">
        <v>4</v>
      </c>
      <c r="D12" s="2">
        <v>35</v>
      </c>
      <c r="H12" t="s">
        <v>4</v>
      </c>
      <c r="M12" s="2">
        <v>36</v>
      </c>
      <c r="V12">
        <f>+D39/2</f>
        <v>0.5</v>
      </c>
      <c r="W12">
        <f>+M39/2</f>
        <v>2</v>
      </c>
    </row>
    <row r="13" spans="1:23" ht="12.75">
      <c r="A13" t="s">
        <v>5</v>
      </c>
      <c r="D13" s="2">
        <v>16</v>
      </c>
      <c r="H13" t="s">
        <v>5</v>
      </c>
      <c r="M13" s="2">
        <v>17</v>
      </c>
      <c r="V13">
        <f>+D44/2</f>
        <v>1.5</v>
      </c>
      <c r="W13">
        <f>+M44/2</f>
        <v>2.5</v>
      </c>
    </row>
    <row r="14" spans="1:13" ht="12.75">
      <c r="A14" t="s">
        <v>6</v>
      </c>
      <c r="D14" s="8">
        <f>+D13/D12*100</f>
        <v>45.714285714285715</v>
      </c>
      <c r="H14" t="s">
        <v>6</v>
      </c>
      <c r="M14" s="8">
        <f>+M13/M12*100</f>
        <v>47.22222222222222</v>
      </c>
    </row>
    <row r="15" spans="1:24" ht="12.75">
      <c r="A15" t="s">
        <v>7</v>
      </c>
      <c r="D15" s="2">
        <v>244</v>
      </c>
      <c r="H15" t="s">
        <v>7</v>
      </c>
      <c r="M15" s="2">
        <v>326</v>
      </c>
      <c r="V15">
        <f>SUM(V8:V13)</f>
        <v>60.5</v>
      </c>
      <c r="W15">
        <f>SUM(W8:W13)</f>
        <v>54.5</v>
      </c>
      <c r="X15">
        <f>+W15+V15</f>
        <v>115</v>
      </c>
    </row>
    <row r="16" spans="1:23" ht="12.75">
      <c r="A16" t="s">
        <v>8</v>
      </c>
      <c r="D16" s="2">
        <v>1</v>
      </c>
      <c r="H16" t="s">
        <v>8</v>
      </c>
      <c r="M16" s="2">
        <v>2</v>
      </c>
      <c r="V16">
        <f>+V15/X15</f>
        <v>0.5260869565217391</v>
      </c>
      <c r="W16">
        <f>+W15/X15</f>
        <v>0.47391304347826085</v>
      </c>
    </row>
    <row r="17" spans="1:23" ht="12.75">
      <c r="A17" t="s">
        <v>9</v>
      </c>
      <c r="D17" s="2">
        <v>4</v>
      </c>
      <c r="H17" t="s">
        <v>9</v>
      </c>
      <c r="M17" s="2">
        <v>10</v>
      </c>
      <c r="V17">
        <f>+V16*60</f>
        <v>31.565217391304344</v>
      </c>
      <c r="W17">
        <f>+W16*60</f>
        <v>28.434782608695652</v>
      </c>
    </row>
    <row r="18" spans="1:23" ht="12.75">
      <c r="A18" t="s">
        <v>10</v>
      </c>
      <c r="D18">
        <f>+D15-D17</f>
        <v>240</v>
      </c>
      <c r="H18" t="s">
        <v>10</v>
      </c>
      <c r="M18">
        <f>+M15-M17</f>
        <v>316</v>
      </c>
      <c r="V18">
        <f>+V17-INT(V17)</f>
        <v>0.5652173913043441</v>
      </c>
      <c r="W18">
        <f>+W17-INT(W17)</f>
        <v>0.43478260869565233</v>
      </c>
    </row>
    <row r="19" spans="1:23" ht="12.75">
      <c r="A19" t="s">
        <v>11</v>
      </c>
      <c r="D19" s="7">
        <f>+D18/D12</f>
        <v>6.857142857142857</v>
      </c>
      <c r="H19" t="s">
        <v>11</v>
      </c>
      <c r="M19" s="7">
        <f>+M18/M12</f>
        <v>8.777777777777779</v>
      </c>
      <c r="V19">
        <f>+V18*60</f>
        <v>33.91304347826065</v>
      </c>
      <c r="W19">
        <f>+W18*60</f>
        <v>26.08695652173914</v>
      </c>
    </row>
    <row r="20" spans="1:23" ht="12.75">
      <c r="A20" t="s">
        <v>12</v>
      </c>
      <c r="D20" s="7">
        <f>+D15/D13</f>
        <v>15.25</v>
      </c>
      <c r="H20" t="s">
        <v>12</v>
      </c>
      <c r="M20" s="7">
        <f>+M15/M13</f>
        <v>19.176470588235293</v>
      </c>
      <c r="Q20" s="11"/>
      <c r="U20">
        <v>0</v>
      </c>
      <c r="V20" s="11">
        <f>ROUND(V19,0)</f>
        <v>34</v>
      </c>
      <c r="W20">
        <f>ROUND(W19,0)</f>
        <v>26</v>
      </c>
    </row>
    <row r="21" spans="22:23" ht="12.75">
      <c r="V21">
        <f>INT(V17)</f>
        <v>31</v>
      </c>
      <c r="W21">
        <f>INT(W17)</f>
        <v>28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430</v>
      </c>
      <c r="H23" t="s">
        <v>14</v>
      </c>
      <c r="M23">
        <f>+M18+M9</f>
        <v>412</v>
      </c>
      <c r="Q23" s="14"/>
      <c r="R23" s="9"/>
      <c r="V23" s="14" t="str">
        <f>+V21&amp;V22&amp;V20</f>
        <v>31:34</v>
      </c>
      <c r="W23" s="9" t="str">
        <f>+W21&amp;W22&amp;W20</f>
        <v>28:26</v>
      </c>
    </row>
    <row r="24" spans="1:23" ht="12.75">
      <c r="A24" t="s">
        <v>15</v>
      </c>
      <c r="D24" s="7">
        <f>+D9/D23*100</f>
        <v>44.18604651162791</v>
      </c>
      <c r="H24" t="s">
        <v>15</v>
      </c>
      <c r="M24" s="7">
        <f>+M9/M23*100</f>
        <v>23.300970873786408</v>
      </c>
      <c r="Q24" s="9"/>
      <c r="R24" s="9"/>
      <c r="V24" s="9" t="str">
        <f>IF(V20&lt;10,+V21&amp;V22&amp;$U$20&amp;V20,+V21&amp;V22&amp;V20)</f>
        <v>31:34</v>
      </c>
      <c r="W24" s="9" t="str">
        <f>IF(W20&lt;10,+W21&amp;W22&amp;$U$20&amp;W20,+W21&amp;W22&amp;W20)</f>
        <v>28:26</v>
      </c>
    </row>
    <row r="25" spans="1:16" ht="12.75">
      <c r="A25" s="1" t="s">
        <v>90</v>
      </c>
      <c r="D25" s="7">
        <f>+D18/D23*100</f>
        <v>55.81395348837209</v>
      </c>
      <c r="H25" s="1" t="s">
        <v>90</v>
      </c>
      <c r="M25" s="7">
        <f>+M18/M23*100</f>
        <v>76.69902912621359</v>
      </c>
      <c r="P25" s="13"/>
    </row>
    <row r="27" spans="1:13" ht="12.75">
      <c r="A27" t="s">
        <v>16</v>
      </c>
      <c r="D27">
        <f>+D8+D12+D16</f>
        <v>66</v>
      </c>
      <c r="H27" t="s">
        <v>16</v>
      </c>
      <c r="M27">
        <f>M8+M12+M16</f>
        <v>60</v>
      </c>
    </row>
    <row r="28" spans="1:13" ht="12.75">
      <c r="A28" t="s">
        <v>17</v>
      </c>
      <c r="D28" s="8">
        <f>+D23/D27</f>
        <v>6.515151515151516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6.866666666666666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5</v>
      </c>
    </row>
    <row r="32" spans="1:13" ht="12.75">
      <c r="A32" t="s">
        <v>20</v>
      </c>
      <c r="D32" s="2">
        <v>13</v>
      </c>
      <c r="H32" t="s">
        <v>20</v>
      </c>
      <c r="M32" s="2">
        <v>12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6</v>
      </c>
      <c r="H35" t="s">
        <v>22</v>
      </c>
      <c r="M35" s="2">
        <v>3</v>
      </c>
    </row>
    <row r="36" spans="1:13" ht="12.75">
      <c r="A36" t="s">
        <v>23</v>
      </c>
      <c r="D36" s="2">
        <v>224</v>
      </c>
      <c r="H36" t="s">
        <v>23</v>
      </c>
      <c r="M36" s="2">
        <v>134</v>
      </c>
    </row>
    <row r="37" spans="1:13" ht="12.75">
      <c r="A37" t="s">
        <v>24</v>
      </c>
      <c r="D37" s="8">
        <f>+D36/D35</f>
        <v>37.333333333333336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44.666666666666664</v>
      </c>
    </row>
    <row r="39" spans="1:13" ht="12.75">
      <c r="A39" t="s">
        <v>25</v>
      </c>
      <c r="D39" s="2">
        <v>1</v>
      </c>
      <c r="H39" t="s">
        <v>25</v>
      </c>
      <c r="M39" s="2">
        <v>4</v>
      </c>
    </row>
    <row r="40" spans="1:13" ht="12.75">
      <c r="A40" t="s">
        <v>26</v>
      </c>
      <c r="D40" s="2">
        <v>2</v>
      </c>
      <c r="H40" t="s">
        <v>26</v>
      </c>
      <c r="M40" s="2">
        <v>29</v>
      </c>
    </row>
    <row r="41" spans="1:13" ht="12.75">
      <c r="A41" t="s">
        <v>27</v>
      </c>
      <c r="D41" s="8">
        <f>+D40/D39</f>
        <v>2</v>
      </c>
      <c r="H41" t="s">
        <v>27</v>
      </c>
      <c r="M41" s="8">
        <f>+M40/M39</f>
        <v>7.25</v>
      </c>
    </row>
    <row r="42" spans="1:13" ht="12.75">
      <c r="A42" t="s">
        <v>28</v>
      </c>
      <c r="D42" s="2">
        <v>0</v>
      </c>
      <c r="H42" t="s">
        <v>28</v>
      </c>
      <c r="M42" s="2"/>
    </row>
    <row r="44" spans="1:13" ht="12.75">
      <c r="A44" t="s">
        <v>30</v>
      </c>
      <c r="D44" s="2">
        <v>3</v>
      </c>
      <c r="H44" t="s">
        <v>30</v>
      </c>
      <c r="M44" s="2">
        <v>5</v>
      </c>
    </row>
    <row r="45" spans="1:13" ht="12.75">
      <c r="A45" t="s">
        <v>26</v>
      </c>
      <c r="D45" s="2">
        <v>62</v>
      </c>
      <c r="H45" t="s">
        <v>26</v>
      </c>
      <c r="M45" s="2">
        <v>125</v>
      </c>
    </row>
    <row r="46" spans="1:13" ht="12.75">
      <c r="A46" t="s">
        <v>27</v>
      </c>
      <c r="D46" s="8">
        <f>+D45/D44</f>
        <v>20.666666666666668</v>
      </c>
      <c r="H46" t="s">
        <v>27</v>
      </c>
      <c r="M46" s="8">
        <f>+M45/M44</f>
        <v>25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8</v>
      </c>
      <c r="H49" t="s">
        <v>31</v>
      </c>
      <c r="M49" s="2">
        <v>4</v>
      </c>
    </row>
    <row r="50" spans="1:13" ht="12.75">
      <c r="A50" t="s">
        <v>32</v>
      </c>
      <c r="D50" s="2">
        <v>59</v>
      </c>
      <c r="H50" t="s">
        <v>32</v>
      </c>
      <c r="M50" s="2">
        <v>20</v>
      </c>
    </row>
    <row r="52" spans="1:13" ht="12.75">
      <c r="A52" t="s">
        <v>33</v>
      </c>
      <c r="D52" s="2">
        <v>4</v>
      </c>
      <c r="H52" t="s">
        <v>33</v>
      </c>
      <c r="M52" s="2">
        <v>3</v>
      </c>
    </row>
    <row r="53" spans="1:13" ht="12.75">
      <c r="A53" t="s">
        <v>34</v>
      </c>
      <c r="D53" s="2">
        <v>3</v>
      </c>
      <c r="H53" t="s">
        <v>34</v>
      </c>
      <c r="M53" s="2">
        <v>3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1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27</v>
      </c>
      <c r="H58" t="s">
        <v>38</v>
      </c>
      <c r="M58" s="2">
        <v>27</v>
      </c>
    </row>
    <row r="59" spans="1:13" ht="12.75">
      <c r="A59" t="s">
        <v>39</v>
      </c>
      <c r="D59" s="2">
        <v>4</v>
      </c>
      <c r="H59" t="s">
        <v>39</v>
      </c>
      <c r="M59" s="2">
        <v>4</v>
      </c>
    </row>
    <row r="60" spans="1:13" ht="12.75">
      <c r="A60" t="s">
        <v>40</v>
      </c>
      <c r="D60" s="2">
        <v>3</v>
      </c>
      <c r="H60" t="s">
        <v>40</v>
      </c>
      <c r="M60" s="2"/>
    </row>
    <row r="61" spans="1:13" ht="12.75">
      <c r="A61" t="s">
        <v>41</v>
      </c>
      <c r="D61" s="2">
        <v>1</v>
      </c>
      <c r="H61" t="s">
        <v>41</v>
      </c>
      <c r="M61" s="2">
        <v>4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3</v>
      </c>
      <c r="H63" t="s">
        <v>43</v>
      </c>
      <c r="M63" s="2">
        <v>3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/>
    </row>
    <row r="66" spans="1:13" ht="12.75">
      <c r="A66" t="s">
        <v>46</v>
      </c>
      <c r="D66" s="2"/>
      <c r="H66" t="s">
        <v>46</v>
      </c>
      <c r="M66" s="2">
        <v>1</v>
      </c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0</v>
      </c>
    </row>
    <row r="68" spans="1:13" ht="12.75">
      <c r="A68" t="s">
        <v>93</v>
      </c>
      <c r="D68" s="10" t="str">
        <f>IF(V20&lt;10,V24,V23)</f>
        <v>31:34</v>
      </c>
      <c r="E68" s="8"/>
      <c r="F68" s="8"/>
      <c r="H68" t="s">
        <v>93</v>
      </c>
      <c r="M68" s="10" t="str">
        <f>IF(W20&lt;10,W24,W23)</f>
        <v>28:26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2" t="s">
        <v>84</v>
      </c>
    </row>
    <row r="72" spans="1:7" ht="12.75">
      <c r="A72" t="s">
        <v>110</v>
      </c>
      <c r="C72">
        <v>16</v>
      </c>
      <c r="D72">
        <v>103</v>
      </c>
      <c r="E72" s="12">
        <f>+D72/C72</f>
        <v>6.4375</v>
      </c>
      <c r="F72">
        <v>28</v>
      </c>
      <c r="G72">
        <v>2</v>
      </c>
    </row>
    <row r="73" spans="1:7" ht="12.75">
      <c r="A73" t="s">
        <v>111</v>
      </c>
      <c r="C73">
        <v>11</v>
      </c>
      <c r="D73">
        <v>79</v>
      </c>
      <c r="E73" s="12">
        <f>+D73/C73</f>
        <v>7.181818181818182</v>
      </c>
      <c r="F73">
        <v>16</v>
      </c>
      <c r="G73">
        <v>1</v>
      </c>
    </row>
    <row r="74" spans="1:5" ht="12.75">
      <c r="A74" t="s">
        <v>112</v>
      </c>
      <c r="E74" s="12" t="e">
        <f>+D74/C74</f>
        <v>#DIV/0!</v>
      </c>
    </row>
    <row r="75" spans="1:6" ht="12.75">
      <c r="A75" t="s">
        <v>113</v>
      </c>
      <c r="C75">
        <v>3</v>
      </c>
      <c r="D75">
        <v>8</v>
      </c>
      <c r="E75" s="12">
        <f aca="true" t="shared" si="0" ref="E75:E81">+D75/C75</f>
        <v>2.6666666666666665</v>
      </c>
      <c r="F75">
        <v>7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7" ht="12.75">
      <c r="A86" t="s">
        <v>110</v>
      </c>
      <c r="C86">
        <v>4</v>
      </c>
      <c r="D86">
        <v>63</v>
      </c>
      <c r="E86" s="12">
        <f aca="true" t="shared" si="1" ref="E86:E97">+D86/C86</f>
        <v>15.75</v>
      </c>
      <c r="F86">
        <v>31</v>
      </c>
      <c r="G86">
        <v>1</v>
      </c>
    </row>
    <row r="87" spans="1:6" ht="12.75">
      <c r="A87" t="s">
        <v>111</v>
      </c>
      <c r="C87">
        <v>2</v>
      </c>
      <c r="D87">
        <v>43</v>
      </c>
      <c r="E87" s="12">
        <f t="shared" si="1"/>
        <v>21.5</v>
      </c>
      <c r="F87">
        <v>31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8" ht="12.75">
      <c r="A91" t="s">
        <v>117</v>
      </c>
      <c r="C91">
        <v>4</v>
      </c>
      <c r="D91">
        <v>68</v>
      </c>
      <c r="E91" s="12">
        <f t="shared" si="1"/>
        <v>17</v>
      </c>
      <c r="F91">
        <v>29</v>
      </c>
      <c r="H91">
        <v>1</v>
      </c>
    </row>
    <row r="92" spans="1:6" ht="12.75">
      <c r="A92" t="s">
        <v>118</v>
      </c>
      <c r="C92">
        <v>6</v>
      </c>
      <c r="D92">
        <v>70</v>
      </c>
      <c r="E92" s="12">
        <f t="shared" si="1"/>
        <v>11.666666666666666</v>
      </c>
      <c r="F92">
        <v>26</v>
      </c>
    </row>
    <row r="93" spans="1:5" ht="12.75">
      <c r="A93" t="s">
        <v>119</v>
      </c>
      <c r="E93" s="12" t="e">
        <f t="shared" si="1"/>
        <v>#DIV/0!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35</v>
      </c>
      <c r="D102">
        <v>16</v>
      </c>
      <c r="E102" s="12">
        <f>+D102/C102*100</f>
        <v>45.714285714285715</v>
      </c>
      <c r="F102">
        <v>244</v>
      </c>
      <c r="G102">
        <v>1</v>
      </c>
      <c r="H102">
        <v>31</v>
      </c>
      <c r="I102">
        <v>1</v>
      </c>
      <c r="J102" s="8">
        <f>+G102/C102*100</f>
        <v>2.857142857142857</v>
      </c>
      <c r="K102" s="12">
        <f>+I102/C102*100</f>
        <v>2.857142857142857</v>
      </c>
      <c r="L102" s="12">
        <f>+F102/C102</f>
        <v>6.9714285714285715</v>
      </c>
      <c r="M102" s="12">
        <f>100*(S102+U102+W102+Y102)/6</f>
        <v>66.8452380952381</v>
      </c>
      <c r="N102">
        <v>2</v>
      </c>
      <c r="R102">
        <f>+(E102-30)/20</f>
        <v>0.7857142857142858</v>
      </c>
      <c r="S102" s="2">
        <f>IF(R102&lt;0,0,R102)</f>
        <v>0.7857142857142858</v>
      </c>
      <c r="T102" s="6">
        <f>+(L102-3)/4</f>
        <v>0.9928571428571429</v>
      </c>
      <c r="U102" s="2">
        <f>IF(T102&lt;0,0,T102)</f>
        <v>0.9928571428571429</v>
      </c>
      <c r="V102">
        <f>+J102/5</f>
        <v>0.5714285714285714</v>
      </c>
      <c r="W102" s="2">
        <f>IF(V102&lt;0,0,V102)</f>
        <v>0.5714285714285714</v>
      </c>
      <c r="X102">
        <f>(9.5-K102)/4</f>
        <v>1.6607142857142856</v>
      </c>
      <c r="Y102" s="2">
        <f>IF(X102&lt;0,0,X102)</f>
        <v>1.6607142857142856</v>
      </c>
    </row>
    <row r="103" spans="1:25" ht="12.75">
      <c r="A103" t="s">
        <v>124</v>
      </c>
      <c r="E103" s="12" t="e">
        <f>+D103/C103*100</f>
        <v>#DIV/0!</v>
      </c>
      <c r="J103" s="8"/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>
        <f>+J103/5</f>
        <v>0</v>
      </c>
      <c r="W103" s="2">
        <f>IF(V103&lt;0,0,V103)</f>
        <v>0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/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>
        <f>+J104/5</f>
        <v>0</v>
      </c>
      <c r="W104" s="2">
        <f>IF(V104&lt;0,0,V104)</f>
        <v>0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D108">
        <v>1</v>
      </c>
      <c r="E108">
        <v>2</v>
      </c>
      <c r="F108" s="12">
        <f aca="true" t="shared" si="2" ref="F108:F113">+E108/C108</f>
        <v>2</v>
      </c>
      <c r="G108">
        <v>2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3</v>
      </c>
      <c r="D118">
        <v>62</v>
      </c>
      <c r="E118" s="12">
        <f aca="true" t="shared" si="3" ref="E118:E123">+D118/C118</f>
        <v>20.666666666666668</v>
      </c>
      <c r="F118">
        <v>32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224</v>
      </c>
      <c r="E128" s="12">
        <f>+D128/C128</f>
        <v>37.333333333333336</v>
      </c>
      <c r="F128">
        <v>42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5</v>
      </c>
      <c r="E132">
        <v>4</v>
      </c>
      <c r="F132">
        <v>3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6" ht="12.75">
      <c r="A139" t="s">
        <v>135</v>
      </c>
      <c r="C139">
        <v>1</v>
      </c>
      <c r="D139">
        <v>5</v>
      </c>
      <c r="E139" s="12">
        <f t="shared" si="4"/>
        <v>5</v>
      </c>
      <c r="F139">
        <v>5</v>
      </c>
    </row>
    <row r="140" spans="1:5" ht="12.75">
      <c r="A140" t="s">
        <v>127</v>
      </c>
      <c r="C140">
        <v>1</v>
      </c>
      <c r="E140" s="12">
        <f t="shared" si="4"/>
        <v>0</v>
      </c>
    </row>
    <row r="141" spans="1:6" ht="12.75">
      <c r="A141" t="s">
        <v>125</v>
      </c>
      <c r="C141">
        <v>2</v>
      </c>
      <c r="D141">
        <v>7</v>
      </c>
      <c r="E141" s="12">
        <f t="shared" si="4"/>
        <v>3.5</v>
      </c>
      <c r="F141">
        <v>7</v>
      </c>
    </row>
    <row r="142" spans="1:5" ht="12.75">
      <c r="A142" t="s">
        <v>136</v>
      </c>
      <c r="C142">
        <v>1</v>
      </c>
      <c r="E142" s="12">
        <f t="shared" si="4"/>
        <v>0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2"/>
      <c r="D145" s="2"/>
      <c r="E145" s="12" t="e">
        <f t="shared" si="4"/>
        <v>#DIV/0!</v>
      </c>
    </row>
    <row r="147" spans="1:4" ht="12.75">
      <c r="A147" s="2" t="s">
        <v>94</v>
      </c>
      <c r="C147" s="2" t="s">
        <v>72</v>
      </c>
      <c r="D147" s="2" t="s">
        <v>74</v>
      </c>
    </row>
    <row r="148" ht="12.75">
      <c r="A148" t="s">
        <v>133</v>
      </c>
    </row>
    <row r="149" ht="12.75">
      <c r="A149" t="s">
        <v>134</v>
      </c>
    </row>
    <row r="150" ht="12.75">
      <c r="A150" t="s">
        <v>138</v>
      </c>
    </row>
    <row r="151" spans="1:4" ht="12.75">
      <c r="A151" t="s">
        <v>139</v>
      </c>
      <c r="C151">
        <v>1</v>
      </c>
      <c r="D151">
        <v>6</v>
      </c>
    </row>
    <row r="152" ht="12.75">
      <c r="A152" t="s">
        <v>140</v>
      </c>
    </row>
    <row r="153" ht="12.75">
      <c r="A153" t="s">
        <v>135</v>
      </c>
    </row>
    <row r="154" spans="1:4" ht="12.75">
      <c r="A154" t="s">
        <v>136</v>
      </c>
      <c r="C154">
        <v>1</v>
      </c>
      <c r="D154">
        <v>4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13</v>
      </c>
      <c r="H163" t="s">
        <v>97</v>
      </c>
      <c r="M163">
        <v>10</v>
      </c>
    </row>
    <row r="164" spans="1:13" ht="12.75">
      <c r="A164" t="s">
        <v>98</v>
      </c>
      <c r="D164">
        <v>5</v>
      </c>
      <c r="H164" t="s">
        <v>98</v>
      </c>
      <c r="M164">
        <v>6</v>
      </c>
    </row>
    <row r="165" spans="1:15" ht="12.75">
      <c r="A165" t="s">
        <v>99</v>
      </c>
      <c r="D165">
        <f>D164/D163*100</f>
        <v>38.46153846153847</v>
      </c>
      <c r="E165" s="23"/>
      <c r="H165" t="s">
        <v>99</v>
      </c>
      <c r="M165">
        <f>+M164/M163*100</f>
        <v>60</v>
      </c>
      <c r="O16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65"/>
  <sheetViews>
    <sheetView workbookViewId="0" topLeftCell="A120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14</v>
      </c>
      <c r="H6" s="1" t="s">
        <v>29</v>
      </c>
      <c r="M6" s="2">
        <v>18</v>
      </c>
    </row>
    <row r="8" spans="1:23" ht="12.75">
      <c r="A8" t="s">
        <v>1</v>
      </c>
      <c r="D8" s="2">
        <v>30</v>
      </c>
      <c r="H8" t="s">
        <v>1</v>
      </c>
      <c r="M8" s="2">
        <v>35</v>
      </c>
      <c r="V8">
        <f>+D8</f>
        <v>30</v>
      </c>
      <c r="W8">
        <f>+M8</f>
        <v>35</v>
      </c>
    </row>
    <row r="9" spans="1:23" ht="12.75">
      <c r="A9" t="s">
        <v>2</v>
      </c>
      <c r="D9" s="2">
        <v>104</v>
      </c>
      <c r="H9" t="s">
        <v>2</v>
      </c>
      <c r="M9" s="2">
        <v>207</v>
      </c>
      <c r="U9" s="13"/>
      <c r="V9">
        <f>+D13</f>
        <v>11</v>
      </c>
      <c r="W9">
        <f>+M13</f>
        <v>9</v>
      </c>
    </row>
    <row r="10" spans="1:23" ht="12.75">
      <c r="A10" s="1" t="s">
        <v>3</v>
      </c>
      <c r="D10" s="8">
        <f>+D9/D8</f>
        <v>3.466666666666667</v>
      </c>
      <c r="H10" s="1" t="s">
        <v>3</v>
      </c>
      <c r="M10" s="8">
        <f>+M9/M8</f>
        <v>5.914285714285715</v>
      </c>
      <c r="V10">
        <f>+(D12-D13)/2</f>
        <v>5.5</v>
      </c>
      <c r="W10">
        <f>+(M12-M13)/2</f>
        <v>10.5</v>
      </c>
    </row>
    <row r="11" spans="22:23" ht="12.75">
      <c r="V11">
        <f>+D35/2</f>
        <v>1.5</v>
      </c>
      <c r="W11">
        <f>+M35/2</f>
        <v>1.5</v>
      </c>
    </row>
    <row r="12" spans="1:23" ht="12.75">
      <c r="A12" t="s">
        <v>4</v>
      </c>
      <c r="D12" s="2">
        <v>22</v>
      </c>
      <c r="H12" t="s">
        <v>4</v>
      </c>
      <c r="M12" s="2">
        <v>30</v>
      </c>
      <c r="V12">
        <f>+D39/2</f>
        <v>1</v>
      </c>
      <c r="W12">
        <f>+M39/2</f>
        <v>1</v>
      </c>
    </row>
    <row r="13" spans="1:23" ht="12.75">
      <c r="A13" t="s">
        <v>5</v>
      </c>
      <c r="D13" s="2">
        <v>11</v>
      </c>
      <c r="H13" t="s">
        <v>5</v>
      </c>
      <c r="M13" s="2">
        <v>9</v>
      </c>
      <c r="V13">
        <f>+D44/2</f>
        <v>1</v>
      </c>
      <c r="W13">
        <f>+M44/2</f>
        <v>1.5</v>
      </c>
    </row>
    <row r="14" spans="1:13" ht="12.75">
      <c r="A14" t="s">
        <v>6</v>
      </c>
      <c r="D14" s="8">
        <f>+D13/D12*100</f>
        <v>50</v>
      </c>
      <c r="H14" t="s">
        <v>6</v>
      </c>
      <c r="M14" s="8">
        <f>+M13/M12*100</f>
        <v>30</v>
      </c>
    </row>
    <row r="15" spans="1:24" ht="12.75">
      <c r="A15" t="s">
        <v>7</v>
      </c>
      <c r="D15" s="2">
        <v>150</v>
      </c>
      <c r="H15" t="s">
        <v>7</v>
      </c>
      <c r="M15" s="2">
        <v>71</v>
      </c>
      <c r="V15">
        <f>SUM(V8:V13)</f>
        <v>50</v>
      </c>
      <c r="W15">
        <f>SUM(W8:W13)</f>
        <v>58.5</v>
      </c>
      <c r="X15">
        <f>+W15+V15</f>
        <v>108.5</v>
      </c>
    </row>
    <row r="16" spans="1:23" ht="12.75">
      <c r="A16" t="s">
        <v>8</v>
      </c>
      <c r="D16" s="2">
        <v>2</v>
      </c>
      <c r="H16" t="s">
        <v>8</v>
      </c>
      <c r="M16" s="2">
        <v>3</v>
      </c>
      <c r="V16">
        <f>+V15/X15</f>
        <v>0.4608294930875576</v>
      </c>
      <c r="W16">
        <f>+W15/X15</f>
        <v>0.5391705069124424</v>
      </c>
    </row>
    <row r="17" spans="1:23" ht="12.75">
      <c r="A17" t="s">
        <v>9</v>
      </c>
      <c r="D17" s="2">
        <v>26</v>
      </c>
      <c r="H17" t="s">
        <v>9</v>
      </c>
      <c r="M17" s="2">
        <v>26</v>
      </c>
      <c r="V17">
        <f>+V16*60</f>
        <v>27.649769585253456</v>
      </c>
      <c r="W17">
        <f>+W16*60</f>
        <v>32.35023041474654</v>
      </c>
    </row>
    <row r="18" spans="1:23" ht="12.75">
      <c r="A18" t="s">
        <v>10</v>
      </c>
      <c r="D18">
        <f>+D15-D17</f>
        <v>124</v>
      </c>
      <c r="H18" t="s">
        <v>10</v>
      </c>
      <c r="M18">
        <f>+M15-M17</f>
        <v>45</v>
      </c>
      <c r="V18">
        <f>+V17-INT(V17)</f>
        <v>0.6497695852534555</v>
      </c>
      <c r="W18">
        <f>+W17-INT(W17)</f>
        <v>0.35023041474654093</v>
      </c>
    </row>
    <row r="19" spans="1:23" ht="12.75">
      <c r="A19" t="s">
        <v>11</v>
      </c>
      <c r="D19" s="7">
        <f>+D18/D12</f>
        <v>5.636363636363637</v>
      </c>
      <c r="H19" t="s">
        <v>11</v>
      </c>
      <c r="M19" s="7">
        <f>+M18/M12</f>
        <v>1.5</v>
      </c>
      <c r="V19">
        <f>+V18*60</f>
        <v>38.98617511520733</v>
      </c>
      <c r="W19">
        <f>+W18*60</f>
        <v>21.013824884792456</v>
      </c>
    </row>
    <row r="20" spans="1:23" ht="12.75">
      <c r="A20" t="s">
        <v>12</v>
      </c>
      <c r="D20" s="7">
        <f>+D15/D13</f>
        <v>13.636363636363637</v>
      </c>
      <c r="H20" t="s">
        <v>12</v>
      </c>
      <c r="M20" s="7">
        <f>+M15/M13</f>
        <v>7.888888888888889</v>
      </c>
      <c r="U20">
        <v>0</v>
      </c>
      <c r="V20" s="11">
        <f>ROUND(V19,0)</f>
        <v>39</v>
      </c>
      <c r="W20">
        <f>ROUND(W19,0)</f>
        <v>21</v>
      </c>
    </row>
    <row r="21" spans="22:23" ht="12.75">
      <c r="V21">
        <f>INT(V17)</f>
        <v>27</v>
      </c>
      <c r="W21">
        <f>INT(W17)</f>
        <v>32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228</v>
      </c>
      <c r="H23" t="s">
        <v>14</v>
      </c>
      <c r="M23">
        <f>+M18+M9</f>
        <v>252</v>
      </c>
      <c r="Q23" s="9"/>
      <c r="R23" s="9"/>
      <c r="V23" s="14" t="str">
        <f>+V21&amp;V22&amp;V20</f>
        <v>27:39</v>
      </c>
      <c r="W23" s="9" t="str">
        <f>+W21&amp;W22&amp;W20</f>
        <v>32:21</v>
      </c>
    </row>
    <row r="24" spans="1:23" ht="12.75">
      <c r="A24" t="s">
        <v>15</v>
      </c>
      <c r="D24" s="7">
        <f>+D9/D23*100</f>
        <v>45.614035087719294</v>
      </c>
      <c r="H24" t="s">
        <v>15</v>
      </c>
      <c r="M24" s="7">
        <f>+M9/M23*100</f>
        <v>82.14285714285714</v>
      </c>
      <c r="V24" s="9" t="str">
        <f>IF(V20&lt;10,+V21&amp;V22&amp;$U$20&amp;V20,+V21&amp;V22&amp;V20)</f>
        <v>27:39</v>
      </c>
      <c r="W24" s="9" t="str">
        <f>IF(W20&lt;10,+W21&amp;W22&amp;$U$20&amp;W20,+W21&amp;W22&amp;W20)</f>
        <v>32:21</v>
      </c>
    </row>
    <row r="25" spans="1:13" ht="12.75">
      <c r="A25" s="1" t="s">
        <v>90</v>
      </c>
      <c r="D25" s="7">
        <f>+D18/D23*100</f>
        <v>54.385964912280706</v>
      </c>
      <c r="H25" s="1" t="s">
        <v>90</v>
      </c>
      <c r="M25" s="7">
        <f>+M18/M23*100</f>
        <v>17.857142857142858</v>
      </c>
    </row>
    <row r="27" spans="1:13" ht="12.75">
      <c r="A27" t="s">
        <v>16</v>
      </c>
      <c r="D27">
        <f>+D12+D8+D16</f>
        <v>54</v>
      </c>
      <c r="H27" t="s">
        <v>16</v>
      </c>
      <c r="M27">
        <f>+M8+M12+M16</f>
        <v>68</v>
      </c>
    </row>
    <row r="28" spans="1:13" ht="12.75">
      <c r="A28" t="s">
        <v>17</v>
      </c>
      <c r="D28" s="8">
        <f>+D23/D27</f>
        <v>4.222222222222222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3.7058823529411766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>
        <v>3</v>
      </c>
    </row>
    <row r="32" spans="1:13" ht="12.75">
      <c r="A32" t="s">
        <v>20</v>
      </c>
      <c r="D32" s="2"/>
      <c r="H32" t="s">
        <v>20</v>
      </c>
      <c r="M32" s="2">
        <v>22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3</v>
      </c>
      <c r="H35" t="s">
        <v>22</v>
      </c>
      <c r="M35" s="2">
        <v>3</v>
      </c>
    </row>
    <row r="36" spans="1:13" ht="12.75">
      <c r="A36" t="s">
        <v>23</v>
      </c>
      <c r="D36" s="2">
        <v>108</v>
      </c>
      <c r="H36" t="s">
        <v>23</v>
      </c>
      <c r="M36" s="2">
        <v>147</v>
      </c>
    </row>
    <row r="37" spans="1:13" ht="12.75">
      <c r="A37" t="s">
        <v>24</v>
      </c>
      <c r="D37" s="8">
        <f>+D36/D35</f>
        <v>36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49</v>
      </c>
    </row>
    <row r="39" spans="1:13" ht="12.75">
      <c r="A39" t="s">
        <v>25</v>
      </c>
      <c r="D39" s="2">
        <v>2</v>
      </c>
      <c r="H39" t="s">
        <v>25</v>
      </c>
      <c r="M39" s="2">
        <v>2</v>
      </c>
    </row>
    <row r="40" spans="1:13" ht="12.75">
      <c r="A40" t="s">
        <v>26</v>
      </c>
      <c r="D40" s="2">
        <v>6</v>
      </c>
      <c r="H40" t="s">
        <v>26</v>
      </c>
      <c r="M40" s="2">
        <v>23</v>
      </c>
    </row>
    <row r="41" spans="1:13" ht="12.75">
      <c r="A41" t="s">
        <v>27</v>
      </c>
      <c r="D41" s="8">
        <f>+D40/D39</f>
        <v>3</v>
      </c>
      <c r="H41" t="s">
        <v>27</v>
      </c>
      <c r="M41" s="8">
        <f>+M40/M39</f>
        <v>11.5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2</v>
      </c>
      <c r="H44" t="s">
        <v>30</v>
      </c>
      <c r="M44" s="2">
        <v>3</v>
      </c>
    </row>
    <row r="45" spans="1:13" ht="12.75">
      <c r="A45" t="s">
        <v>26</v>
      </c>
      <c r="D45" s="2">
        <v>40</v>
      </c>
      <c r="H45" t="s">
        <v>26</v>
      </c>
      <c r="M45" s="2">
        <v>68</v>
      </c>
    </row>
    <row r="46" spans="1:13" ht="12.75">
      <c r="A46" t="s">
        <v>27</v>
      </c>
      <c r="D46" s="8">
        <f>+D45/D44</f>
        <v>20</v>
      </c>
      <c r="H46" t="s">
        <v>27</v>
      </c>
      <c r="M46" s="8">
        <f>+M45/M44</f>
        <v>22.666666666666668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/>
      <c r="H49" t="s">
        <v>31</v>
      </c>
      <c r="M49" s="2">
        <v>5</v>
      </c>
    </row>
    <row r="50" spans="1:13" ht="12.75">
      <c r="A50" t="s">
        <v>32</v>
      </c>
      <c r="D50" s="2"/>
      <c r="H50" t="s">
        <v>32</v>
      </c>
      <c r="M50" s="2">
        <v>40</v>
      </c>
    </row>
    <row r="52" spans="1:13" ht="12.75">
      <c r="A52" t="s">
        <v>33</v>
      </c>
      <c r="D52" s="2">
        <v>2</v>
      </c>
      <c r="H52" t="s">
        <v>33</v>
      </c>
      <c r="M52" s="2">
        <v>1</v>
      </c>
    </row>
    <row r="53" spans="1:13" ht="12.75">
      <c r="A53" t="s">
        <v>34</v>
      </c>
      <c r="D53" s="2"/>
      <c r="H53" t="s">
        <v>34</v>
      </c>
      <c r="M53" s="2">
        <v>1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2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21</v>
      </c>
      <c r="H58" t="s">
        <v>38</v>
      </c>
      <c r="M58" s="2">
        <v>3</v>
      </c>
    </row>
    <row r="59" spans="1:13" ht="12.75">
      <c r="A59" t="s">
        <v>39</v>
      </c>
      <c r="D59" s="2">
        <v>3</v>
      </c>
      <c r="H59" t="s">
        <v>39</v>
      </c>
      <c r="M59" s="2"/>
    </row>
    <row r="60" spans="1:13" ht="12.75">
      <c r="A60" t="s">
        <v>40</v>
      </c>
      <c r="D60" s="2">
        <v>2</v>
      </c>
      <c r="H60" t="s">
        <v>40</v>
      </c>
      <c r="M60" s="2"/>
    </row>
    <row r="61" spans="1:13" ht="12.75">
      <c r="A61" t="s">
        <v>41</v>
      </c>
      <c r="D61" s="2">
        <v>1</v>
      </c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3</v>
      </c>
      <c r="H63" t="s">
        <v>43</v>
      </c>
      <c r="M63" s="2"/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1</v>
      </c>
    </row>
    <row r="66" spans="1:13" ht="12.75">
      <c r="A66" t="s">
        <v>46</v>
      </c>
      <c r="D66" s="2">
        <v>1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0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50</v>
      </c>
    </row>
    <row r="68" spans="1:13" ht="12.75">
      <c r="A68" t="s">
        <v>93</v>
      </c>
      <c r="D68" s="10" t="str">
        <f>IF(V20&lt;10,V24,V23)</f>
        <v>27:39</v>
      </c>
      <c r="E68" s="8"/>
      <c r="F68" s="8"/>
      <c r="H68" t="s">
        <v>93</v>
      </c>
      <c r="M68" s="10" t="str">
        <f>IF(W20&lt;10,W24,W23)</f>
        <v>32:21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2" t="s">
        <v>84</v>
      </c>
    </row>
    <row r="72" spans="1:6" ht="12.75">
      <c r="A72" t="s">
        <v>110</v>
      </c>
      <c r="C72">
        <v>15</v>
      </c>
      <c r="D72">
        <v>59</v>
      </c>
      <c r="E72" s="12">
        <f>+D72/C72</f>
        <v>3.933333333333333</v>
      </c>
      <c r="F72">
        <v>28</v>
      </c>
    </row>
    <row r="73" spans="1:7" ht="12.75">
      <c r="A73" t="s">
        <v>111</v>
      </c>
      <c r="C73">
        <v>13</v>
      </c>
      <c r="D73">
        <v>49</v>
      </c>
      <c r="E73" s="12">
        <f>+D73/C73</f>
        <v>3.769230769230769</v>
      </c>
      <c r="F73">
        <v>10</v>
      </c>
      <c r="G73">
        <v>2</v>
      </c>
    </row>
    <row r="74" spans="1:5" ht="12.75">
      <c r="A74" t="s">
        <v>112</v>
      </c>
      <c r="E74" s="12" t="e">
        <f>+D74/C74</f>
        <v>#DIV/0!</v>
      </c>
    </row>
    <row r="75" spans="1:6" ht="12.75">
      <c r="A75" t="s">
        <v>113</v>
      </c>
      <c r="C75">
        <v>2</v>
      </c>
      <c r="D75">
        <v>-4</v>
      </c>
      <c r="E75" s="12">
        <f aca="true" t="shared" si="0" ref="E75:E81">+D75/C75</f>
        <v>-2</v>
      </c>
      <c r="F75">
        <v>-2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8" ht="12.75">
      <c r="A86" t="s">
        <v>110</v>
      </c>
      <c r="C86">
        <v>1</v>
      </c>
      <c r="D86">
        <v>1</v>
      </c>
      <c r="E86" s="12">
        <f aca="true" t="shared" si="1" ref="E86:E97">+D86/C86</f>
        <v>1</v>
      </c>
      <c r="F86">
        <v>1</v>
      </c>
      <c r="H86">
        <v>1</v>
      </c>
    </row>
    <row r="87" spans="1:6" ht="12.75">
      <c r="A87" t="s">
        <v>111</v>
      </c>
      <c r="C87">
        <v>1</v>
      </c>
      <c r="D87">
        <v>11</v>
      </c>
      <c r="E87" s="12">
        <f t="shared" si="1"/>
        <v>11</v>
      </c>
      <c r="F87">
        <v>11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4</v>
      </c>
      <c r="D91">
        <v>74</v>
      </c>
      <c r="E91" s="12">
        <f t="shared" si="1"/>
        <v>18.5</v>
      </c>
      <c r="F91">
        <v>20</v>
      </c>
    </row>
    <row r="92" spans="1:7" ht="12.75">
      <c r="A92" t="s">
        <v>118</v>
      </c>
      <c r="C92">
        <v>2</v>
      </c>
      <c r="D92">
        <v>41</v>
      </c>
      <c r="E92" s="12">
        <f t="shared" si="1"/>
        <v>20.5</v>
      </c>
      <c r="F92">
        <v>27</v>
      </c>
      <c r="G92">
        <v>1</v>
      </c>
    </row>
    <row r="93" spans="1:6" ht="12.75">
      <c r="A93" t="s">
        <v>119</v>
      </c>
      <c r="C93">
        <v>3</v>
      </c>
      <c r="D93">
        <v>23</v>
      </c>
      <c r="E93" s="12">
        <f t="shared" si="1"/>
        <v>7.666666666666667</v>
      </c>
      <c r="F93">
        <v>13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22</v>
      </c>
      <c r="D102">
        <v>11</v>
      </c>
      <c r="E102" s="12">
        <f>+D102/C102*100</f>
        <v>50</v>
      </c>
      <c r="F102">
        <v>150</v>
      </c>
      <c r="G102">
        <v>1</v>
      </c>
      <c r="H102">
        <v>27</v>
      </c>
      <c r="J102" s="8">
        <f>+G102/C102*100</f>
        <v>4.545454545454546</v>
      </c>
      <c r="K102" s="12">
        <f>+I102/C102*100</f>
        <v>0</v>
      </c>
      <c r="L102" s="12">
        <f>+F102/C102</f>
        <v>6.818181818181818</v>
      </c>
      <c r="M102" s="12">
        <f>100*(S102+U102+W102+Y102)/6</f>
        <v>87.31060606060606</v>
      </c>
      <c r="R102">
        <f>+(E102-30)/20</f>
        <v>1</v>
      </c>
      <c r="S102" s="2">
        <f>IF(R102&lt;0,0,R102)</f>
        <v>1</v>
      </c>
      <c r="T102" s="6">
        <f>+(L102-3)/4</f>
        <v>0.9545454545454546</v>
      </c>
      <c r="U102" s="2">
        <f>IF(T102&lt;0,0,T102)</f>
        <v>0.9545454545454546</v>
      </c>
      <c r="V102">
        <f>+J102/5</f>
        <v>0.9090909090909092</v>
      </c>
      <c r="W102" s="2">
        <f>IF(V102&lt;0,0,V102)</f>
        <v>0.9090909090909092</v>
      </c>
      <c r="X102">
        <f>(9.5-K102)/4</f>
        <v>2.375</v>
      </c>
      <c r="Y102" s="2">
        <f>IF(X102&lt;0,0,X102)</f>
        <v>2.375</v>
      </c>
    </row>
    <row r="103" spans="1:25" ht="12.75">
      <c r="A103" t="s">
        <v>124</v>
      </c>
      <c r="E103" s="12"/>
      <c r="J103" s="8"/>
      <c r="K103" s="12"/>
      <c r="L103" s="12"/>
      <c r="M103" s="12"/>
      <c r="R103">
        <f>+(E103-30)/20</f>
        <v>-1.5</v>
      </c>
      <c r="S103" s="2">
        <f>IF(R103&lt;0,0,R103)</f>
        <v>0</v>
      </c>
      <c r="T103" s="6">
        <f>+(L103-3)/4</f>
        <v>-0.75</v>
      </c>
      <c r="U103" s="2">
        <f>IF(T103&lt;0,0,T103)</f>
        <v>0</v>
      </c>
      <c r="V103">
        <f>+J103/5</f>
        <v>0</v>
      </c>
      <c r="W103" s="2">
        <f>IF(V103&lt;0,0,V103)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2</v>
      </c>
      <c r="E108">
        <v>6</v>
      </c>
      <c r="F108" s="12">
        <f aca="true" t="shared" si="2" ref="F108:F113">+E108/C108</f>
        <v>3</v>
      </c>
      <c r="G108">
        <v>4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2</v>
      </c>
      <c r="D118">
        <v>40</v>
      </c>
      <c r="E118" s="12">
        <f aca="true" t="shared" si="3" ref="E118:E123">+D118/C118</f>
        <v>20</v>
      </c>
      <c r="F118">
        <v>24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3</v>
      </c>
      <c r="D128">
        <v>108</v>
      </c>
      <c r="E128" s="12">
        <f>+D128/C128</f>
        <v>36</v>
      </c>
      <c r="F128">
        <v>41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4</v>
      </c>
      <c r="E132">
        <v>3</v>
      </c>
      <c r="F132">
        <v>3</v>
      </c>
      <c r="G132">
        <v>1</v>
      </c>
      <c r="I132" s="12">
        <f>+H132/G132*100</f>
        <v>0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6" ht="12.75">
      <c r="A138" t="s">
        <v>123</v>
      </c>
      <c r="C138">
        <v>1</v>
      </c>
      <c r="D138">
        <v>5</v>
      </c>
      <c r="E138" s="12">
        <f t="shared" si="4"/>
        <v>5</v>
      </c>
      <c r="F138">
        <v>5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5" ht="12.75">
      <c r="A142" t="s">
        <v>136</v>
      </c>
      <c r="E142" s="12" t="e">
        <f t="shared" si="4"/>
        <v>#DIV/0!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6" ht="12.75">
      <c r="A145" t="s">
        <v>137</v>
      </c>
      <c r="C145" s="2">
        <v>1</v>
      </c>
      <c r="D145" s="2">
        <v>34</v>
      </c>
      <c r="E145" s="12">
        <f t="shared" si="4"/>
        <v>34</v>
      </c>
      <c r="F145">
        <v>34</v>
      </c>
    </row>
    <row r="147" spans="1:4" ht="12.75">
      <c r="A147" s="2" t="s">
        <v>94</v>
      </c>
      <c r="C147" s="2" t="s">
        <v>72</v>
      </c>
      <c r="D147" s="2" t="s">
        <v>74</v>
      </c>
    </row>
    <row r="148" spans="1:4" ht="12.75">
      <c r="A148" t="s">
        <v>133</v>
      </c>
      <c r="C148">
        <v>1</v>
      </c>
      <c r="D148">
        <v>5</v>
      </c>
    </row>
    <row r="149" spans="1:4" ht="12.75">
      <c r="A149" t="s">
        <v>134</v>
      </c>
      <c r="C149">
        <v>1</v>
      </c>
      <c r="D149">
        <v>12</v>
      </c>
    </row>
    <row r="150" ht="12.75">
      <c r="A150" t="s">
        <v>138</v>
      </c>
    </row>
    <row r="151" ht="12.75">
      <c r="A151" t="s">
        <v>139</v>
      </c>
    </row>
    <row r="152" spans="1:4" ht="12.75">
      <c r="A152" t="s">
        <v>140</v>
      </c>
      <c r="C152">
        <v>1</v>
      </c>
      <c r="D152">
        <v>9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11</v>
      </c>
      <c r="H163" t="s">
        <v>97</v>
      </c>
      <c r="M163">
        <v>15</v>
      </c>
    </row>
    <row r="164" spans="1:13" ht="12.75">
      <c r="A164" t="s">
        <v>98</v>
      </c>
      <c r="D164">
        <v>3</v>
      </c>
      <c r="H164" t="s">
        <v>98</v>
      </c>
      <c r="M164">
        <v>6</v>
      </c>
    </row>
    <row r="165" spans="1:15" ht="12.75">
      <c r="A165" t="s">
        <v>99</v>
      </c>
      <c r="D165">
        <f>D164/D163*100</f>
        <v>27.27272727272727</v>
      </c>
      <c r="E165" s="23"/>
      <c r="H165" t="s">
        <v>99</v>
      </c>
      <c r="M165">
        <f>+M164/M163*100</f>
        <v>40</v>
      </c>
      <c r="O165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14</v>
      </c>
      <c r="H6" s="1" t="s">
        <v>29</v>
      </c>
      <c r="M6" s="2">
        <v>17</v>
      </c>
    </row>
    <row r="8" spans="1:23" ht="12.75">
      <c r="A8" t="s">
        <v>1</v>
      </c>
      <c r="D8" s="2">
        <v>22</v>
      </c>
      <c r="H8" t="s">
        <v>1</v>
      </c>
      <c r="M8" s="2">
        <v>38</v>
      </c>
      <c r="V8">
        <f>+D8</f>
        <v>22</v>
      </c>
      <c r="W8">
        <f>+M8</f>
        <v>38</v>
      </c>
    </row>
    <row r="9" spans="1:23" ht="12.75">
      <c r="A9" t="s">
        <v>2</v>
      </c>
      <c r="D9" s="2">
        <v>116</v>
      </c>
      <c r="H9" t="s">
        <v>2</v>
      </c>
      <c r="M9" s="2">
        <v>149</v>
      </c>
      <c r="U9" s="13"/>
      <c r="V9">
        <f>+D13</f>
        <v>19</v>
      </c>
      <c r="W9">
        <f>+M13</f>
        <v>11</v>
      </c>
    </row>
    <row r="10" spans="1:23" ht="12.75">
      <c r="A10" s="1" t="s">
        <v>3</v>
      </c>
      <c r="D10" s="8">
        <f>D9/D8</f>
        <v>5.2727272727272725</v>
      </c>
      <c r="H10" s="1" t="s">
        <v>3</v>
      </c>
      <c r="M10" s="8">
        <f>+M9/M8</f>
        <v>3.9210526315789473</v>
      </c>
      <c r="V10">
        <f>+(D12-D13)/2</f>
        <v>5.5</v>
      </c>
      <c r="W10">
        <f>+(M12-M13)/2</f>
        <v>8.5</v>
      </c>
    </row>
    <row r="11" spans="22:23" ht="12.75">
      <c r="V11">
        <f>+D35/2</f>
        <v>1.5</v>
      </c>
      <c r="W11">
        <f>+M35/2</f>
        <v>1.5</v>
      </c>
    </row>
    <row r="12" spans="1:23" ht="12.75">
      <c r="A12" t="s">
        <v>4</v>
      </c>
      <c r="D12" s="2">
        <v>30</v>
      </c>
      <c r="H12" t="s">
        <v>4</v>
      </c>
      <c r="M12" s="2">
        <v>28</v>
      </c>
      <c r="V12">
        <f>+D39/2</f>
        <v>1</v>
      </c>
      <c r="W12">
        <f>+M39/2</f>
        <v>1.5</v>
      </c>
    </row>
    <row r="13" spans="1:23" ht="12.75">
      <c r="A13" t="s">
        <v>5</v>
      </c>
      <c r="D13" s="2">
        <v>19</v>
      </c>
      <c r="H13" t="s">
        <v>5</v>
      </c>
      <c r="M13" s="2">
        <v>11</v>
      </c>
      <c r="V13">
        <f>+D44/2</f>
        <v>1.5</v>
      </c>
      <c r="W13">
        <f>+M44/2</f>
        <v>2.5</v>
      </c>
    </row>
    <row r="14" spans="1:13" ht="12.75">
      <c r="A14" t="s">
        <v>6</v>
      </c>
      <c r="D14" s="8">
        <f>+D13/D12*100</f>
        <v>63.33333333333333</v>
      </c>
      <c r="H14" t="s">
        <v>6</v>
      </c>
      <c r="M14" s="8">
        <f>+M13/M12*100</f>
        <v>39.285714285714285</v>
      </c>
    </row>
    <row r="15" spans="1:24" ht="12.75">
      <c r="A15" t="s">
        <v>7</v>
      </c>
      <c r="D15" s="2">
        <v>162</v>
      </c>
      <c r="H15" t="s">
        <v>7</v>
      </c>
      <c r="M15" s="2">
        <v>126</v>
      </c>
      <c r="V15">
        <f>SUM(V8:V13)</f>
        <v>50.5</v>
      </c>
      <c r="W15">
        <f>SUM(W8:W13)</f>
        <v>63</v>
      </c>
      <c r="X15">
        <f>+W15+V15</f>
        <v>113.5</v>
      </c>
    </row>
    <row r="16" spans="1:23" ht="12.75">
      <c r="A16" t="s">
        <v>8</v>
      </c>
      <c r="D16" s="2">
        <v>3</v>
      </c>
      <c r="H16" t="s">
        <v>8</v>
      </c>
      <c r="M16" s="2"/>
      <c r="V16">
        <f>+V15/X15</f>
        <v>0.44493392070484583</v>
      </c>
      <c r="W16">
        <f>+W15/X15</f>
        <v>0.5550660792951542</v>
      </c>
    </row>
    <row r="17" spans="1:23" ht="12.75">
      <c r="A17" t="s">
        <v>9</v>
      </c>
      <c r="D17" s="2">
        <v>33</v>
      </c>
      <c r="H17" t="s">
        <v>9</v>
      </c>
      <c r="M17" s="2"/>
      <c r="V17">
        <f>+V16*60</f>
        <v>26.69603524229075</v>
      </c>
      <c r="W17">
        <f>+W16*60</f>
        <v>33.30396475770925</v>
      </c>
    </row>
    <row r="18" spans="1:23" ht="12.75">
      <c r="A18" t="s">
        <v>10</v>
      </c>
      <c r="D18">
        <f>+D15-D17</f>
        <v>129</v>
      </c>
      <c r="H18" t="s">
        <v>10</v>
      </c>
      <c r="M18">
        <f>+M15-M17</f>
        <v>126</v>
      </c>
      <c r="V18">
        <f>+V17-INT(V17)</f>
        <v>0.6960352422907512</v>
      </c>
      <c r="W18">
        <f>+W17-INT(W17)</f>
        <v>0.30396475770925235</v>
      </c>
    </row>
    <row r="19" spans="1:23" ht="12.75">
      <c r="A19" t="s">
        <v>11</v>
      </c>
      <c r="D19" s="7">
        <f>+D18/D12</f>
        <v>4.3</v>
      </c>
      <c r="H19" t="s">
        <v>11</v>
      </c>
      <c r="M19" s="7">
        <f>+M18/M12</f>
        <v>4.5</v>
      </c>
      <c r="V19">
        <f>+V18*60</f>
        <v>41.76211453744507</v>
      </c>
      <c r="W19">
        <f>+W18*60</f>
        <v>18.23788546255514</v>
      </c>
    </row>
    <row r="20" spans="1:23" ht="12.75">
      <c r="A20" t="s">
        <v>12</v>
      </c>
      <c r="D20" s="7">
        <f>+D15/D13</f>
        <v>8.526315789473685</v>
      </c>
      <c r="H20" t="s">
        <v>12</v>
      </c>
      <c r="M20" s="7">
        <f>+M15/M13</f>
        <v>11.454545454545455</v>
      </c>
      <c r="U20">
        <v>0</v>
      </c>
      <c r="V20" s="11">
        <f>ROUND(V19,0)</f>
        <v>42</v>
      </c>
      <c r="W20">
        <f>ROUND(W19,0)</f>
        <v>18</v>
      </c>
    </row>
    <row r="21" spans="22:23" ht="12.75">
      <c r="V21">
        <f>INT(V17)</f>
        <v>26</v>
      </c>
      <c r="W21">
        <f>INT(W17)</f>
        <v>33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245</v>
      </c>
      <c r="H23" t="s">
        <v>14</v>
      </c>
      <c r="M23">
        <f>+M18+M9</f>
        <v>275</v>
      </c>
      <c r="Q23" s="9"/>
      <c r="R23" s="9"/>
      <c r="V23" s="14" t="str">
        <f>+V21&amp;V22&amp;V20</f>
        <v>26:42</v>
      </c>
      <c r="W23" s="9" t="str">
        <f>+W21&amp;W22&amp;W20</f>
        <v>33:18</v>
      </c>
    </row>
    <row r="24" spans="1:23" ht="12.75">
      <c r="A24" t="s">
        <v>15</v>
      </c>
      <c r="D24" s="7">
        <f>+D9/D23*100</f>
        <v>47.3469387755102</v>
      </c>
      <c r="H24" t="s">
        <v>15</v>
      </c>
      <c r="M24" s="7">
        <f>+M9/M23*100</f>
        <v>54.18181818181819</v>
      </c>
      <c r="V24" s="9" t="str">
        <f>IF(V20&lt;10,+V21&amp;V22&amp;$U$20&amp;V20,+V21&amp;V22&amp;V20)</f>
        <v>26:42</v>
      </c>
      <c r="W24" s="9" t="str">
        <f>IF(W20&lt;10,+W21&amp;W22&amp;$U$20&amp;W20,+W21&amp;W22&amp;W20)</f>
        <v>33:18</v>
      </c>
    </row>
    <row r="25" spans="1:13" ht="12.75">
      <c r="A25" s="1" t="s">
        <v>90</v>
      </c>
      <c r="D25" s="7">
        <f>+D18/D23*100</f>
        <v>52.6530612244898</v>
      </c>
      <c r="H25" s="1" t="s">
        <v>90</v>
      </c>
      <c r="M25" s="7">
        <f>+M18/M23*100</f>
        <v>45.81818181818182</v>
      </c>
    </row>
    <row r="27" spans="1:13" ht="12.75">
      <c r="A27" t="s">
        <v>16</v>
      </c>
      <c r="D27">
        <f>+D8+D12+D16</f>
        <v>55</v>
      </c>
      <c r="H27" t="s">
        <v>16</v>
      </c>
      <c r="M27">
        <f>+M8+M12+M16</f>
        <v>66</v>
      </c>
    </row>
    <row r="28" spans="1:13" ht="12.75">
      <c r="A28" t="s">
        <v>17</v>
      </c>
      <c r="D28" s="8">
        <f>+D23/D27</f>
        <v>4.454545454545454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4.166666666666667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3</v>
      </c>
      <c r="H31" t="s">
        <v>19</v>
      </c>
      <c r="M31" s="2">
        <v>1</v>
      </c>
    </row>
    <row r="32" spans="1:13" ht="12.75">
      <c r="A32" t="s">
        <v>20</v>
      </c>
      <c r="D32" s="2">
        <v>29</v>
      </c>
      <c r="H32" t="s">
        <v>20</v>
      </c>
      <c r="M32" s="2">
        <v>28</v>
      </c>
    </row>
    <row r="33" spans="1:13" ht="12.75">
      <c r="A33" t="s">
        <v>21</v>
      </c>
      <c r="D33" s="2">
        <v>1</v>
      </c>
      <c r="H33" t="s">
        <v>21</v>
      </c>
      <c r="M33" s="2"/>
    </row>
    <row r="35" spans="1:13" ht="12.75">
      <c r="A35" t="s">
        <v>22</v>
      </c>
      <c r="D35" s="2">
        <v>3</v>
      </c>
      <c r="H35" t="s">
        <v>22</v>
      </c>
      <c r="M35" s="2">
        <v>3</v>
      </c>
    </row>
    <row r="36" spans="1:13" ht="12.75">
      <c r="A36" t="s">
        <v>23</v>
      </c>
      <c r="D36" s="2">
        <v>118</v>
      </c>
      <c r="H36" t="s">
        <v>23</v>
      </c>
      <c r="M36" s="2">
        <v>126</v>
      </c>
    </row>
    <row r="37" spans="1:13" ht="12.75">
      <c r="A37" t="s">
        <v>24</v>
      </c>
      <c r="D37" s="8">
        <f>+D36/D35</f>
        <v>39.333333333333336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42</v>
      </c>
    </row>
    <row r="39" spans="1:13" ht="12.75">
      <c r="A39" t="s">
        <v>25</v>
      </c>
      <c r="D39" s="2">
        <v>2</v>
      </c>
      <c r="H39" t="s">
        <v>25</v>
      </c>
      <c r="M39" s="2">
        <v>3</v>
      </c>
    </row>
    <row r="40" spans="1:13" ht="12.75">
      <c r="A40" t="s">
        <v>26</v>
      </c>
      <c r="D40" s="2">
        <v>17</v>
      </c>
      <c r="H40" t="s">
        <v>26</v>
      </c>
      <c r="M40" s="2">
        <v>31</v>
      </c>
    </row>
    <row r="41" spans="1:13" ht="12.75">
      <c r="A41" t="s">
        <v>27</v>
      </c>
      <c r="D41" s="8">
        <f>+D40/D39</f>
        <v>8.5</v>
      </c>
      <c r="H41" t="s">
        <v>27</v>
      </c>
      <c r="M41" s="8">
        <f>+M40/M39</f>
        <v>10.333333333333334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3</v>
      </c>
      <c r="H44" t="s">
        <v>30</v>
      </c>
      <c r="M44" s="2">
        <v>5</v>
      </c>
    </row>
    <row r="45" spans="1:13" ht="12.75">
      <c r="A45" t="s">
        <v>26</v>
      </c>
      <c r="D45" s="2">
        <v>47</v>
      </c>
      <c r="H45" t="s">
        <v>26</v>
      </c>
      <c r="M45" s="2">
        <v>169</v>
      </c>
    </row>
    <row r="46" spans="1:13" ht="12.75">
      <c r="A46" t="s">
        <v>27</v>
      </c>
      <c r="D46" s="8">
        <f>+D45/D44</f>
        <v>15.666666666666666</v>
      </c>
      <c r="H46" t="s">
        <v>27</v>
      </c>
      <c r="M46" s="8">
        <f>+M45/M44</f>
        <v>33.8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3</v>
      </c>
      <c r="H49" t="s">
        <v>31</v>
      </c>
      <c r="M49" s="2">
        <v>4</v>
      </c>
    </row>
    <row r="50" spans="1:13" ht="12.75">
      <c r="A50" t="s">
        <v>32</v>
      </c>
      <c r="D50" s="2">
        <v>26</v>
      </c>
      <c r="H50" t="s">
        <v>32</v>
      </c>
      <c r="M50" s="2">
        <v>35</v>
      </c>
    </row>
    <row r="52" spans="1:13" ht="12.75">
      <c r="A52" t="s">
        <v>33</v>
      </c>
      <c r="D52" s="2">
        <v>3</v>
      </c>
      <c r="H52" t="s">
        <v>33</v>
      </c>
      <c r="M52" s="2">
        <v>2</v>
      </c>
    </row>
    <row r="53" spans="1:13" ht="12.75">
      <c r="A53" t="s">
        <v>34</v>
      </c>
      <c r="D53" s="2">
        <v>3</v>
      </c>
      <c r="H53" t="s">
        <v>34</v>
      </c>
      <c r="M53" s="2">
        <v>1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>
        <v>1</v>
      </c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20</v>
      </c>
      <c r="H58" t="s">
        <v>38</v>
      </c>
      <c r="M58" s="2">
        <v>13</v>
      </c>
    </row>
    <row r="59" spans="1:13" ht="12.75">
      <c r="A59" t="s">
        <v>39</v>
      </c>
      <c r="D59" s="2">
        <v>2</v>
      </c>
      <c r="H59" t="s">
        <v>39</v>
      </c>
      <c r="M59" s="2">
        <v>1</v>
      </c>
    </row>
    <row r="60" spans="1:13" ht="12.75">
      <c r="A60" t="s">
        <v>40</v>
      </c>
      <c r="D60" s="2">
        <v>1</v>
      </c>
      <c r="H60" t="s">
        <v>40</v>
      </c>
      <c r="M60" s="2"/>
    </row>
    <row r="61" spans="1:13" ht="12.75">
      <c r="A61" t="s">
        <v>41</v>
      </c>
      <c r="D61" s="2">
        <v>1</v>
      </c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>
        <v>1</v>
      </c>
    </row>
    <row r="63" spans="1:13" ht="12.75">
      <c r="A63" t="s">
        <v>43</v>
      </c>
      <c r="D63" s="2">
        <v>2</v>
      </c>
      <c r="H63" t="s">
        <v>43</v>
      </c>
      <c r="M63" s="2">
        <v>1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2</v>
      </c>
      <c r="H65" t="s">
        <v>45</v>
      </c>
      <c r="M65" s="2">
        <v>2</v>
      </c>
    </row>
    <row r="66" spans="1:13" ht="12.75">
      <c r="A66" t="s">
        <v>46</v>
      </c>
      <c r="D66" s="2">
        <v>3</v>
      </c>
      <c r="H66" t="s">
        <v>46</v>
      </c>
      <c r="M66" s="2">
        <v>3</v>
      </c>
    </row>
    <row r="67" spans="1:13" ht="12.75">
      <c r="A67" t="s">
        <v>47</v>
      </c>
      <c r="D67" s="8">
        <f>+D65/D66*100</f>
        <v>66.66666666666666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66.66666666666666</v>
      </c>
    </row>
    <row r="68" spans="1:13" ht="12.75">
      <c r="A68" t="s">
        <v>93</v>
      </c>
      <c r="D68" s="10" t="str">
        <f>IF(V20&lt;10,V24,V23)</f>
        <v>26:42</v>
      </c>
      <c r="E68" s="8"/>
      <c r="F68" s="8"/>
      <c r="H68" t="s">
        <v>93</v>
      </c>
      <c r="M68" s="10" t="str">
        <f>IF(W20&lt;10,W24,W23)</f>
        <v>33:18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2" t="s">
        <v>84</v>
      </c>
    </row>
    <row r="72" spans="1:8" ht="12.75">
      <c r="A72" t="s">
        <v>110</v>
      </c>
      <c r="C72">
        <v>15</v>
      </c>
      <c r="D72">
        <v>86</v>
      </c>
      <c r="E72" s="12">
        <f>+D72/C72</f>
        <v>5.733333333333333</v>
      </c>
      <c r="F72">
        <v>23</v>
      </c>
      <c r="G72">
        <v>1</v>
      </c>
      <c r="H72">
        <v>1</v>
      </c>
    </row>
    <row r="73" spans="1:5" ht="12.75">
      <c r="A73" t="s">
        <v>111</v>
      </c>
      <c r="E73" s="12" t="e">
        <f>+D73/C73</f>
        <v>#DIV/0!</v>
      </c>
    </row>
    <row r="74" spans="1:8" ht="12.75">
      <c r="A74" t="s">
        <v>112</v>
      </c>
      <c r="C74">
        <v>5</v>
      </c>
      <c r="D74">
        <v>26</v>
      </c>
      <c r="E74" s="12">
        <f>+D74/C74</f>
        <v>5.2</v>
      </c>
      <c r="F74">
        <v>10</v>
      </c>
      <c r="H74">
        <v>1</v>
      </c>
    </row>
    <row r="75" spans="1:5" ht="12.75">
      <c r="A75" t="s">
        <v>113</v>
      </c>
      <c r="E75" s="12" t="e">
        <f aca="true" t="shared" si="0" ref="E75:E81">+D75/C75</f>
        <v>#DIV/0!</v>
      </c>
    </row>
    <row r="76" spans="1:5" ht="12.75">
      <c r="A76" t="s">
        <v>114</v>
      </c>
      <c r="E76" s="12" t="e">
        <f t="shared" si="0"/>
        <v>#DIV/0!</v>
      </c>
    </row>
    <row r="77" spans="1:6" ht="12.75">
      <c r="A77" t="s">
        <v>115</v>
      </c>
      <c r="C77">
        <v>2</v>
      </c>
      <c r="D77">
        <v>4</v>
      </c>
      <c r="E77" s="12">
        <f t="shared" si="0"/>
        <v>2</v>
      </c>
      <c r="F77">
        <v>4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2</v>
      </c>
      <c r="D86">
        <v>10</v>
      </c>
      <c r="E86" s="12">
        <f aca="true" t="shared" si="1" ref="E86:E96">+D86/C86</f>
        <v>5</v>
      </c>
      <c r="F86">
        <v>10</v>
      </c>
    </row>
    <row r="87" spans="1:5" ht="12.75">
      <c r="A87" t="s">
        <v>111</v>
      </c>
      <c r="E87" s="12" t="e">
        <f t="shared" si="1"/>
        <v>#DIV/0!</v>
      </c>
    </row>
    <row r="88" spans="1:6" ht="12.75">
      <c r="A88" t="s">
        <v>112</v>
      </c>
      <c r="C88">
        <v>1</v>
      </c>
      <c r="D88">
        <v>7</v>
      </c>
      <c r="E88" s="12">
        <f t="shared" si="1"/>
        <v>7</v>
      </c>
      <c r="F88">
        <v>7</v>
      </c>
    </row>
    <row r="89" spans="1:6" ht="12.75">
      <c r="A89" t="s">
        <v>115</v>
      </c>
      <c r="C89">
        <v>1</v>
      </c>
      <c r="D89">
        <v>11</v>
      </c>
      <c r="E89" s="12">
        <f t="shared" si="1"/>
        <v>11</v>
      </c>
      <c r="F89">
        <v>11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3</v>
      </c>
      <c r="D91">
        <v>59</v>
      </c>
      <c r="E91" s="12">
        <f t="shared" si="1"/>
        <v>19.666666666666668</v>
      </c>
      <c r="F91">
        <v>35</v>
      </c>
    </row>
    <row r="92" spans="1:6" ht="12.75">
      <c r="A92" t="s">
        <v>118</v>
      </c>
      <c r="C92">
        <v>3</v>
      </c>
      <c r="D92">
        <v>25</v>
      </c>
      <c r="E92" s="12">
        <f t="shared" si="1"/>
        <v>8.333333333333334</v>
      </c>
      <c r="F92">
        <v>21</v>
      </c>
    </row>
    <row r="93" spans="1:8" ht="12.75">
      <c r="A93" t="s">
        <v>119</v>
      </c>
      <c r="C93">
        <v>9</v>
      </c>
      <c r="D93">
        <v>50</v>
      </c>
      <c r="E93" s="12">
        <f t="shared" si="1"/>
        <v>5.555555555555555</v>
      </c>
      <c r="F93">
        <v>19</v>
      </c>
      <c r="G93">
        <v>1</v>
      </c>
      <c r="H93">
        <v>1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/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IF(R102&lt;0,0,R102)</f>
        <v>#DIV/0!</v>
      </c>
      <c r="T102" s="6" t="e">
        <f>+(L102-3)/4</f>
        <v>#DIV/0!</v>
      </c>
      <c r="U102" s="2" t="e">
        <f>IF(T102&lt;0,0,T102)</f>
        <v>#DIV/0!</v>
      </c>
      <c r="V102" t="e">
        <f>+J102/5</f>
        <v>#DIV/0!</v>
      </c>
      <c r="W102" s="2" t="e">
        <f>IF(V102&lt;0,0,V102)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124</v>
      </c>
      <c r="C103">
        <v>30</v>
      </c>
      <c r="D103">
        <v>19</v>
      </c>
      <c r="E103" s="12">
        <f>+D103/C103*100</f>
        <v>63.33333333333333</v>
      </c>
      <c r="F103">
        <v>162</v>
      </c>
      <c r="G103">
        <v>1</v>
      </c>
      <c r="H103">
        <v>35</v>
      </c>
      <c r="I103">
        <v>3</v>
      </c>
      <c r="J103" s="8">
        <f>+G103/C103*100</f>
        <v>3.3333333333333335</v>
      </c>
      <c r="K103" s="12">
        <f>+I103/C103*100</f>
        <v>10</v>
      </c>
      <c r="L103" s="12">
        <f>+F103/C103</f>
        <v>5.4</v>
      </c>
      <c r="M103" s="12">
        <f>100*(S103+U103+W103+Y103)/6</f>
        <v>48.88888888888889</v>
      </c>
      <c r="R103">
        <f>+(E103-30)/20</f>
        <v>1.6666666666666665</v>
      </c>
      <c r="S103" s="2">
        <f>IF(R103&lt;0,0,R103)</f>
        <v>1.6666666666666665</v>
      </c>
      <c r="T103" s="6">
        <f>+(L103-3)/4</f>
        <v>0.6000000000000001</v>
      </c>
      <c r="U103" s="2">
        <f>IF(T103&lt;0,0,T103)</f>
        <v>0.6000000000000001</v>
      </c>
      <c r="V103">
        <f>+J103/5</f>
        <v>0.6666666666666667</v>
      </c>
      <c r="W103" s="2">
        <f>IF(V103&lt;0,0,V103)</f>
        <v>0.6666666666666667</v>
      </c>
      <c r="X103">
        <f>(9.5-K103)/4</f>
        <v>-0.125</v>
      </c>
      <c r="Y103" s="2">
        <f>IF(X103&lt;0,0,X103)</f>
        <v>0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E108">
        <v>5</v>
      </c>
      <c r="F108" s="12">
        <f aca="true" t="shared" si="2" ref="F108:F113">+E108/C108</f>
        <v>5</v>
      </c>
      <c r="G108">
        <v>5</v>
      </c>
    </row>
    <row r="109" spans="1:7" ht="12.75">
      <c r="A109" t="s">
        <v>122</v>
      </c>
      <c r="C109">
        <v>1</v>
      </c>
      <c r="E109">
        <v>12</v>
      </c>
      <c r="F109" s="12">
        <f t="shared" si="2"/>
        <v>12</v>
      </c>
      <c r="G109">
        <v>12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3</v>
      </c>
      <c r="D118">
        <v>47</v>
      </c>
      <c r="E118" s="12">
        <f aca="true" t="shared" si="3" ref="E118:E123">+D118/C118</f>
        <v>15.666666666666666</v>
      </c>
      <c r="F118">
        <v>18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3</v>
      </c>
      <c r="D128">
        <v>118</v>
      </c>
      <c r="E128" s="12">
        <f>+D128/C128</f>
        <v>39.333333333333336</v>
      </c>
      <c r="F128">
        <v>45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5</v>
      </c>
      <c r="E132">
        <v>2</v>
      </c>
      <c r="F132">
        <v>2</v>
      </c>
      <c r="G132">
        <v>3</v>
      </c>
      <c r="H132">
        <v>2</v>
      </c>
      <c r="I132" s="12">
        <f>+H132/G132*100</f>
        <v>66.66666666666666</v>
      </c>
      <c r="J132">
        <v>36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6" ht="12.75">
      <c r="A142" t="s">
        <v>136</v>
      </c>
      <c r="C142">
        <v>1</v>
      </c>
      <c r="D142">
        <v>28</v>
      </c>
      <c r="E142" s="12">
        <f t="shared" si="4"/>
        <v>28</v>
      </c>
      <c r="F142">
        <v>28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12</v>
      </c>
      <c r="H163" t="s">
        <v>97</v>
      </c>
      <c r="M163">
        <v>16</v>
      </c>
    </row>
    <row r="164" spans="1:13" ht="12.75">
      <c r="A164" t="s">
        <v>98</v>
      </c>
      <c r="D164">
        <v>3</v>
      </c>
      <c r="H164" t="s">
        <v>98</v>
      </c>
      <c r="M164">
        <v>8</v>
      </c>
    </row>
    <row r="165" spans="1:15" ht="12.75">
      <c r="A165" t="s">
        <v>99</v>
      </c>
      <c r="D165">
        <f>D164/D163*100</f>
        <v>25</v>
      </c>
      <c r="E165" s="23"/>
      <c r="H165" t="s">
        <v>99</v>
      </c>
      <c r="M165">
        <f>+M164/M163*100</f>
        <v>50</v>
      </c>
      <c r="O165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65"/>
  <sheetViews>
    <sheetView workbookViewId="0" topLeftCell="A133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13</v>
      </c>
      <c r="H6" s="1" t="s">
        <v>29</v>
      </c>
      <c r="M6" s="2">
        <v>14</v>
      </c>
    </row>
    <row r="8" spans="1:23" ht="12.75">
      <c r="A8" t="s">
        <v>1</v>
      </c>
      <c r="D8" s="2">
        <v>19</v>
      </c>
      <c r="H8" t="s">
        <v>1</v>
      </c>
      <c r="M8" s="2">
        <v>33</v>
      </c>
      <c r="V8">
        <f>+D8</f>
        <v>19</v>
      </c>
      <c r="W8">
        <f>+M8</f>
        <v>33</v>
      </c>
    </row>
    <row r="9" spans="1:23" ht="12.75">
      <c r="A9" t="s">
        <v>2</v>
      </c>
      <c r="D9" s="2">
        <v>79</v>
      </c>
      <c r="H9" t="s">
        <v>2</v>
      </c>
      <c r="M9" s="2">
        <v>223</v>
      </c>
      <c r="U9" s="13"/>
      <c r="V9">
        <f>+D13</f>
        <v>19</v>
      </c>
      <c r="W9">
        <f>+M13</f>
        <v>14</v>
      </c>
    </row>
    <row r="10" spans="1:23" ht="12.75">
      <c r="A10" s="1" t="s">
        <v>3</v>
      </c>
      <c r="D10" s="8">
        <f>+D9/D8</f>
        <v>4.157894736842105</v>
      </c>
      <c r="H10" s="1" t="s">
        <v>3</v>
      </c>
      <c r="M10" s="8">
        <f>+M9/M8</f>
        <v>6.757575757575758</v>
      </c>
      <c r="V10">
        <f>+(D12-D13)/2</f>
        <v>14.5</v>
      </c>
      <c r="W10">
        <f>+(M12-M13)/2</f>
        <v>4</v>
      </c>
    </row>
    <row r="11" spans="22:23" ht="12.75">
      <c r="V11">
        <f>+D35/2</f>
        <v>3</v>
      </c>
      <c r="W11">
        <f>+M35/2</f>
        <v>2.5</v>
      </c>
    </row>
    <row r="12" spans="1:23" ht="12.75">
      <c r="A12" t="s">
        <v>4</v>
      </c>
      <c r="D12" s="2">
        <v>48</v>
      </c>
      <c r="H12" t="s">
        <v>4</v>
      </c>
      <c r="M12" s="2">
        <v>22</v>
      </c>
      <c r="V12">
        <f>+D39/2</f>
        <v>1.5</v>
      </c>
      <c r="W12">
        <f>+M39/2</f>
        <v>1</v>
      </c>
    </row>
    <row r="13" spans="1:23" ht="12.75">
      <c r="A13" t="s">
        <v>5</v>
      </c>
      <c r="D13" s="2">
        <v>19</v>
      </c>
      <c r="H13" t="s">
        <v>5</v>
      </c>
      <c r="M13" s="2">
        <v>14</v>
      </c>
      <c r="V13">
        <f>+D44/2</f>
        <v>2.5</v>
      </c>
      <c r="W13">
        <f>+M44/2</f>
        <v>1.5</v>
      </c>
    </row>
    <row r="14" spans="1:13" ht="12.75">
      <c r="A14" t="s">
        <v>6</v>
      </c>
      <c r="D14" s="8">
        <f>+D13/D12*100</f>
        <v>39.58333333333333</v>
      </c>
      <c r="H14" t="s">
        <v>6</v>
      </c>
      <c r="M14" s="8">
        <f>+M13/M12*100</f>
        <v>63.63636363636363</v>
      </c>
    </row>
    <row r="15" spans="1:24" ht="12.75">
      <c r="A15" t="s">
        <v>7</v>
      </c>
      <c r="D15" s="2">
        <v>268</v>
      </c>
      <c r="H15" t="s">
        <v>7</v>
      </c>
      <c r="M15" s="2">
        <v>214</v>
      </c>
      <c r="V15">
        <f>SUM(V8:V13)</f>
        <v>59.5</v>
      </c>
      <c r="W15">
        <f>SUM(W8:W13)</f>
        <v>56</v>
      </c>
      <c r="X15">
        <f>+W15+V15</f>
        <v>115.5</v>
      </c>
    </row>
    <row r="16" spans="1:23" ht="12.75">
      <c r="A16" t="s">
        <v>8</v>
      </c>
      <c r="D16" s="2">
        <v>4</v>
      </c>
      <c r="H16" t="s">
        <v>8</v>
      </c>
      <c r="M16" s="2">
        <v>2</v>
      </c>
      <c r="V16">
        <f>+V15/X15</f>
        <v>0.5151515151515151</v>
      </c>
      <c r="W16">
        <f>+W15/X15</f>
        <v>0.48484848484848486</v>
      </c>
    </row>
    <row r="17" spans="1:23" ht="12.75">
      <c r="A17" t="s">
        <v>9</v>
      </c>
      <c r="D17" s="2">
        <v>43</v>
      </c>
      <c r="H17" t="s">
        <v>9</v>
      </c>
      <c r="M17" s="2">
        <v>22</v>
      </c>
      <c r="V17">
        <f>+V16*60</f>
        <v>30.909090909090907</v>
      </c>
      <c r="W17">
        <f>+W16*60</f>
        <v>29.090909090909093</v>
      </c>
    </row>
    <row r="18" spans="1:23" ht="12.75">
      <c r="A18" t="s">
        <v>10</v>
      </c>
      <c r="D18">
        <f>+D15-D17</f>
        <v>225</v>
      </c>
      <c r="H18" t="s">
        <v>10</v>
      </c>
      <c r="M18">
        <f>+M15-M17</f>
        <v>192</v>
      </c>
      <c r="V18">
        <f>+V17-INT(V17)</f>
        <v>0.9090909090909065</v>
      </c>
      <c r="W18">
        <f>+W17-INT(W17)</f>
        <v>0.09090909090909349</v>
      </c>
    </row>
    <row r="19" spans="1:23" ht="12.75">
      <c r="A19" t="s">
        <v>11</v>
      </c>
      <c r="D19" s="7">
        <f>+D18/D12</f>
        <v>4.6875</v>
      </c>
      <c r="H19" t="s">
        <v>11</v>
      </c>
      <c r="M19" s="7">
        <f>+M18/M12</f>
        <v>8.727272727272727</v>
      </c>
      <c r="V19">
        <f>+V18*60</f>
        <v>54.54545454545439</v>
      </c>
      <c r="W19">
        <f>+W18*60</f>
        <v>5.45454545454561</v>
      </c>
    </row>
    <row r="20" spans="1:23" ht="12.75">
      <c r="A20" t="s">
        <v>12</v>
      </c>
      <c r="D20" s="7">
        <f>+D15/D13</f>
        <v>14.105263157894736</v>
      </c>
      <c r="H20" t="s">
        <v>12</v>
      </c>
      <c r="M20" s="7">
        <f>+M15/M13</f>
        <v>15.285714285714286</v>
      </c>
      <c r="U20">
        <v>0</v>
      </c>
      <c r="V20" s="11">
        <f>ROUND(V19,0)</f>
        <v>55</v>
      </c>
      <c r="W20">
        <f>ROUND(W19,0)</f>
        <v>5</v>
      </c>
    </row>
    <row r="21" spans="22:23" ht="12.75">
      <c r="V21">
        <f>INT(V17)</f>
        <v>30</v>
      </c>
      <c r="W21">
        <f>INT(W17)</f>
        <v>29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304</v>
      </c>
      <c r="H23" t="s">
        <v>14</v>
      </c>
      <c r="M23">
        <f>+M18+M9</f>
        <v>415</v>
      </c>
      <c r="Q23" s="9"/>
      <c r="R23" s="9"/>
      <c r="V23" s="14" t="str">
        <f>+V21&amp;V22&amp;V20</f>
        <v>30:55</v>
      </c>
      <c r="W23" s="9" t="str">
        <f>+W21&amp;W22&amp;W20</f>
        <v>29:5</v>
      </c>
    </row>
    <row r="24" spans="1:23" ht="12.75">
      <c r="A24" t="s">
        <v>15</v>
      </c>
      <c r="D24" s="7">
        <f>+D9/D23*100</f>
        <v>25.986842105263158</v>
      </c>
      <c r="H24" t="s">
        <v>15</v>
      </c>
      <c r="M24" s="7">
        <f>+M9/M23*100</f>
        <v>53.73493975903615</v>
      </c>
      <c r="V24" s="9" t="str">
        <f>IF(V20&lt;10,+V21&amp;V22&amp;$U$20&amp;V20,+V21&amp;V22&amp;V20)</f>
        <v>30:55</v>
      </c>
      <c r="W24" s="9" t="str">
        <f>IF(W20&lt;10,+W21&amp;W22&amp;$U$20&amp;W20,+W21&amp;W22&amp;W20)</f>
        <v>29:05</v>
      </c>
    </row>
    <row r="25" spans="1:13" ht="12.75">
      <c r="A25" s="1" t="s">
        <v>90</v>
      </c>
      <c r="D25" s="7">
        <f>+D18/D23*100</f>
        <v>74.01315789473685</v>
      </c>
      <c r="H25" s="1" t="s">
        <v>90</v>
      </c>
      <c r="M25" s="7">
        <f>+M18/M23*100</f>
        <v>46.265060240963855</v>
      </c>
    </row>
    <row r="27" spans="1:13" ht="12.75">
      <c r="A27" t="s">
        <v>16</v>
      </c>
      <c r="D27">
        <f>+D8+D12+D16</f>
        <v>71</v>
      </c>
      <c r="H27" t="s">
        <v>16</v>
      </c>
      <c r="M27">
        <f>+M8+M12+M16</f>
        <v>57</v>
      </c>
    </row>
    <row r="28" spans="1:13" ht="12.75">
      <c r="A28" t="s">
        <v>17</v>
      </c>
      <c r="D28" s="8">
        <f>+D23/D27</f>
        <v>4.28169014084507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7.280701754385965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>
        <v>2</v>
      </c>
    </row>
    <row r="32" spans="1:13" ht="12.75">
      <c r="A32" t="s">
        <v>20</v>
      </c>
      <c r="D32" s="2"/>
      <c r="H32" t="s">
        <v>20</v>
      </c>
      <c r="M32" s="2">
        <v>18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6</v>
      </c>
      <c r="H35" t="s">
        <v>22</v>
      </c>
      <c r="M35" s="2">
        <v>5</v>
      </c>
    </row>
    <row r="36" spans="1:13" ht="12.75">
      <c r="A36" t="s">
        <v>23</v>
      </c>
      <c r="D36" s="2">
        <v>231</v>
      </c>
      <c r="H36" t="s">
        <v>23</v>
      </c>
      <c r="M36" s="2">
        <v>171</v>
      </c>
    </row>
    <row r="37" spans="1:13" ht="12.75">
      <c r="A37" t="s">
        <v>24</v>
      </c>
      <c r="D37" s="8">
        <f>+D36/D35</f>
        <v>38.5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34.2</v>
      </c>
    </row>
    <row r="39" spans="1:13" ht="12.75">
      <c r="A39" t="s">
        <v>25</v>
      </c>
      <c r="D39" s="2">
        <v>3</v>
      </c>
      <c r="H39" t="s">
        <v>25</v>
      </c>
      <c r="M39" s="2">
        <v>2</v>
      </c>
    </row>
    <row r="40" spans="1:13" ht="12.75">
      <c r="A40" t="s">
        <v>26</v>
      </c>
      <c r="D40" s="2">
        <v>47</v>
      </c>
      <c r="H40" t="s">
        <v>26</v>
      </c>
      <c r="M40" s="2">
        <v>66</v>
      </c>
    </row>
    <row r="41" spans="1:13" ht="12.75">
      <c r="A41" t="s">
        <v>27</v>
      </c>
      <c r="D41" s="8">
        <f>+D40/D39</f>
        <v>15.666666666666666</v>
      </c>
      <c r="H41" t="s">
        <v>27</v>
      </c>
      <c r="M41" s="8">
        <f>+M40/M39</f>
        <v>33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5</v>
      </c>
      <c r="H44" t="s">
        <v>30</v>
      </c>
      <c r="M44" s="2">
        <v>3</v>
      </c>
    </row>
    <row r="45" spans="1:13" ht="12.75">
      <c r="A45" t="s">
        <v>26</v>
      </c>
      <c r="D45" s="2">
        <v>142</v>
      </c>
      <c r="H45" t="s">
        <v>26</v>
      </c>
      <c r="M45" s="2">
        <v>79</v>
      </c>
    </row>
    <row r="46" spans="1:13" ht="12.75">
      <c r="A46" t="s">
        <v>27</v>
      </c>
      <c r="D46" s="8">
        <f>+D45/D44</f>
        <v>28.4</v>
      </c>
      <c r="H46" t="s">
        <v>27</v>
      </c>
      <c r="M46" s="8">
        <f>+M45/M44</f>
        <v>26.333333333333332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2</v>
      </c>
      <c r="H49" t="s">
        <v>31</v>
      </c>
      <c r="M49" s="2">
        <v>6</v>
      </c>
    </row>
    <row r="50" spans="1:13" ht="12.75">
      <c r="A50" t="s">
        <v>32</v>
      </c>
      <c r="D50" s="2">
        <v>15</v>
      </c>
      <c r="H50" t="s">
        <v>32</v>
      </c>
      <c r="M50" s="2">
        <v>44</v>
      </c>
    </row>
    <row r="52" spans="1:13" ht="12.75">
      <c r="A52" t="s">
        <v>33</v>
      </c>
      <c r="D52" s="2"/>
      <c r="H52" t="s">
        <v>33</v>
      </c>
      <c r="M52" s="2">
        <v>3</v>
      </c>
    </row>
    <row r="53" spans="1:13" ht="12.75">
      <c r="A53" t="s">
        <v>34</v>
      </c>
      <c r="D53" s="2"/>
      <c r="H53" t="s">
        <v>34</v>
      </c>
      <c r="M53" s="2">
        <v>3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13</v>
      </c>
      <c r="H58" t="s">
        <v>38</v>
      </c>
      <c r="M58" s="2">
        <v>31</v>
      </c>
    </row>
    <row r="59" spans="1:13" ht="12.75">
      <c r="A59" t="s">
        <v>39</v>
      </c>
      <c r="D59" s="2">
        <v>1</v>
      </c>
      <c r="H59" t="s">
        <v>39</v>
      </c>
      <c r="M59" s="2">
        <v>4</v>
      </c>
    </row>
    <row r="60" spans="1:13" ht="12.75">
      <c r="A60" t="s">
        <v>40</v>
      </c>
      <c r="D60" s="2">
        <v>1</v>
      </c>
      <c r="H60" t="s">
        <v>40</v>
      </c>
      <c r="M60" s="2">
        <v>2</v>
      </c>
    </row>
    <row r="61" spans="1:13" ht="12.75">
      <c r="A61" t="s">
        <v>41</v>
      </c>
      <c r="D61" s="2"/>
      <c r="H61" t="s">
        <v>41</v>
      </c>
      <c r="M61" s="2">
        <v>2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1</v>
      </c>
      <c r="H63" t="s">
        <v>43</v>
      </c>
      <c r="M63" s="2">
        <v>4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2</v>
      </c>
      <c r="H65" t="s">
        <v>45</v>
      </c>
      <c r="M65" s="2">
        <v>1</v>
      </c>
    </row>
    <row r="66" spans="1:13" ht="12.75">
      <c r="A66" t="s">
        <v>46</v>
      </c>
      <c r="D66" s="2">
        <v>4</v>
      </c>
      <c r="H66" t="s">
        <v>46</v>
      </c>
      <c r="M66" s="2">
        <v>1</v>
      </c>
    </row>
    <row r="67" spans="1:13" ht="12.75">
      <c r="A67" t="s">
        <v>47</v>
      </c>
      <c r="D67" s="8">
        <f>+D65/D66*100</f>
        <v>50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100</v>
      </c>
    </row>
    <row r="68" spans="1:13" ht="12.75">
      <c r="A68" t="s">
        <v>93</v>
      </c>
      <c r="D68" s="10" t="str">
        <f>IF(V20&lt;10,V24,V23)</f>
        <v>30:55</v>
      </c>
      <c r="E68" s="8"/>
      <c r="F68" s="8"/>
      <c r="H68" t="s">
        <v>93</v>
      </c>
      <c r="M68" s="10" t="str">
        <f>IF(W20&lt;10,W24,W23)</f>
        <v>29:05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12</v>
      </c>
      <c r="D72">
        <v>68</v>
      </c>
      <c r="E72" s="12">
        <f>+D72/C72</f>
        <v>5.666666666666667</v>
      </c>
      <c r="F72">
        <v>22</v>
      </c>
    </row>
    <row r="73" spans="1:5" ht="12.75">
      <c r="A73" t="s">
        <v>111</v>
      </c>
      <c r="E73" s="12" t="e">
        <f>+D73/C73</f>
        <v>#DIV/0!</v>
      </c>
    </row>
    <row r="74" spans="1:5" ht="12.75">
      <c r="A74" t="s">
        <v>112</v>
      </c>
      <c r="E74" s="12" t="e">
        <f>+D74/C74</f>
        <v>#DIV/0!</v>
      </c>
    </row>
    <row r="75" spans="1:5" ht="12.75">
      <c r="A75" t="s">
        <v>113</v>
      </c>
      <c r="E75" s="12" t="e">
        <f aca="true" t="shared" si="0" ref="E75:E81">+D75/C75</f>
        <v>#DIV/0!</v>
      </c>
    </row>
    <row r="76" spans="1:5" ht="12.75">
      <c r="A76" t="s">
        <v>114</v>
      </c>
      <c r="E76" s="12" t="e">
        <f t="shared" si="0"/>
        <v>#DIV/0!</v>
      </c>
    </row>
    <row r="77" spans="1:7" ht="12.75">
      <c r="A77" t="s">
        <v>115</v>
      </c>
      <c r="C77">
        <v>5</v>
      </c>
      <c r="D77">
        <v>3</v>
      </c>
      <c r="E77" s="12">
        <f t="shared" si="0"/>
        <v>0.6</v>
      </c>
      <c r="F77">
        <v>2</v>
      </c>
      <c r="G77">
        <v>1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6" ht="12.75">
      <c r="A80" t="s">
        <v>124</v>
      </c>
      <c r="C80">
        <v>2</v>
      </c>
      <c r="D80">
        <v>8</v>
      </c>
      <c r="E80" s="12">
        <f t="shared" si="0"/>
        <v>4</v>
      </c>
      <c r="F80">
        <v>5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2</v>
      </c>
      <c r="D86">
        <v>11</v>
      </c>
      <c r="E86" s="12">
        <f aca="true" t="shared" si="1" ref="E86:E97">+D86/C86</f>
        <v>5.5</v>
      </c>
      <c r="F86">
        <v>12</v>
      </c>
    </row>
    <row r="87" spans="1:5" ht="12.75">
      <c r="A87" t="s">
        <v>111</v>
      </c>
      <c r="E87" s="12" t="e">
        <f t="shared" si="1"/>
        <v>#DIV/0!</v>
      </c>
    </row>
    <row r="88" spans="1:5" ht="12.75">
      <c r="A88" t="s">
        <v>112</v>
      </c>
      <c r="E88" s="12" t="e">
        <f t="shared" si="1"/>
        <v>#DIV/0!</v>
      </c>
    </row>
    <row r="89" spans="1:6" ht="12.75">
      <c r="A89" t="s">
        <v>115</v>
      </c>
      <c r="C89">
        <v>2</v>
      </c>
      <c r="D89">
        <v>9</v>
      </c>
      <c r="E89" s="12">
        <f t="shared" si="1"/>
        <v>4.5</v>
      </c>
      <c r="F89">
        <v>6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6</v>
      </c>
      <c r="D91">
        <v>124</v>
      </c>
      <c r="E91" s="12">
        <f t="shared" si="1"/>
        <v>20.666666666666668</v>
      </c>
      <c r="F91">
        <v>50</v>
      </c>
    </row>
    <row r="92" spans="1:5" ht="12.75">
      <c r="A92" t="s">
        <v>118</v>
      </c>
      <c r="E92" s="12" t="e">
        <f t="shared" si="1"/>
        <v>#DIV/0!</v>
      </c>
    </row>
    <row r="93" spans="1:6" ht="12.75">
      <c r="A93" t="s">
        <v>119</v>
      </c>
      <c r="C93">
        <v>5</v>
      </c>
      <c r="D93">
        <v>41</v>
      </c>
      <c r="E93" s="12">
        <f t="shared" si="1"/>
        <v>8.2</v>
      </c>
      <c r="F93">
        <v>18</v>
      </c>
    </row>
    <row r="94" spans="1:6" ht="12.75">
      <c r="A94" t="s">
        <v>120</v>
      </c>
      <c r="C94">
        <v>4</v>
      </c>
      <c r="D94">
        <v>83</v>
      </c>
      <c r="E94" s="12">
        <f t="shared" si="1"/>
        <v>20.75</v>
      </c>
      <c r="F94">
        <v>30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26</v>
      </c>
      <c r="D102">
        <v>11</v>
      </c>
      <c r="E102" s="12">
        <f>+D102/C102*100</f>
        <v>42.30769230769231</v>
      </c>
      <c r="F102">
        <v>188</v>
      </c>
      <c r="H102">
        <v>50</v>
      </c>
      <c r="J102" s="8">
        <f>+G102/C102*100</f>
        <v>0</v>
      </c>
      <c r="K102" s="12">
        <f>+I102/C102*100</f>
        <v>0</v>
      </c>
      <c r="L102" s="12">
        <f>+F102/C102</f>
        <v>7.230769230769231</v>
      </c>
      <c r="M102" s="12">
        <f>100*(S102+U102+W102+Y102)/6</f>
        <v>67.46794871794872</v>
      </c>
      <c r="R102">
        <f>+(E102-30)/20</f>
        <v>0.6153846153846153</v>
      </c>
      <c r="S102" s="2">
        <f>IF(R102&lt;0,0,R102)</f>
        <v>0.6153846153846153</v>
      </c>
      <c r="T102" s="6">
        <f>+(L102-3)/4</f>
        <v>1.0576923076923077</v>
      </c>
      <c r="U102" s="2">
        <f>IF(T102&lt;0,0,T102)</f>
        <v>1.0576923076923077</v>
      </c>
      <c r="V102">
        <f>+J102/5</f>
        <v>0</v>
      </c>
      <c r="W102" s="2">
        <f>IF(V102&lt;0,0,V102)</f>
        <v>0</v>
      </c>
      <c r="X102">
        <f>(9.5-K102)/4</f>
        <v>2.375</v>
      </c>
      <c r="Y102" s="2">
        <f>IF(X102&lt;0,0,X102)</f>
        <v>2.375</v>
      </c>
    </row>
    <row r="103" spans="1:25" ht="12.75">
      <c r="A103" t="s">
        <v>124</v>
      </c>
      <c r="C103">
        <v>19</v>
      </c>
      <c r="D103">
        <v>8</v>
      </c>
      <c r="E103" s="12">
        <f>+D103/C103*100</f>
        <v>42.10526315789473</v>
      </c>
      <c r="F103">
        <v>80</v>
      </c>
      <c r="H103">
        <v>29</v>
      </c>
      <c r="J103" s="8"/>
      <c r="K103" s="12"/>
      <c r="L103" s="12"/>
      <c r="M103" s="12"/>
      <c r="R103">
        <f>+(E103-30)/20</f>
        <v>0.6052631578947366</v>
      </c>
      <c r="S103" s="2">
        <f>IF(R103&lt;0,0,R103)</f>
        <v>0.6052631578947366</v>
      </c>
      <c r="T103" s="6">
        <f>+(L103-3)/4</f>
        <v>-0.75</v>
      </c>
      <c r="U103" s="2">
        <f>IF(T103&lt;0,0,T103)</f>
        <v>0</v>
      </c>
      <c r="V103">
        <f>+J103/5</f>
        <v>0</v>
      </c>
      <c r="W103" s="2">
        <f>IF(V103&lt;0,0,V103)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122</v>
      </c>
      <c r="C104">
        <v>3</v>
      </c>
      <c r="E104" s="12">
        <f>+D104/C104*100</f>
        <v>0</v>
      </c>
      <c r="J104" s="8">
        <f>+G104/C104*100</f>
        <v>0</v>
      </c>
      <c r="K104" s="12">
        <f>+I104/C104*100</f>
        <v>0</v>
      </c>
      <c r="L104" s="12">
        <f>+F104/C104</f>
        <v>0</v>
      </c>
      <c r="M104" s="12">
        <f>100*(S104+U104+W104+Y104)/6</f>
        <v>39.583333333333336</v>
      </c>
      <c r="R104">
        <f>+(E104-30)/20</f>
        <v>-1.5</v>
      </c>
      <c r="S104" s="2">
        <f>IF(R104&lt;0,0,R104)</f>
        <v>0</v>
      </c>
      <c r="T104" s="6">
        <f>+(L104-3)/4</f>
        <v>-0.75</v>
      </c>
      <c r="U104" s="2">
        <f>IF(T104&lt;0,0,T104)</f>
        <v>0</v>
      </c>
      <c r="V104">
        <f>+J104/5</f>
        <v>0</v>
      </c>
      <c r="W104" s="2">
        <f>IF(V104&lt;0,0,V104)</f>
        <v>0</v>
      </c>
      <c r="X104">
        <f>(9.5-K104)/4</f>
        <v>2.375</v>
      </c>
      <c r="Y104" s="2">
        <f>IF(X104&lt;0,0,X104)</f>
        <v>2.375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3</v>
      </c>
      <c r="E108">
        <v>47</v>
      </c>
      <c r="F108" s="12">
        <f aca="true" t="shared" si="2" ref="F108:F113">+E108/C108</f>
        <v>15.666666666666666</v>
      </c>
      <c r="G108">
        <v>26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5</v>
      </c>
      <c r="D118">
        <v>142</v>
      </c>
      <c r="E118" s="12">
        <f aca="true" t="shared" si="3" ref="E118:E123">+D118/C118</f>
        <v>28.4</v>
      </c>
      <c r="F118">
        <v>40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231</v>
      </c>
      <c r="E128" s="12">
        <f>+D128/C128</f>
        <v>38.5</v>
      </c>
      <c r="F128">
        <v>52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5</v>
      </c>
      <c r="E132">
        <v>1</v>
      </c>
      <c r="F132">
        <v>1</v>
      </c>
      <c r="G132">
        <v>4</v>
      </c>
      <c r="H132">
        <v>2</v>
      </c>
      <c r="I132" s="12">
        <f>+H132/G132*100</f>
        <v>50</v>
      </c>
      <c r="J132">
        <v>47</v>
      </c>
    </row>
    <row r="135" spans="1:8" ht="12.75">
      <c r="A135" s="2" t="s">
        <v>85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6" ht="12.75">
      <c r="A141" t="s">
        <v>125</v>
      </c>
      <c r="C141">
        <v>1</v>
      </c>
      <c r="D141">
        <v>7</v>
      </c>
      <c r="E141" s="12">
        <f t="shared" si="4"/>
        <v>7</v>
      </c>
      <c r="F141">
        <v>7</v>
      </c>
    </row>
    <row r="142" spans="1:5" ht="12.75">
      <c r="A142" t="s">
        <v>136</v>
      </c>
      <c r="C142">
        <v>1</v>
      </c>
      <c r="E142" s="12">
        <f t="shared" si="4"/>
        <v>0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ht="12.75">
      <c r="A149" t="s">
        <v>134</v>
      </c>
    </row>
    <row r="150" spans="1:4" ht="12.75">
      <c r="A150" t="s">
        <v>138</v>
      </c>
      <c r="C150">
        <v>1</v>
      </c>
      <c r="D150">
        <v>11</v>
      </c>
    </row>
    <row r="151" ht="12.75">
      <c r="A151" t="s">
        <v>139</v>
      </c>
    </row>
    <row r="152" spans="1:4" ht="12.75">
      <c r="A152" t="s">
        <v>140</v>
      </c>
      <c r="C152">
        <v>1</v>
      </c>
      <c r="D152">
        <v>11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13</v>
      </c>
      <c r="H163" t="s">
        <v>97</v>
      </c>
      <c r="M163">
        <v>12</v>
      </c>
    </row>
    <row r="164" spans="1:13" ht="12.75">
      <c r="A164" t="s">
        <v>98</v>
      </c>
      <c r="D164">
        <v>4</v>
      </c>
      <c r="H164" t="s">
        <v>98</v>
      </c>
      <c r="M164">
        <v>3</v>
      </c>
    </row>
    <row r="165" spans="1:15" ht="12.75">
      <c r="A165" t="s">
        <v>99</v>
      </c>
      <c r="D165">
        <f>D164/D163*100</f>
        <v>30.76923076923077</v>
      </c>
      <c r="E165" s="23"/>
      <c r="H165" t="s">
        <v>99</v>
      </c>
      <c r="M165">
        <f>+M164/M163*100</f>
        <v>25</v>
      </c>
      <c r="O165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65"/>
  <sheetViews>
    <sheetView workbookViewId="0" topLeftCell="A18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16" ht="12.75">
      <c r="A3" s="2" t="s">
        <v>0</v>
      </c>
      <c r="H3" s="2" t="s">
        <v>48</v>
      </c>
      <c r="P3" s="16"/>
    </row>
    <row r="6" spans="1:13" ht="12.75">
      <c r="A6" s="1" t="s">
        <v>29</v>
      </c>
      <c r="D6" s="2">
        <v>12</v>
      </c>
      <c r="H6" s="1" t="s">
        <v>29</v>
      </c>
      <c r="M6" s="2">
        <v>11</v>
      </c>
    </row>
    <row r="8" spans="1:23" ht="12.75">
      <c r="A8" t="s">
        <v>1</v>
      </c>
      <c r="D8" s="2">
        <v>27</v>
      </c>
      <c r="H8" t="s">
        <v>1</v>
      </c>
      <c r="M8" s="2">
        <v>35</v>
      </c>
      <c r="V8">
        <f>+D8</f>
        <v>27</v>
      </c>
      <c r="W8">
        <f>+M8</f>
        <v>35</v>
      </c>
    </row>
    <row r="9" spans="1:23" ht="12.75">
      <c r="A9" t="s">
        <v>2</v>
      </c>
      <c r="D9" s="2">
        <v>73</v>
      </c>
      <c r="H9" t="s">
        <v>2</v>
      </c>
      <c r="M9" s="2">
        <v>176</v>
      </c>
      <c r="U9" s="13"/>
      <c r="V9">
        <f>+D13</f>
        <v>17</v>
      </c>
      <c r="W9">
        <f>+M13</f>
        <v>9</v>
      </c>
    </row>
    <row r="10" spans="1:23" ht="12.75">
      <c r="A10" s="1" t="s">
        <v>3</v>
      </c>
      <c r="D10" s="8">
        <f>+D9/D8</f>
        <v>2.7037037037037037</v>
      </c>
      <c r="H10" s="1" t="s">
        <v>3</v>
      </c>
      <c r="M10" s="8">
        <f>+M9/M8</f>
        <v>5.0285714285714285</v>
      </c>
      <c r="V10">
        <f>+(D12-D13)/2</f>
        <v>8.5</v>
      </c>
      <c r="W10">
        <f>+(M12-M13)/2</f>
        <v>6.5</v>
      </c>
    </row>
    <row r="11" spans="16:23" ht="12.75">
      <c r="P11" s="18"/>
      <c r="V11">
        <f>+D35/2</f>
        <v>3</v>
      </c>
      <c r="W11">
        <f>+M35/2</f>
        <v>1.5</v>
      </c>
    </row>
    <row r="12" spans="1:23" ht="12.75">
      <c r="A12" t="s">
        <v>4</v>
      </c>
      <c r="D12" s="2">
        <v>34</v>
      </c>
      <c r="F12" s="17"/>
      <c r="H12" t="s">
        <v>4</v>
      </c>
      <c r="M12" s="2">
        <v>22</v>
      </c>
      <c r="V12">
        <f>+D39/2</f>
        <v>0.5</v>
      </c>
      <c r="W12">
        <f>+M39/2</f>
        <v>2</v>
      </c>
    </row>
    <row r="13" spans="1:23" ht="12.75">
      <c r="A13" t="s">
        <v>5</v>
      </c>
      <c r="D13" s="2">
        <v>17</v>
      </c>
      <c r="F13" s="19"/>
      <c r="H13" t="s">
        <v>5</v>
      </c>
      <c r="M13" s="2">
        <v>9</v>
      </c>
      <c r="V13">
        <f>+D44/2</f>
        <v>1.5</v>
      </c>
      <c r="W13">
        <f>+M44/2</f>
        <v>2.5</v>
      </c>
    </row>
    <row r="14" spans="1:13" ht="12.75">
      <c r="A14" t="s">
        <v>6</v>
      </c>
      <c r="D14" s="8">
        <f>+D13/D12*100</f>
        <v>50</v>
      </c>
      <c r="F14" s="19"/>
      <c r="H14" t="s">
        <v>6</v>
      </c>
      <c r="M14" s="8">
        <f>+M13/M12*100</f>
        <v>40.909090909090914</v>
      </c>
    </row>
    <row r="15" spans="1:24" ht="12.75">
      <c r="A15" t="s">
        <v>7</v>
      </c>
      <c r="D15" s="2">
        <v>246</v>
      </c>
      <c r="F15" s="19"/>
      <c r="H15" t="s">
        <v>7</v>
      </c>
      <c r="M15" s="2">
        <v>137</v>
      </c>
      <c r="V15">
        <f>SUM(V8:V13)</f>
        <v>57.5</v>
      </c>
      <c r="W15">
        <f>SUM(W8:W13)</f>
        <v>56.5</v>
      </c>
      <c r="X15">
        <f>+W15+V15</f>
        <v>114</v>
      </c>
    </row>
    <row r="16" spans="1:23" ht="12.75">
      <c r="A16" t="s">
        <v>8</v>
      </c>
      <c r="D16" s="2">
        <v>2</v>
      </c>
      <c r="F16" s="19"/>
      <c r="H16" t="s">
        <v>8</v>
      </c>
      <c r="M16" s="2">
        <v>1</v>
      </c>
      <c r="V16">
        <f>+V15/X15</f>
        <v>0.5043859649122807</v>
      </c>
      <c r="W16">
        <f>+W15/X15</f>
        <v>0.4956140350877193</v>
      </c>
    </row>
    <row r="17" spans="1:23" ht="12.75">
      <c r="A17" t="s">
        <v>9</v>
      </c>
      <c r="D17" s="2">
        <v>9</v>
      </c>
      <c r="F17" s="19"/>
      <c r="H17" t="s">
        <v>9</v>
      </c>
      <c r="M17" s="2">
        <v>7</v>
      </c>
      <c r="V17">
        <f>+V16*60</f>
        <v>30.263157894736842</v>
      </c>
      <c r="W17">
        <f>+W16*60</f>
        <v>29.736842105263158</v>
      </c>
    </row>
    <row r="18" spans="1:23" ht="12.75">
      <c r="A18" t="s">
        <v>10</v>
      </c>
      <c r="D18">
        <f>+D15-D17</f>
        <v>237</v>
      </c>
      <c r="F18" s="19"/>
      <c r="H18" t="s">
        <v>10</v>
      </c>
      <c r="M18">
        <f>+M15-M17</f>
        <v>130</v>
      </c>
      <c r="V18">
        <f>+V17-INT(V17)</f>
        <v>0.2631578947368425</v>
      </c>
      <c r="W18">
        <f>+W17-INT(W17)</f>
        <v>0.7368421052631575</v>
      </c>
    </row>
    <row r="19" spans="1:23" ht="12.75">
      <c r="A19" t="s">
        <v>11</v>
      </c>
      <c r="D19" s="7">
        <f>+D18/D12</f>
        <v>6.970588235294118</v>
      </c>
      <c r="F19" s="19"/>
      <c r="H19" t="s">
        <v>11</v>
      </c>
      <c r="M19" s="7">
        <f>+M18/M12</f>
        <v>5.909090909090909</v>
      </c>
      <c r="V19">
        <f>+V18*60</f>
        <v>15.789473684210549</v>
      </c>
      <c r="W19">
        <f>+W18*60</f>
        <v>44.21052631578945</v>
      </c>
    </row>
    <row r="20" spans="1:23" ht="12.75">
      <c r="A20" t="s">
        <v>12</v>
      </c>
      <c r="D20" s="7">
        <f>+D15/D13</f>
        <v>14.470588235294118</v>
      </c>
      <c r="F20" s="19"/>
      <c r="H20" t="s">
        <v>12</v>
      </c>
      <c r="M20" s="7">
        <f>+M15/M13</f>
        <v>15.222222222222221</v>
      </c>
      <c r="U20">
        <v>0</v>
      </c>
      <c r="V20" s="11">
        <f>ROUND(V19,0)</f>
        <v>16</v>
      </c>
      <c r="W20">
        <f>ROUND(W19,0)</f>
        <v>44</v>
      </c>
    </row>
    <row r="21" spans="6:23" ht="12.75">
      <c r="F21" s="19"/>
      <c r="V21">
        <f>INT(V17)</f>
        <v>30</v>
      </c>
      <c r="W21">
        <f>INT(W17)</f>
        <v>29</v>
      </c>
    </row>
    <row r="22" spans="1:23" ht="12.75">
      <c r="A22" t="s">
        <v>13</v>
      </c>
      <c r="F22" s="19"/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310</v>
      </c>
      <c r="F23" s="19"/>
      <c r="H23" t="s">
        <v>14</v>
      </c>
      <c r="M23">
        <f>+M18+M9</f>
        <v>306</v>
      </c>
      <c r="Q23" s="9"/>
      <c r="R23" s="9"/>
      <c r="V23" s="14" t="str">
        <f>+V21&amp;V22&amp;V20</f>
        <v>30:16</v>
      </c>
      <c r="W23" s="9" t="str">
        <f>+W21&amp;W22&amp;W20</f>
        <v>29:44</v>
      </c>
    </row>
    <row r="24" spans="1:23" ht="12.75">
      <c r="A24" t="s">
        <v>15</v>
      </c>
      <c r="D24" s="7">
        <f>+D9/D23*100</f>
        <v>23.548387096774192</v>
      </c>
      <c r="F24" s="19"/>
      <c r="H24" t="s">
        <v>15</v>
      </c>
      <c r="M24" s="7">
        <f>+M9/M23*100</f>
        <v>57.51633986928104</v>
      </c>
      <c r="V24" s="9" t="str">
        <f>IF(V20&lt;10,+V21&amp;V22&amp;$U$20&amp;V20,+V21&amp;V22&amp;V20)</f>
        <v>30:16</v>
      </c>
      <c r="W24" s="9" t="str">
        <f>IF(W20&lt;10,+W21&amp;W22&amp;$U$20&amp;W20,+W21&amp;W22&amp;W20)</f>
        <v>29:44</v>
      </c>
    </row>
    <row r="25" spans="1:13" ht="12.75">
      <c r="A25" s="1" t="s">
        <v>90</v>
      </c>
      <c r="D25" s="7">
        <f>+D18/D23*100</f>
        <v>76.45161290322581</v>
      </c>
      <c r="F25" s="19"/>
      <c r="H25" s="1" t="s">
        <v>90</v>
      </c>
      <c r="M25" s="7">
        <f>+M18/M23*100</f>
        <v>42.48366013071895</v>
      </c>
    </row>
    <row r="26" ht="12.75">
      <c r="F26" s="19"/>
    </row>
    <row r="27" spans="1:13" ht="12.75">
      <c r="A27" t="s">
        <v>16</v>
      </c>
      <c r="D27">
        <f>+D8+D12+D16</f>
        <v>63</v>
      </c>
      <c r="F27" s="19"/>
      <c r="H27" t="s">
        <v>16</v>
      </c>
      <c r="M27">
        <f>+M6+M12+M16</f>
        <v>34</v>
      </c>
    </row>
    <row r="28" spans="1:13" ht="12.75">
      <c r="A28" t="s">
        <v>17</v>
      </c>
      <c r="D28" s="8">
        <f>+D23/D27</f>
        <v>4.920634920634921</v>
      </c>
      <c r="E28" s="7"/>
      <c r="F28" s="20"/>
      <c r="G28" s="7"/>
      <c r="H28" s="7" t="s">
        <v>17</v>
      </c>
      <c r="I28" s="7"/>
      <c r="J28" s="7"/>
      <c r="K28" s="7"/>
      <c r="L28" s="7"/>
      <c r="M28" s="8">
        <f>+M23/M27</f>
        <v>9</v>
      </c>
    </row>
    <row r="29" ht="12.75">
      <c r="F29" s="19"/>
    </row>
    <row r="30" spans="1:8" ht="12.75">
      <c r="A30" t="s">
        <v>18</v>
      </c>
      <c r="F30" s="17"/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3</v>
      </c>
    </row>
    <row r="32" spans="1:13" ht="12.75">
      <c r="A32" t="s">
        <v>20</v>
      </c>
      <c r="D32" s="2">
        <v>4</v>
      </c>
      <c r="H32" t="s">
        <v>20</v>
      </c>
      <c r="M32" s="2">
        <v>39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6</v>
      </c>
      <c r="H35" t="s">
        <v>22</v>
      </c>
      <c r="M35" s="2">
        <v>3</v>
      </c>
    </row>
    <row r="36" spans="1:13" ht="12.75">
      <c r="A36" t="s">
        <v>23</v>
      </c>
      <c r="D36" s="2">
        <v>235</v>
      </c>
      <c r="H36" t="s">
        <v>23</v>
      </c>
      <c r="M36" s="2">
        <v>147</v>
      </c>
    </row>
    <row r="37" spans="1:13" ht="12.75">
      <c r="A37" t="s">
        <v>24</v>
      </c>
      <c r="D37" s="8">
        <f>+D36/D35</f>
        <v>39.166666666666664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49</v>
      </c>
    </row>
    <row r="39" spans="1:13" ht="12.75">
      <c r="A39" t="s">
        <v>25</v>
      </c>
      <c r="D39" s="2">
        <v>1</v>
      </c>
      <c r="H39" t="s">
        <v>25</v>
      </c>
      <c r="M39" s="2">
        <v>4</v>
      </c>
    </row>
    <row r="40" spans="1:13" ht="12.75">
      <c r="A40" t="s">
        <v>26</v>
      </c>
      <c r="D40" s="2">
        <v>26</v>
      </c>
      <c r="H40" t="s">
        <v>26</v>
      </c>
      <c r="M40" s="2">
        <v>59</v>
      </c>
    </row>
    <row r="41" spans="1:13" ht="12.75">
      <c r="A41" t="s">
        <v>27</v>
      </c>
      <c r="D41" s="8">
        <f>+D40/D39</f>
        <v>26</v>
      </c>
      <c r="H41" t="s">
        <v>27</v>
      </c>
      <c r="M41" s="8">
        <f>+M40/M39</f>
        <v>14.75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3</v>
      </c>
      <c r="H44" t="s">
        <v>30</v>
      </c>
      <c r="M44" s="2">
        <v>5</v>
      </c>
    </row>
    <row r="45" spans="1:13" ht="12.75">
      <c r="A45" t="s">
        <v>26</v>
      </c>
      <c r="D45" s="2">
        <v>67</v>
      </c>
      <c r="H45" t="s">
        <v>26</v>
      </c>
      <c r="M45" s="2">
        <v>110</v>
      </c>
    </row>
    <row r="46" spans="1:16" ht="12.75">
      <c r="A46" t="s">
        <v>27</v>
      </c>
      <c r="D46" s="8">
        <f>+D45/D44</f>
        <v>22.333333333333332</v>
      </c>
      <c r="H46" t="s">
        <v>27</v>
      </c>
      <c r="M46" s="8">
        <f>+M45/M44</f>
        <v>22</v>
      </c>
      <c r="P46">
        <f>M40+M45</f>
        <v>169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4</v>
      </c>
      <c r="H49" t="s">
        <v>31</v>
      </c>
      <c r="M49" s="2">
        <v>6</v>
      </c>
    </row>
    <row r="50" spans="1:13" ht="12.75">
      <c r="A50" t="s">
        <v>32</v>
      </c>
      <c r="D50" s="2">
        <v>35</v>
      </c>
      <c r="H50" t="s">
        <v>32</v>
      </c>
      <c r="M50" s="2">
        <v>46</v>
      </c>
    </row>
    <row r="52" spans="1:13" ht="12.75">
      <c r="A52" t="s">
        <v>33</v>
      </c>
      <c r="D52" s="2">
        <v>1</v>
      </c>
      <c r="H52" t="s">
        <v>33</v>
      </c>
      <c r="M52" s="2">
        <v>5</v>
      </c>
    </row>
    <row r="53" spans="1:13" ht="12.75">
      <c r="A53" t="s">
        <v>34</v>
      </c>
      <c r="D53" s="2">
        <v>1</v>
      </c>
      <c r="H53" t="s">
        <v>34</v>
      </c>
      <c r="M53" s="2">
        <v>3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>
        <v>2</v>
      </c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16</v>
      </c>
      <c r="H58" t="s">
        <v>38</v>
      </c>
      <c r="M58" s="2">
        <v>10</v>
      </c>
    </row>
    <row r="59" spans="1:13" ht="12.75">
      <c r="A59" t="s">
        <v>39</v>
      </c>
      <c r="D59" s="2">
        <v>1</v>
      </c>
      <c r="H59" t="s">
        <v>39</v>
      </c>
      <c r="M59" s="2">
        <v>1</v>
      </c>
    </row>
    <row r="60" spans="1:13" ht="12.75">
      <c r="A60" t="s">
        <v>40</v>
      </c>
      <c r="D60" s="2"/>
      <c r="H60" t="s">
        <v>40</v>
      </c>
      <c r="M60" s="2"/>
    </row>
    <row r="61" spans="1:13" ht="12.75">
      <c r="A61" t="s">
        <v>41</v>
      </c>
      <c r="D61" s="2">
        <v>1</v>
      </c>
      <c r="H61" t="s">
        <v>41</v>
      </c>
      <c r="M61" s="2">
        <v>1</v>
      </c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1</v>
      </c>
      <c r="H63" t="s">
        <v>43</v>
      </c>
      <c r="M63" s="2">
        <v>1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3</v>
      </c>
      <c r="H65" t="s">
        <v>45</v>
      </c>
      <c r="M65" s="2">
        <v>1</v>
      </c>
    </row>
    <row r="66" spans="1:13" ht="12.75">
      <c r="A66" t="s">
        <v>46</v>
      </c>
      <c r="D66" s="2">
        <v>4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75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50</v>
      </c>
    </row>
    <row r="68" spans="1:13" ht="12.75">
      <c r="A68" t="s">
        <v>93</v>
      </c>
      <c r="D68" s="10" t="str">
        <f>IF(V20&lt;10,V24,V23)</f>
        <v>30:16</v>
      </c>
      <c r="E68" s="8"/>
      <c r="F68" s="8"/>
      <c r="H68" t="s">
        <v>93</v>
      </c>
      <c r="M68" s="10" t="str">
        <f>IF(W20&lt;10,W24,W23)</f>
        <v>29:44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8" ht="12.75">
      <c r="A72" t="s">
        <v>110</v>
      </c>
      <c r="C72">
        <v>11</v>
      </c>
      <c r="D72">
        <v>31</v>
      </c>
      <c r="E72" s="12">
        <f>+D72/C72</f>
        <v>2.8181818181818183</v>
      </c>
      <c r="F72">
        <v>21</v>
      </c>
      <c r="H72">
        <v>1</v>
      </c>
    </row>
    <row r="73" spans="1:5" ht="12.75">
      <c r="A73" t="s">
        <v>111</v>
      </c>
      <c r="E73" s="12" t="e">
        <f>+D73/C73</f>
        <v>#DIV/0!</v>
      </c>
    </row>
    <row r="74" spans="1:8" ht="12.75">
      <c r="A74" t="s">
        <v>112</v>
      </c>
      <c r="C74">
        <v>10</v>
      </c>
      <c r="D74">
        <v>30</v>
      </c>
      <c r="E74" s="12">
        <f>+D74/C74</f>
        <v>3</v>
      </c>
      <c r="F74">
        <v>19</v>
      </c>
      <c r="H74">
        <v>1</v>
      </c>
    </row>
    <row r="75" spans="1:6" ht="12.75">
      <c r="A75" t="s">
        <v>113</v>
      </c>
      <c r="C75">
        <v>6</v>
      </c>
      <c r="D75">
        <v>12</v>
      </c>
      <c r="E75" s="12">
        <f aca="true" t="shared" si="0" ref="E75:E81">+D75/C75</f>
        <v>2</v>
      </c>
      <c r="F75">
        <v>7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2</v>
      </c>
      <c r="D86">
        <v>28</v>
      </c>
      <c r="E86" s="12">
        <f aca="true" t="shared" si="1" ref="E86:E97">+D86/C86</f>
        <v>14</v>
      </c>
      <c r="F86">
        <v>14</v>
      </c>
    </row>
    <row r="87" spans="1:6" ht="12.75">
      <c r="A87" t="s">
        <v>111</v>
      </c>
      <c r="C87">
        <v>3</v>
      </c>
      <c r="D87">
        <v>12</v>
      </c>
      <c r="E87" s="12">
        <f t="shared" si="1"/>
        <v>4</v>
      </c>
      <c r="F87">
        <v>8</v>
      </c>
    </row>
    <row r="88" spans="1:6" ht="12.75">
      <c r="A88" t="s">
        <v>112</v>
      </c>
      <c r="C88">
        <v>1</v>
      </c>
      <c r="D88">
        <v>13</v>
      </c>
      <c r="E88" s="12">
        <f t="shared" si="1"/>
        <v>13</v>
      </c>
      <c r="F88">
        <v>13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3</v>
      </c>
      <c r="D91">
        <v>66</v>
      </c>
      <c r="E91" s="12">
        <f t="shared" si="1"/>
        <v>22</v>
      </c>
      <c r="F91">
        <v>50</v>
      </c>
    </row>
    <row r="92" spans="1:6" ht="12.75">
      <c r="A92" t="s">
        <v>118</v>
      </c>
      <c r="C92">
        <v>2</v>
      </c>
      <c r="D92">
        <v>11</v>
      </c>
      <c r="E92" s="12">
        <f t="shared" si="1"/>
        <v>5.5</v>
      </c>
      <c r="F92">
        <v>15</v>
      </c>
    </row>
    <row r="93" spans="1:5" ht="12.75">
      <c r="A93" t="s">
        <v>119</v>
      </c>
      <c r="E93" s="12" t="e">
        <f t="shared" si="1"/>
        <v>#DIV/0!</v>
      </c>
    </row>
    <row r="94" spans="1:7" ht="12.75">
      <c r="A94" t="s">
        <v>120</v>
      </c>
      <c r="C94">
        <v>6</v>
      </c>
      <c r="D94">
        <v>116</v>
      </c>
      <c r="E94" s="12">
        <f t="shared" si="1"/>
        <v>19.333333333333332</v>
      </c>
      <c r="F94">
        <v>43</v>
      </c>
      <c r="G94">
        <v>1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34</v>
      </c>
      <c r="D102">
        <v>17</v>
      </c>
      <c r="E102" s="12">
        <f>+D102/C102*100</f>
        <v>50</v>
      </c>
      <c r="F102">
        <v>246</v>
      </c>
      <c r="G102">
        <v>1</v>
      </c>
      <c r="H102">
        <v>50</v>
      </c>
      <c r="I102">
        <v>1</v>
      </c>
      <c r="J102" s="8">
        <f>+G102/C102*100</f>
        <v>2.941176470588235</v>
      </c>
      <c r="K102" s="12">
        <f>+I102/C102*100</f>
        <v>2.941176470588235</v>
      </c>
      <c r="L102" s="12">
        <f>+F102/C102</f>
        <v>7.235294117647059</v>
      </c>
      <c r="M102" s="12">
        <f>100*(S102+U102+W102+Y102)/6</f>
        <v>71.44607843137254</v>
      </c>
      <c r="R102">
        <f>+(E102-30)/20</f>
        <v>1</v>
      </c>
      <c r="S102" s="2">
        <f>IF(R102&lt;0,0,R102)</f>
        <v>1</v>
      </c>
      <c r="T102" s="6">
        <f>+(L102-3)/4</f>
        <v>1.0588235294117647</v>
      </c>
      <c r="U102" s="2">
        <f>IF(T102&lt;0,0,T102)</f>
        <v>1.0588235294117647</v>
      </c>
      <c r="V102">
        <f>+J102/5</f>
        <v>0.588235294117647</v>
      </c>
      <c r="W102" s="2">
        <f>IF(V102&lt;0,0,V102)</f>
        <v>0.588235294117647</v>
      </c>
      <c r="X102">
        <f>(9.5-K102)/4</f>
        <v>1.6397058823529411</v>
      </c>
      <c r="Y102" s="2">
        <f>IF(X102&lt;0,0,X102)</f>
        <v>1.6397058823529411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D108">
        <v>1</v>
      </c>
      <c r="E108">
        <v>26</v>
      </c>
      <c r="F108" s="12">
        <f aca="true" t="shared" si="2" ref="F108:F113">+E108/C108</f>
        <v>26</v>
      </c>
      <c r="G108">
        <v>26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6" ht="12.75">
      <c r="A118" t="s">
        <v>114</v>
      </c>
      <c r="C118">
        <v>3</v>
      </c>
      <c r="D118">
        <v>67</v>
      </c>
      <c r="E118" s="12">
        <f aca="true" t="shared" si="3" ref="E118:E123">+D118/C118</f>
        <v>22.333333333333332</v>
      </c>
      <c r="F118">
        <v>26</v>
      </c>
    </row>
    <row r="119" spans="1:5" ht="12.75">
      <c r="A119" t="s">
        <v>128</v>
      </c>
      <c r="E119" s="12" t="e">
        <f t="shared" si="3"/>
        <v>#DIV/0!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6</v>
      </c>
      <c r="D128">
        <v>235</v>
      </c>
      <c r="E128" s="12">
        <f>+D128/C128</f>
        <v>39.166666666666664</v>
      </c>
      <c r="F128">
        <v>60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5</v>
      </c>
      <c r="E132">
        <v>1</v>
      </c>
      <c r="F132">
        <v>1</v>
      </c>
      <c r="G132">
        <v>4</v>
      </c>
      <c r="H132">
        <v>3</v>
      </c>
      <c r="I132" s="12">
        <f>+H132/G132*100</f>
        <v>75</v>
      </c>
      <c r="J132">
        <v>34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6" ht="12.75">
      <c r="A142" t="s">
        <v>136</v>
      </c>
      <c r="C142">
        <v>2</v>
      </c>
      <c r="D142">
        <v>25</v>
      </c>
      <c r="E142" s="12">
        <f t="shared" si="4"/>
        <v>12.5</v>
      </c>
      <c r="F142">
        <v>25</v>
      </c>
    </row>
    <row r="143" spans="1:6" ht="12.75">
      <c r="A143" t="s">
        <v>142</v>
      </c>
      <c r="C143">
        <v>1</v>
      </c>
      <c r="D143">
        <v>14</v>
      </c>
      <c r="E143" s="12">
        <f t="shared" si="4"/>
        <v>14</v>
      </c>
      <c r="F143">
        <v>14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spans="1:4" ht="12.75">
      <c r="A149" t="s">
        <v>134</v>
      </c>
      <c r="C149">
        <v>1</v>
      </c>
      <c r="D149">
        <v>7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12</v>
      </c>
      <c r="H163" t="s">
        <v>97</v>
      </c>
      <c r="M163">
        <v>10</v>
      </c>
    </row>
    <row r="164" spans="1:13" ht="12.75">
      <c r="A164" t="s">
        <v>98</v>
      </c>
      <c r="D164">
        <v>3</v>
      </c>
      <c r="H164" t="s">
        <v>98</v>
      </c>
      <c r="M164">
        <v>3</v>
      </c>
    </row>
    <row r="165" spans="1:15" ht="12.75">
      <c r="A165" t="s">
        <v>99</v>
      </c>
      <c r="D165">
        <f>D164/D163*100</f>
        <v>25</v>
      </c>
      <c r="E165" s="23"/>
      <c r="H165" t="s">
        <v>99</v>
      </c>
      <c r="M165">
        <f>+M164/M163*100</f>
        <v>30</v>
      </c>
      <c r="O16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13</v>
      </c>
      <c r="H6" s="1" t="s">
        <v>29</v>
      </c>
      <c r="M6" s="2">
        <v>12</v>
      </c>
    </row>
    <row r="8" spans="1:23" ht="12.75">
      <c r="A8" t="s">
        <v>1</v>
      </c>
      <c r="D8" s="2">
        <v>19</v>
      </c>
      <c r="H8" t="s">
        <v>1</v>
      </c>
      <c r="M8" s="2">
        <v>33</v>
      </c>
      <c r="V8">
        <f>+D8</f>
        <v>19</v>
      </c>
      <c r="W8">
        <f>+M8</f>
        <v>33</v>
      </c>
    </row>
    <row r="9" spans="1:23" ht="12.75">
      <c r="A9" t="s">
        <v>2</v>
      </c>
      <c r="D9" s="2">
        <v>-5</v>
      </c>
      <c r="H9" t="s">
        <v>2</v>
      </c>
      <c r="M9" s="2">
        <v>92</v>
      </c>
      <c r="U9" s="13"/>
      <c r="V9">
        <f>+D13</f>
        <v>23</v>
      </c>
      <c r="W9">
        <f>+M13</f>
        <v>8</v>
      </c>
    </row>
    <row r="10" spans="1:23" ht="12.75">
      <c r="A10" s="1" t="s">
        <v>3</v>
      </c>
      <c r="D10" s="8">
        <f>+D9/D8</f>
        <v>-0.2631578947368421</v>
      </c>
      <c r="H10" s="1" t="s">
        <v>3</v>
      </c>
      <c r="M10" s="8">
        <f>+M9/M8</f>
        <v>2.787878787878788</v>
      </c>
      <c r="V10">
        <f>+(D12-D13)/2</f>
        <v>8.5</v>
      </c>
      <c r="W10">
        <f>+(M12-M13)/2</f>
        <v>6</v>
      </c>
    </row>
    <row r="11" spans="22:23" ht="12.75">
      <c r="V11">
        <f>+D35/2</f>
        <v>2</v>
      </c>
      <c r="W11">
        <f>+M35/2</f>
        <v>2</v>
      </c>
    </row>
    <row r="12" spans="1:23" ht="12.75">
      <c r="A12" t="s">
        <v>4</v>
      </c>
      <c r="D12" s="2">
        <v>40</v>
      </c>
      <c r="H12" t="s">
        <v>4</v>
      </c>
      <c r="M12" s="2">
        <v>20</v>
      </c>
      <c r="V12">
        <f>+D39/2</f>
        <v>2</v>
      </c>
      <c r="W12">
        <f>+M39/2</f>
        <v>1</v>
      </c>
    </row>
    <row r="13" spans="1:23" ht="12.75">
      <c r="A13" t="s">
        <v>5</v>
      </c>
      <c r="D13" s="2">
        <v>23</v>
      </c>
      <c r="H13" t="s">
        <v>5</v>
      </c>
      <c r="M13" s="2">
        <v>8</v>
      </c>
      <c r="V13">
        <f>+D44/2</f>
        <v>3</v>
      </c>
      <c r="W13">
        <f>+M44/2</f>
        <v>1</v>
      </c>
    </row>
    <row r="14" spans="1:13" ht="12.75">
      <c r="A14" t="s">
        <v>6</v>
      </c>
      <c r="D14" s="8">
        <f>+D13/D12*100</f>
        <v>57.49999999999999</v>
      </c>
      <c r="H14" t="s">
        <v>6</v>
      </c>
      <c r="M14" s="8">
        <f>+M13/M12*100</f>
        <v>40</v>
      </c>
    </row>
    <row r="15" spans="1:24" ht="12.75">
      <c r="A15" t="s">
        <v>7</v>
      </c>
      <c r="D15" s="2">
        <v>285</v>
      </c>
      <c r="H15" t="s">
        <v>7</v>
      </c>
      <c r="M15" s="2">
        <v>190</v>
      </c>
      <c r="V15">
        <f>SUM(V8:V13)</f>
        <v>57.5</v>
      </c>
      <c r="W15">
        <f>SUM(W8:W13)</f>
        <v>51</v>
      </c>
      <c r="X15">
        <f>+W15+V15</f>
        <v>108.5</v>
      </c>
    </row>
    <row r="16" spans="1:23" ht="12.75">
      <c r="A16" t="s">
        <v>8</v>
      </c>
      <c r="D16" s="2">
        <v>5</v>
      </c>
      <c r="H16" t="s">
        <v>8</v>
      </c>
      <c r="M16" s="2">
        <v>2</v>
      </c>
      <c r="V16">
        <f>+V15/X15</f>
        <v>0.5299539170506913</v>
      </c>
      <c r="W16">
        <f>+W15/X15</f>
        <v>0.4700460829493088</v>
      </c>
    </row>
    <row r="17" spans="1:23" ht="12.75">
      <c r="A17" t="s">
        <v>9</v>
      </c>
      <c r="D17" s="2">
        <v>48</v>
      </c>
      <c r="H17" t="s">
        <v>9</v>
      </c>
      <c r="M17" s="2">
        <v>16</v>
      </c>
      <c r="V17">
        <f>+V16*60</f>
        <v>31.797235023041477</v>
      </c>
      <c r="W17">
        <f>+W16*60</f>
        <v>28.202764976958527</v>
      </c>
    </row>
    <row r="18" spans="1:23" ht="12.75">
      <c r="A18" t="s">
        <v>10</v>
      </c>
      <c r="D18">
        <f>+D15-D17</f>
        <v>237</v>
      </c>
      <c r="H18" t="s">
        <v>10</v>
      </c>
      <c r="M18">
        <f>+M15-M17</f>
        <v>174</v>
      </c>
      <c r="V18">
        <f>+V17-INT(V17)</f>
        <v>0.7972350230414769</v>
      </c>
      <c r="W18">
        <f>+W17-INT(W17)</f>
        <v>0.2027649769585267</v>
      </c>
    </row>
    <row r="19" spans="1:23" ht="12.75">
      <c r="A19" t="s">
        <v>11</v>
      </c>
      <c r="D19" s="7">
        <f>+D18/D12</f>
        <v>5.925</v>
      </c>
      <c r="H19" t="s">
        <v>11</v>
      </c>
      <c r="M19" s="7">
        <f>+M18/M12</f>
        <v>8.7</v>
      </c>
      <c r="V19">
        <f>+V18*60</f>
        <v>47.83410138248861</v>
      </c>
      <c r="W19">
        <f>+W18*60</f>
        <v>12.165898617511601</v>
      </c>
    </row>
    <row r="20" spans="1:23" ht="12.75">
      <c r="A20" t="s">
        <v>12</v>
      </c>
      <c r="D20" s="7">
        <f>+D15/D13</f>
        <v>12.391304347826088</v>
      </c>
      <c r="H20" t="s">
        <v>12</v>
      </c>
      <c r="M20" s="7">
        <f>+M15/M13</f>
        <v>23.75</v>
      </c>
      <c r="U20">
        <v>0</v>
      </c>
      <c r="V20" s="11">
        <f>ROUND(V19,0)</f>
        <v>48</v>
      </c>
      <c r="W20">
        <f>ROUND(W19,0)</f>
        <v>12</v>
      </c>
    </row>
    <row r="21" spans="22:23" ht="12.75">
      <c r="V21">
        <f>INT(V17)</f>
        <v>31</v>
      </c>
      <c r="W21">
        <f>INT(W17)</f>
        <v>28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232</v>
      </c>
      <c r="H23" t="s">
        <v>14</v>
      </c>
      <c r="M23">
        <f>+M18+M9</f>
        <v>266</v>
      </c>
      <c r="Q23" s="9"/>
      <c r="R23" s="9"/>
      <c r="V23" s="14" t="str">
        <f>+V21&amp;V22&amp;V20</f>
        <v>31:48</v>
      </c>
      <c r="W23" s="9" t="str">
        <f>+W21&amp;W22&amp;W20</f>
        <v>28:12</v>
      </c>
    </row>
    <row r="24" spans="1:23" ht="12.75">
      <c r="A24" t="s">
        <v>15</v>
      </c>
      <c r="D24" s="7">
        <f>+D9/D23*100</f>
        <v>-2.1551724137931036</v>
      </c>
      <c r="H24" t="s">
        <v>15</v>
      </c>
      <c r="M24" s="7">
        <f>+M9/M23*100</f>
        <v>34.58646616541353</v>
      </c>
      <c r="V24" s="9" t="str">
        <f>IF(V20&lt;10,+V21&amp;V22&amp;$U$20&amp;V20,+V21&amp;V22&amp;V20)</f>
        <v>31:48</v>
      </c>
      <c r="W24" s="9" t="str">
        <f>IF(W20&lt;10,+W21&amp;W22&amp;$U$20&amp;W20,+W21&amp;W22&amp;W20)</f>
        <v>28:12</v>
      </c>
    </row>
    <row r="25" spans="1:13" ht="12.75">
      <c r="A25" s="1" t="s">
        <v>90</v>
      </c>
      <c r="D25" s="7">
        <f>+D18/D23*100</f>
        <v>102.15517241379311</v>
      </c>
      <c r="H25" s="1" t="s">
        <v>90</v>
      </c>
      <c r="M25" s="7">
        <f>+M18/M23*100</f>
        <v>65.41353383458647</v>
      </c>
    </row>
    <row r="27" spans="1:13" ht="12.75">
      <c r="A27" t="s">
        <v>16</v>
      </c>
      <c r="D27">
        <f>+D8+D12+D16</f>
        <v>64</v>
      </c>
      <c r="H27" t="s">
        <v>16</v>
      </c>
      <c r="M27">
        <f>+M8+M12+M16</f>
        <v>55</v>
      </c>
    </row>
    <row r="28" spans="1:13" ht="12.75">
      <c r="A28" t="s">
        <v>17</v>
      </c>
      <c r="D28" s="8">
        <f>+D23/D27</f>
        <v>3.625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4.836363636363636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3</v>
      </c>
      <c r="H31" t="s">
        <v>19</v>
      </c>
      <c r="M31" s="2">
        <v>2</v>
      </c>
    </row>
    <row r="32" spans="1:13" ht="12.75">
      <c r="A32" t="s">
        <v>20</v>
      </c>
      <c r="D32" s="2">
        <v>101</v>
      </c>
      <c r="H32" t="s">
        <v>20</v>
      </c>
      <c r="M32" s="2">
        <v>28</v>
      </c>
    </row>
    <row r="33" spans="1:13" ht="12.75">
      <c r="A33" t="s">
        <v>21</v>
      </c>
      <c r="D33" s="2">
        <v>1</v>
      </c>
      <c r="H33" t="s">
        <v>21</v>
      </c>
      <c r="M33" s="2"/>
    </row>
    <row r="35" spans="1:13" ht="12.75">
      <c r="A35" t="s">
        <v>22</v>
      </c>
      <c r="D35" s="2">
        <v>4</v>
      </c>
      <c r="H35" t="s">
        <v>22</v>
      </c>
      <c r="M35" s="2">
        <v>4</v>
      </c>
    </row>
    <row r="36" spans="1:13" ht="12.75">
      <c r="A36" t="s">
        <v>23</v>
      </c>
      <c r="D36" s="2">
        <v>162</v>
      </c>
      <c r="H36" t="s">
        <v>23</v>
      </c>
      <c r="M36" s="2">
        <v>177</v>
      </c>
    </row>
    <row r="37" spans="1:13" ht="12.75">
      <c r="A37" t="s">
        <v>24</v>
      </c>
      <c r="D37" s="8">
        <f>+D36/D35</f>
        <v>40.5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44.25</v>
      </c>
    </row>
    <row r="39" spans="1:13" ht="12.75">
      <c r="A39" t="s">
        <v>25</v>
      </c>
      <c r="D39" s="2">
        <v>4</v>
      </c>
      <c r="H39" t="s">
        <v>25</v>
      </c>
      <c r="M39" s="2">
        <v>2</v>
      </c>
    </row>
    <row r="40" spans="1:13" ht="12.75">
      <c r="A40" t="s">
        <v>26</v>
      </c>
      <c r="D40" s="2">
        <v>9</v>
      </c>
      <c r="H40" t="s">
        <v>26</v>
      </c>
      <c r="M40" s="2">
        <v>57</v>
      </c>
    </row>
    <row r="41" spans="1:13" ht="12.75">
      <c r="A41" t="s">
        <v>27</v>
      </c>
      <c r="D41" s="8">
        <f>+D40/D39</f>
        <v>2.25</v>
      </c>
      <c r="H41" t="s">
        <v>27</v>
      </c>
      <c r="M41" s="8">
        <f>+M40/M39</f>
        <v>28.5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6</v>
      </c>
      <c r="H44" t="s">
        <v>30</v>
      </c>
      <c r="M44" s="2">
        <v>2</v>
      </c>
    </row>
    <row r="45" spans="1:13" ht="12.75">
      <c r="A45" t="s">
        <v>26</v>
      </c>
      <c r="D45" s="2">
        <v>123</v>
      </c>
      <c r="H45" t="s">
        <v>26</v>
      </c>
      <c r="M45" s="2">
        <v>35</v>
      </c>
    </row>
    <row r="46" spans="1:13" ht="12.75">
      <c r="A46" t="s">
        <v>27</v>
      </c>
      <c r="D46" s="8">
        <f>+D45/D44</f>
        <v>20.5</v>
      </c>
      <c r="H46" t="s">
        <v>27</v>
      </c>
      <c r="M46" s="8">
        <f>+M45/M44</f>
        <v>17.5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3</v>
      </c>
      <c r="H49" t="s">
        <v>31</v>
      </c>
      <c r="M49" s="2">
        <v>5</v>
      </c>
    </row>
    <row r="50" spans="1:13" ht="12.75">
      <c r="A50" t="s">
        <v>32</v>
      </c>
      <c r="D50" s="2">
        <v>20</v>
      </c>
      <c r="H50" t="s">
        <v>32</v>
      </c>
      <c r="M50" s="2">
        <v>39</v>
      </c>
    </row>
    <row r="52" spans="1:13" ht="12.75">
      <c r="A52" t="s">
        <v>33</v>
      </c>
      <c r="D52" s="2">
        <v>4</v>
      </c>
      <c r="H52" t="s">
        <v>33</v>
      </c>
      <c r="M52" s="2">
        <v>1</v>
      </c>
    </row>
    <row r="53" spans="1:13" ht="12.75">
      <c r="A53" t="s">
        <v>34</v>
      </c>
      <c r="D53" s="2">
        <v>2</v>
      </c>
      <c r="H53" t="s">
        <v>34</v>
      </c>
      <c r="M53" s="2"/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2</v>
      </c>
      <c r="H55" t="s">
        <v>36</v>
      </c>
      <c r="M55" s="2">
        <v>1</v>
      </c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10</v>
      </c>
      <c r="H58" t="s">
        <v>38</v>
      </c>
      <c r="M58" s="2">
        <v>31</v>
      </c>
    </row>
    <row r="59" spans="1:13" ht="12.75">
      <c r="A59" t="s">
        <v>39</v>
      </c>
      <c r="D59" s="2">
        <v>1</v>
      </c>
      <c r="H59" t="s">
        <v>39</v>
      </c>
      <c r="M59" s="2">
        <v>4</v>
      </c>
    </row>
    <row r="60" spans="1:13" ht="12.75">
      <c r="A60" t="s">
        <v>40</v>
      </c>
      <c r="D60" s="2">
        <v>1</v>
      </c>
      <c r="H60" t="s">
        <v>40</v>
      </c>
      <c r="M60" s="2"/>
    </row>
    <row r="61" spans="1:13" ht="12.75">
      <c r="A61" t="s">
        <v>41</v>
      </c>
      <c r="D61" s="2"/>
      <c r="H61" t="s">
        <v>41</v>
      </c>
      <c r="M61" s="2">
        <v>3</v>
      </c>
    </row>
    <row r="62" spans="1:13" ht="12.75">
      <c r="A62" t="s">
        <v>42</v>
      </c>
      <c r="D62" s="2"/>
      <c r="H62" t="s">
        <v>42</v>
      </c>
      <c r="M62" s="2">
        <v>1</v>
      </c>
    </row>
    <row r="63" spans="1:13" ht="12.75">
      <c r="A63" t="s">
        <v>43</v>
      </c>
      <c r="D63" s="2">
        <v>1</v>
      </c>
      <c r="H63" t="s">
        <v>43</v>
      </c>
      <c r="M63" s="2">
        <v>4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1</v>
      </c>
      <c r="H65" t="s">
        <v>45</v>
      </c>
      <c r="M65" s="2">
        <v>1</v>
      </c>
    </row>
    <row r="66" spans="1:13" ht="12.75">
      <c r="A66" t="s">
        <v>46</v>
      </c>
      <c r="D66" s="2">
        <v>4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25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50</v>
      </c>
    </row>
    <row r="68" spans="1:13" ht="12.75">
      <c r="A68" t="s">
        <v>93</v>
      </c>
      <c r="D68" s="10" t="str">
        <f>IF(V20&lt;10,V24,V23)</f>
        <v>31:48</v>
      </c>
      <c r="E68" s="8"/>
      <c r="F68" s="8"/>
      <c r="H68" t="s">
        <v>93</v>
      </c>
      <c r="M68" s="10" t="str">
        <f>IF(W20&lt;10,W24,W23)</f>
        <v>28:12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7" ht="12.75">
      <c r="A72" t="s">
        <v>110</v>
      </c>
      <c r="C72">
        <v>9</v>
      </c>
      <c r="D72">
        <v>9</v>
      </c>
      <c r="E72" s="12">
        <f>+D72/C72</f>
        <v>1</v>
      </c>
      <c r="F72">
        <v>6</v>
      </c>
      <c r="G72">
        <v>1</v>
      </c>
    </row>
    <row r="73" spans="1:6" ht="12.75">
      <c r="A73" t="s">
        <v>111</v>
      </c>
      <c r="C73">
        <v>6</v>
      </c>
      <c r="D73">
        <v>-2</v>
      </c>
      <c r="E73" s="12">
        <f>+D73/C73</f>
        <v>-0.3333333333333333</v>
      </c>
      <c r="F73">
        <v>2</v>
      </c>
    </row>
    <row r="74" spans="1:5" ht="12.75">
      <c r="A74" t="s">
        <v>112</v>
      </c>
      <c r="E74" s="12" t="e">
        <f>+D74/C74</f>
        <v>#DIV/0!</v>
      </c>
    </row>
    <row r="75" spans="1:5" ht="12.75">
      <c r="A75" t="s">
        <v>113</v>
      </c>
      <c r="C75">
        <v>2</v>
      </c>
      <c r="E75" s="12">
        <f aca="true" t="shared" si="0" ref="E75:E81">+D75/C75</f>
        <v>0</v>
      </c>
    </row>
    <row r="76" spans="1:5" ht="12.75">
      <c r="A76" t="s">
        <v>114</v>
      </c>
      <c r="C76">
        <v>2</v>
      </c>
      <c r="D76">
        <v>-5</v>
      </c>
      <c r="E76" s="12">
        <f t="shared" si="0"/>
        <v>-2.5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6" ht="12.75">
      <c r="A79" t="s">
        <v>117</v>
      </c>
      <c r="C79">
        <v>1</v>
      </c>
      <c r="D79">
        <v>-7</v>
      </c>
      <c r="E79" s="12">
        <f t="shared" si="0"/>
        <v>-7</v>
      </c>
      <c r="F79">
        <v>-7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2</v>
      </c>
      <c r="D86">
        <v>30</v>
      </c>
      <c r="E86" s="12">
        <f aca="true" t="shared" si="1" ref="E86:E98">+D86/C86</f>
        <v>15</v>
      </c>
      <c r="F86">
        <v>19</v>
      </c>
    </row>
    <row r="87" spans="1:5" ht="12.75">
      <c r="A87" t="s">
        <v>111</v>
      </c>
      <c r="E87" s="12" t="e">
        <f t="shared" si="1"/>
        <v>#DIV/0!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8</v>
      </c>
      <c r="D91">
        <v>124</v>
      </c>
      <c r="E91" s="12">
        <f t="shared" si="1"/>
        <v>15.5</v>
      </c>
      <c r="F91">
        <v>42</v>
      </c>
    </row>
    <row r="92" spans="1:6" ht="12.75">
      <c r="A92" t="s">
        <v>118</v>
      </c>
      <c r="C92">
        <v>5</v>
      </c>
      <c r="D92">
        <v>76</v>
      </c>
      <c r="E92" s="12">
        <f t="shared" si="1"/>
        <v>15.2</v>
      </c>
      <c r="F92">
        <v>32</v>
      </c>
    </row>
    <row r="93" spans="1:8" ht="12.75">
      <c r="A93" t="s">
        <v>119</v>
      </c>
      <c r="C93">
        <v>7</v>
      </c>
      <c r="D93">
        <v>66</v>
      </c>
      <c r="E93" s="12">
        <f t="shared" si="1"/>
        <v>9.428571428571429</v>
      </c>
      <c r="F93">
        <v>23</v>
      </c>
      <c r="H93">
        <v>2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6" ht="12.75">
      <c r="A98" t="s">
        <v>113</v>
      </c>
      <c r="C98">
        <v>1</v>
      </c>
      <c r="D98">
        <v>-11</v>
      </c>
      <c r="E98" s="12">
        <f t="shared" si="1"/>
        <v>-11</v>
      </c>
      <c r="F98">
        <v>-11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40</v>
      </c>
      <c r="D102">
        <v>23</v>
      </c>
      <c r="E102" s="12">
        <f>+D102/C102*100</f>
        <v>57.49999999999999</v>
      </c>
      <c r="F102">
        <v>285</v>
      </c>
      <c r="H102">
        <v>42</v>
      </c>
      <c r="I102">
        <v>3</v>
      </c>
      <c r="J102" s="8">
        <f>+G102/C102*100</f>
        <v>0</v>
      </c>
      <c r="K102" s="12">
        <f>+I102/C102*100</f>
        <v>7.5</v>
      </c>
      <c r="L102" s="12">
        <f>+F102/C102</f>
        <v>7.125</v>
      </c>
      <c r="M102" s="12">
        <f>100*(S102+U102+W102+Y102)/6</f>
        <v>48.43749999999999</v>
      </c>
      <c r="R102">
        <f>+(E102-30)/20</f>
        <v>1.3749999999999996</v>
      </c>
      <c r="S102" s="2">
        <f>IF(R102&lt;0,0,R102)</f>
        <v>1.3749999999999996</v>
      </c>
      <c r="T102" s="6">
        <f>+(L102-3)/4</f>
        <v>1.03125</v>
      </c>
      <c r="U102" s="2">
        <f>IF(T102&lt;0,0,T102)</f>
        <v>1.03125</v>
      </c>
      <c r="V102">
        <f>+J102/5</f>
        <v>0</v>
      </c>
      <c r="W102" s="2">
        <f>IF(V102&lt;0,0,V102)</f>
        <v>0</v>
      </c>
      <c r="X102">
        <f>(9.5-K102)/4</f>
        <v>0.5</v>
      </c>
      <c r="Y102" s="2">
        <f>IF(X102&lt;0,0,X102)</f>
        <v>0.5</v>
      </c>
    </row>
    <row r="103" spans="1:25" ht="12.75">
      <c r="A103" t="s">
        <v>124</v>
      </c>
      <c r="E103" s="12"/>
      <c r="J103" s="8"/>
      <c r="K103" s="12"/>
      <c r="L103" s="12"/>
      <c r="M103" s="12"/>
      <c r="R103">
        <f>+(E103-30)/20</f>
        <v>-1.5</v>
      </c>
      <c r="S103" s="2">
        <f>IF(R103&lt;0,0,R103)</f>
        <v>0</v>
      </c>
      <c r="T103" s="6">
        <f>+(L103-3)/4</f>
        <v>-0.75</v>
      </c>
      <c r="U103" s="2">
        <f>IF(T103&lt;0,0,T103)</f>
        <v>0</v>
      </c>
      <c r="V103">
        <f>+J103/5</f>
        <v>0</v>
      </c>
      <c r="W103" s="2">
        <f>IF(V103&lt;0,0,V103)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4</v>
      </c>
      <c r="E108">
        <v>9</v>
      </c>
      <c r="F108" s="12">
        <f aca="true" t="shared" si="2" ref="F108:F113">+E108/C108</f>
        <v>2.25</v>
      </c>
      <c r="G108">
        <v>4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6" ht="12.75">
      <c r="A119" t="s">
        <v>128</v>
      </c>
      <c r="C119">
        <v>6</v>
      </c>
      <c r="D119">
        <v>123</v>
      </c>
      <c r="E119" s="12">
        <f t="shared" si="3"/>
        <v>20.5</v>
      </c>
      <c r="F119">
        <v>57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4</v>
      </c>
      <c r="D128">
        <v>162</v>
      </c>
      <c r="E128" s="12">
        <f>+D128/C128</f>
        <v>40.5</v>
      </c>
      <c r="F128">
        <v>54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3</v>
      </c>
      <c r="E132">
        <v>1</v>
      </c>
      <c r="F132">
        <v>1</v>
      </c>
      <c r="G132">
        <v>4</v>
      </c>
      <c r="H132">
        <v>1</v>
      </c>
      <c r="I132" s="12">
        <f>+H132/G132*100</f>
        <v>25</v>
      </c>
      <c r="J132">
        <v>26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6" ht="12.75">
      <c r="A139" t="s">
        <v>135</v>
      </c>
      <c r="C139">
        <v>1</v>
      </c>
      <c r="D139">
        <v>13</v>
      </c>
      <c r="E139" s="12">
        <f t="shared" si="4"/>
        <v>13</v>
      </c>
      <c r="F139">
        <v>13</v>
      </c>
    </row>
    <row r="140" spans="1:5" ht="12.75">
      <c r="A140" t="s">
        <v>127</v>
      </c>
      <c r="E140" s="12" t="e">
        <f t="shared" si="4"/>
        <v>#DIV/0!</v>
      </c>
    </row>
    <row r="141" spans="1:6" ht="12.75">
      <c r="A141" t="s">
        <v>125</v>
      </c>
      <c r="C141">
        <v>1</v>
      </c>
      <c r="D141">
        <v>15</v>
      </c>
      <c r="E141" s="12">
        <f t="shared" si="4"/>
        <v>15</v>
      </c>
      <c r="F141">
        <v>15</v>
      </c>
    </row>
    <row r="142" spans="1:5" ht="12.75">
      <c r="A142" t="s">
        <v>136</v>
      </c>
      <c r="E142" s="12" t="e">
        <f t="shared" si="4"/>
        <v>#DIV/0!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1</v>
      </c>
      <c r="D148">
        <v>9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spans="1:4" ht="12.75">
      <c r="A152" t="s">
        <v>140</v>
      </c>
      <c r="C152">
        <v>1</v>
      </c>
      <c r="D152">
        <v>7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13</v>
      </c>
      <c r="H163" t="s">
        <v>97</v>
      </c>
      <c r="M163">
        <v>12</v>
      </c>
    </row>
    <row r="164" spans="1:13" ht="12.75">
      <c r="A164" t="s">
        <v>98</v>
      </c>
      <c r="D164">
        <v>5</v>
      </c>
      <c r="H164" t="s">
        <v>98</v>
      </c>
      <c r="M164">
        <v>2</v>
      </c>
    </row>
    <row r="165" spans="1:15" ht="12.75">
      <c r="A165" t="s">
        <v>99</v>
      </c>
      <c r="D165">
        <f>D164/D163*100</f>
        <v>38.46153846153847</v>
      </c>
      <c r="E165" s="23"/>
      <c r="H165" t="s">
        <v>99</v>
      </c>
      <c r="M165">
        <f>+M164/M163*100</f>
        <v>16.666666666666664</v>
      </c>
      <c r="O165" s="2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F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10</v>
      </c>
      <c r="H6" s="1" t="s">
        <v>29</v>
      </c>
      <c r="M6" s="2">
        <v>16</v>
      </c>
    </row>
    <row r="8" spans="1:23" ht="12.75">
      <c r="A8" t="s">
        <v>1</v>
      </c>
      <c r="D8" s="2">
        <v>24</v>
      </c>
      <c r="H8" t="s">
        <v>1</v>
      </c>
      <c r="M8" s="2">
        <v>47</v>
      </c>
      <c r="V8">
        <f>+D8</f>
        <v>24</v>
      </c>
      <c r="W8">
        <f>+M8</f>
        <v>47</v>
      </c>
    </row>
    <row r="9" spans="1:23" ht="12.75">
      <c r="A9" t="s">
        <v>2</v>
      </c>
      <c r="D9" s="2">
        <v>76</v>
      </c>
      <c r="H9" t="s">
        <v>2</v>
      </c>
      <c r="M9" s="2">
        <v>186</v>
      </c>
      <c r="U9" s="13"/>
      <c r="V9">
        <f>+D13</f>
        <v>8</v>
      </c>
      <c r="W9">
        <f>+M13</f>
        <v>5</v>
      </c>
    </row>
    <row r="10" spans="1:23" ht="12.75">
      <c r="A10" s="1" t="s">
        <v>3</v>
      </c>
      <c r="D10" s="8">
        <f>+D9/D8</f>
        <v>3.1666666666666665</v>
      </c>
      <c r="H10" s="1" t="s">
        <v>3</v>
      </c>
      <c r="M10" s="8">
        <f>+M9/M8</f>
        <v>3.9574468085106385</v>
      </c>
      <c r="V10">
        <f>+(D12-D13)/2</f>
        <v>6.5</v>
      </c>
      <c r="W10">
        <f>+(M12-M13)/2</f>
        <v>9.5</v>
      </c>
    </row>
    <row r="11" spans="22:23" ht="12.75">
      <c r="V11">
        <f>+D35/2</f>
        <v>2.5</v>
      </c>
      <c r="W11">
        <f>+M35/2</f>
        <v>1</v>
      </c>
    </row>
    <row r="12" spans="1:23" ht="12.75">
      <c r="A12" t="s">
        <v>4</v>
      </c>
      <c r="D12" s="2">
        <v>21</v>
      </c>
      <c r="H12" t="s">
        <v>4</v>
      </c>
      <c r="M12" s="2">
        <v>24</v>
      </c>
      <c r="V12">
        <f>+D39/2</f>
        <v>0.5</v>
      </c>
      <c r="W12">
        <f>+M39/2</f>
        <v>1.5</v>
      </c>
    </row>
    <row r="13" spans="1:23" ht="12.75">
      <c r="A13" t="s">
        <v>5</v>
      </c>
      <c r="D13" s="2">
        <v>8</v>
      </c>
      <c r="H13" t="s">
        <v>5</v>
      </c>
      <c r="M13" s="2">
        <v>5</v>
      </c>
      <c r="V13">
        <f>+D44/2</f>
        <v>3</v>
      </c>
      <c r="W13">
        <f>+M44/2</f>
        <v>1.5</v>
      </c>
    </row>
    <row r="14" spans="1:13" ht="12.75">
      <c r="A14" t="s">
        <v>6</v>
      </c>
      <c r="D14" s="8">
        <f>+D13/D12*100</f>
        <v>38.095238095238095</v>
      </c>
      <c r="H14" t="s">
        <v>6</v>
      </c>
      <c r="M14" s="8">
        <f>+M13/M12*100</f>
        <v>20.833333333333336</v>
      </c>
    </row>
    <row r="15" spans="1:24" ht="12.75">
      <c r="A15" t="s">
        <v>7</v>
      </c>
      <c r="D15" s="2">
        <v>161</v>
      </c>
      <c r="H15" t="s">
        <v>7</v>
      </c>
      <c r="M15" s="2">
        <v>58</v>
      </c>
      <c r="V15">
        <f>SUM(V8:V13)</f>
        <v>44.5</v>
      </c>
      <c r="W15">
        <f>SUM(W8:W13)</f>
        <v>65.5</v>
      </c>
      <c r="X15">
        <f>+W15+V15</f>
        <v>110</v>
      </c>
    </row>
    <row r="16" spans="1:23" ht="12.75">
      <c r="A16" t="s">
        <v>8</v>
      </c>
      <c r="D16" s="2">
        <v>2</v>
      </c>
      <c r="H16" t="s">
        <v>8</v>
      </c>
      <c r="M16" s="2">
        <v>3</v>
      </c>
      <c r="V16">
        <f>+V15/X15</f>
        <v>0.40454545454545454</v>
      </c>
      <c r="W16">
        <f>+W15/X15</f>
        <v>0.5954545454545455</v>
      </c>
    </row>
    <row r="17" spans="1:23" ht="12.75">
      <c r="A17" t="s">
        <v>9</v>
      </c>
      <c r="D17" s="2">
        <v>8</v>
      </c>
      <c r="H17" t="s">
        <v>9</v>
      </c>
      <c r="M17" s="2">
        <v>25</v>
      </c>
      <c r="V17">
        <f>+V16*60</f>
        <v>24.272727272727273</v>
      </c>
      <c r="W17">
        <f>+W16*60</f>
        <v>35.72727272727273</v>
      </c>
    </row>
    <row r="18" spans="1:23" ht="12.75">
      <c r="A18" t="s">
        <v>10</v>
      </c>
      <c r="D18">
        <f>+D15-D17</f>
        <v>153</v>
      </c>
      <c r="H18" t="s">
        <v>10</v>
      </c>
      <c r="M18">
        <f>+M15-M17</f>
        <v>33</v>
      </c>
      <c r="V18">
        <f>+V17-INT(V17)</f>
        <v>0.2727272727272734</v>
      </c>
      <c r="W18">
        <f>+W17-INT(W17)</f>
        <v>0.7272727272727266</v>
      </c>
    </row>
    <row r="19" spans="1:23" ht="12.75">
      <c r="A19" t="s">
        <v>11</v>
      </c>
      <c r="D19" s="7">
        <f>+D18/D12</f>
        <v>7.285714285714286</v>
      </c>
      <c r="H19" t="s">
        <v>11</v>
      </c>
      <c r="M19" s="7">
        <f>+M18/M12</f>
        <v>1.375</v>
      </c>
      <c r="V19">
        <f>+V18*60</f>
        <v>16.363636363636402</v>
      </c>
      <c r="W19">
        <f>+W18*60</f>
        <v>43.6363636363636</v>
      </c>
    </row>
    <row r="20" spans="1:23" ht="12.75">
      <c r="A20" t="s">
        <v>12</v>
      </c>
      <c r="D20" s="7">
        <f>+D15/D13</f>
        <v>20.125</v>
      </c>
      <c r="H20" t="s">
        <v>12</v>
      </c>
      <c r="M20" s="7">
        <f>+M15/M13</f>
        <v>11.6</v>
      </c>
      <c r="U20">
        <v>0</v>
      </c>
      <c r="V20" s="11">
        <f>ROUND(V19,0)</f>
        <v>16</v>
      </c>
      <c r="W20">
        <f>ROUND(W19,0)</f>
        <v>44</v>
      </c>
    </row>
    <row r="21" spans="22:23" ht="12.75">
      <c r="V21">
        <f>INT(V17)</f>
        <v>24</v>
      </c>
      <c r="W21">
        <f>INT(W17)</f>
        <v>35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229</v>
      </c>
      <c r="H23" t="s">
        <v>14</v>
      </c>
      <c r="M23">
        <f>+M18+M9</f>
        <v>219</v>
      </c>
      <c r="Q23" s="9"/>
      <c r="R23" s="9"/>
      <c r="V23" s="14" t="str">
        <f>+V21&amp;V22&amp;V20</f>
        <v>24:16</v>
      </c>
      <c r="W23" s="9" t="str">
        <f>+W21&amp;W22&amp;W20</f>
        <v>35:44</v>
      </c>
    </row>
    <row r="24" spans="1:23" ht="12.75">
      <c r="A24" t="s">
        <v>15</v>
      </c>
      <c r="D24" s="7">
        <f>+D9/D23*100</f>
        <v>33.18777292576419</v>
      </c>
      <c r="H24" t="s">
        <v>15</v>
      </c>
      <c r="M24" s="7">
        <f>+M9/M23*100</f>
        <v>84.93150684931507</v>
      </c>
      <c r="V24" s="9" t="str">
        <f>IF(V20&lt;10,+V21&amp;V22&amp;$U$20&amp;V20,+V21&amp;V22&amp;V20)</f>
        <v>24:16</v>
      </c>
      <c r="W24" s="9" t="str">
        <f>IF(W20&lt;10,+W21&amp;W22&amp;$U$20&amp;W20,+W21&amp;W22&amp;W20)</f>
        <v>35:44</v>
      </c>
    </row>
    <row r="25" spans="1:13" ht="12.75">
      <c r="A25" s="1" t="s">
        <v>90</v>
      </c>
      <c r="D25" s="7">
        <f>+D18/D23*100</f>
        <v>66.8122270742358</v>
      </c>
      <c r="H25" s="1" t="s">
        <v>90</v>
      </c>
      <c r="M25" s="7">
        <f>+M18/M23*100</f>
        <v>15.068493150684931</v>
      </c>
    </row>
    <row r="27" spans="1:13" ht="12.75">
      <c r="A27" t="s">
        <v>16</v>
      </c>
      <c r="D27">
        <f>+D8+D12+D16</f>
        <v>47</v>
      </c>
      <c r="H27" t="s">
        <v>16</v>
      </c>
      <c r="M27">
        <f>+M8+M12+M16</f>
        <v>74</v>
      </c>
    </row>
    <row r="28" spans="1:13" ht="12.75">
      <c r="A28" t="s">
        <v>17</v>
      </c>
      <c r="D28" s="8">
        <f>+D23/D27</f>
        <v>4.872340425531915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2.9594594594594597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4</v>
      </c>
      <c r="H31" t="s">
        <v>19</v>
      </c>
      <c r="M31" s="2">
        <v>5</v>
      </c>
    </row>
    <row r="32" spans="1:13" ht="12.75">
      <c r="A32" t="s">
        <v>20</v>
      </c>
      <c r="D32" s="2">
        <v>142</v>
      </c>
      <c r="H32" t="s">
        <v>20</v>
      </c>
      <c r="M32" s="2">
        <v>56</v>
      </c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5</v>
      </c>
      <c r="H35" t="s">
        <v>22</v>
      </c>
      <c r="M35" s="2">
        <v>2</v>
      </c>
    </row>
    <row r="36" spans="1:13" ht="12.75">
      <c r="A36" t="s">
        <v>23</v>
      </c>
      <c r="D36" s="2">
        <v>231</v>
      </c>
      <c r="H36" t="s">
        <v>23</v>
      </c>
      <c r="M36" s="2">
        <v>78</v>
      </c>
    </row>
    <row r="37" spans="1:13" ht="12.75">
      <c r="A37" t="s">
        <v>24</v>
      </c>
      <c r="D37" s="8">
        <f>+D36/D35</f>
        <v>46.2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39</v>
      </c>
    </row>
    <row r="39" spans="1:13" ht="12.75">
      <c r="A39" t="s">
        <v>25</v>
      </c>
      <c r="D39" s="2">
        <v>1</v>
      </c>
      <c r="H39" t="s">
        <v>25</v>
      </c>
      <c r="M39" s="2">
        <v>3</v>
      </c>
    </row>
    <row r="40" spans="1:13" ht="12.75">
      <c r="A40" t="s">
        <v>26</v>
      </c>
      <c r="D40" s="2">
        <v>3</v>
      </c>
      <c r="H40" t="s">
        <v>26</v>
      </c>
      <c r="M40" s="2">
        <v>2</v>
      </c>
    </row>
    <row r="41" spans="1:13" ht="12.75">
      <c r="A41" t="s">
        <v>27</v>
      </c>
      <c r="D41" s="8">
        <f>+D40/D39</f>
        <v>3</v>
      </c>
      <c r="H41" t="s">
        <v>27</v>
      </c>
      <c r="M41" s="8">
        <f>+M40/M39</f>
        <v>0.6666666666666666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6</v>
      </c>
      <c r="H44" t="s">
        <v>30</v>
      </c>
      <c r="M44" s="2">
        <v>3</v>
      </c>
    </row>
    <row r="45" spans="1:13" ht="12.75">
      <c r="A45" t="s">
        <v>26</v>
      </c>
      <c r="D45" s="2">
        <v>124</v>
      </c>
      <c r="H45" t="s">
        <v>26</v>
      </c>
      <c r="M45" s="2">
        <v>76</v>
      </c>
    </row>
    <row r="46" spans="1:13" ht="12.75">
      <c r="A46" t="s">
        <v>27</v>
      </c>
      <c r="D46" s="8">
        <f>+D45/D44</f>
        <v>20.666666666666668</v>
      </c>
      <c r="H46" t="s">
        <v>27</v>
      </c>
      <c r="M46" s="8">
        <f>+M45/M44</f>
        <v>25.333333333333332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3</v>
      </c>
      <c r="H49" t="s">
        <v>31</v>
      </c>
      <c r="M49" s="2">
        <v>9</v>
      </c>
    </row>
    <row r="50" spans="1:13" ht="12.75">
      <c r="A50" t="s">
        <v>32</v>
      </c>
      <c r="D50" s="2">
        <v>30</v>
      </c>
      <c r="H50" t="s">
        <v>32</v>
      </c>
      <c r="M50" s="2">
        <v>64</v>
      </c>
    </row>
    <row r="51" ht="12.75">
      <c r="D51" s="2"/>
    </row>
    <row r="52" spans="1:13" ht="12.75">
      <c r="A52" t="s">
        <v>33</v>
      </c>
      <c r="D52" s="2">
        <v>1</v>
      </c>
      <c r="H52" t="s">
        <v>33</v>
      </c>
      <c r="M52" s="2">
        <v>3</v>
      </c>
    </row>
    <row r="53" spans="1:13" ht="12.75">
      <c r="A53" t="s">
        <v>34</v>
      </c>
      <c r="D53" s="2"/>
      <c r="H53" t="s">
        <v>34</v>
      </c>
      <c r="M53" s="2">
        <v>3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>
        <v>1</v>
      </c>
      <c r="H55" t="s">
        <v>36</v>
      </c>
      <c r="M55" s="2"/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14</v>
      </c>
      <c r="H58" t="s">
        <v>38</v>
      </c>
      <c r="M58" s="2">
        <v>19</v>
      </c>
    </row>
    <row r="59" spans="1:13" ht="12.75">
      <c r="A59" t="s">
        <v>39</v>
      </c>
      <c r="D59" s="2">
        <v>2</v>
      </c>
      <c r="H59" t="s">
        <v>39</v>
      </c>
      <c r="M59" s="2">
        <v>1</v>
      </c>
    </row>
    <row r="60" spans="1:13" ht="12.75">
      <c r="A60" t="s">
        <v>40</v>
      </c>
      <c r="D60" s="2">
        <v>2</v>
      </c>
      <c r="H60" t="s">
        <v>40</v>
      </c>
      <c r="M60" s="2">
        <v>1</v>
      </c>
    </row>
    <row r="61" spans="1:13" ht="12.75">
      <c r="A61" t="s">
        <v>41</v>
      </c>
      <c r="D61" s="2"/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2</v>
      </c>
      <c r="H63" t="s">
        <v>43</v>
      </c>
      <c r="M63" s="2">
        <v>1</v>
      </c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/>
      <c r="H65" t="s">
        <v>45</v>
      </c>
      <c r="M65" s="2">
        <v>4</v>
      </c>
    </row>
    <row r="66" spans="1:13" ht="12.75">
      <c r="A66" t="s">
        <v>46</v>
      </c>
      <c r="D66" s="2"/>
      <c r="H66" t="s">
        <v>46</v>
      </c>
      <c r="M66" s="2">
        <v>4</v>
      </c>
    </row>
    <row r="67" spans="1:13" ht="12.75">
      <c r="A67" t="s">
        <v>47</v>
      </c>
      <c r="D67" s="8" t="e">
        <f>+D65/D66*100</f>
        <v>#DIV/0!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100</v>
      </c>
    </row>
    <row r="68" spans="1:13" ht="12.75">
      <c r="A68" t="s">
        <v>93</v>
      </c>
      <c r="D68" s="10" t="str">
        <f>IF(V20&lt;10,V24,V23)</f>
        <v>24:16</v>
      </c>
      <c r="E68" s="8"/>
      <c r="F68" s="8"/>
      <c r="H68" t="s">
        <v>93</v>
      </c>
      <c r="M68" s="10" t="str">
        <f>IF(W20&lt;10,W24,W23)</f>
        <v>35:44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7" ht="12.75">
      <c r="A72" t="s">
        <v>110</v>
      </c>
      <c r="C72">
        <v>13</v>
      </c>
      <c r="D72">
        <v>19</v>
      </c>
      <c r="E72" s="12">
        <f>+D72/C72</f>
        <v>1.4615384615384615</v>
      </c>
      <c r="F72">
        <v>6</v>
      </c>
      <c r="G72">
        <v>1</v>
      </c>
    </row>
    <row r="73" spans="1:7" ht="12.75">
      <c r="A73" t="s">
        <v>111</v>
      </c>
      <c r="C73">
        <v>10</v>
      </c>
      <c r="D73">
        <v>49</v>
      </c>
      <c r="E73" s="12">
        <f>+D73/C73</f>
        <v>4.9</v>
      </c>
      <c r="F73">
        <v>12</v>
      </c>
      <c r="G73">
        <v>1</v>
      </c>
    </row>
    <row r="74" spans="1:5" ht="12.75">
      <c r="A74" t="s">
        <v>112</v>
      </c>
      <c r="E74" s="12" t="e">
        <f>+D74/C74</f>
        <v>#DIV/0!</v>
      </c>
    </row>
    <row r="75" spans="1:8" ht="12.75">
      <c r="A75" t="s">
        <v>113</v>
      </c>
      <c r="C75">
        <v>1</v>
      </c>
      <c r="D75">
        <v>13</v>
      </c>
      <c r="E75" s="12">
        <f aca="true" t="shared" si="0" ref="E75:E81">+D75/C75</f>
        <v>13</v>
      </c>
      <c r="F75">
        <v>13</v>
      </c>
      <c r="H75">
        <v>1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6" ht="12.75">
      <c r="A86" t="s">
        <v>110</v>
      </c>
      <c r="C86">
        <v>2</v>
      </c>
      <c r="D86">
        <v>21</v>
      </c>
      <c r="E86" s="12">
        <f aca="true" t="shared" si="1" ref="E86:E97">+D86/C86</f>
        <v>10.5</v>
      </c>
      <c r="F86">
        <v>12</v>
      </c>
    </row>
    <row r="87" spans="1:6" ht="12.75">
      <c r="A87" t="s">
        <v>111</v>
      </c>
      <c r="C87">
        <v>2</v>
      </c>
      <c r="D87">
        <v>31</v>
      </c>
      <c r="E87" s="12">
        <f t="shared" si="1"/>
        <v>15.5</v>
      </c>
      <c r="F87">
        <v>33</v>
      </c>
    </row>
    <row r="88" spans="1:5" ht="12.75">
      <c r="A88" t="s">
        <v>112</v>
      </c>
      <c r="E88" s="12" t="e">
        <f t="shared" si="1"/>
        <v>#DIV/0!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6" ht="12.75">
      <c r="A91" t="s">
        <v>117</v>
      </c>
      <c r="C91">
        <v>1</v>
      </c>
      <c r="D91">
        <v>19</v>
      </c>
      <c r="E91" s="12">
        <f t="shared" si="1"/>
        <v>19</v>
      </c>
      <c r="F91">
        <v>19</v>
      </c>
    </row>
    <row r="92" spans="1:6" ht="12.75">
      <c r="A92" t="s">
        <v>118</v>
      </c>
      <c r="C92">
        <v>1</v>
      </c>
      <c r="D92">
        <v>50</v>
      </c>
      <c r="E92" s="12">
        <f t="shared" si="1"/>
        <v>50</v>
      </c>
      <c r="F92">
        <v>50</v>
      </c>
    </row>
    <row r="93" spans="1:6" ht="12.75">
      <c r="A93" t="s">
        <v>119</v>
      </c>
      <c r="C93">
        <v>2</v>
      </c>
      <c r="D93">
        <v>40</v>
      </c>
      <c r="E93" s="12">
        <f t="shared" si="1"/>
        <v>20</v>
      </c>
      <c r="F93">
        <v>25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21</v>
      </c>
      <c r="D102">
        <v>8</v>
      </c>
      <c r="E102" s="12">
        <f>+D102/C102*100</f>
        <v>38.095238095238095</v>
      </c>
      <c r="F102">
        <v>161</v>
      </c>
      <c r="H102">
        <v>50</v>
      </c>
      <c r="I102">
        <v>4</v>
      </c>
      <c r="J102" s="8">
        <f>+G102/C102*100</f>
        <v>0</v>
      </c>
      <c r="K102" s="12">
        <f>+I102/C102*100</f>
        <v>19.047619047619047</v>
      </c>
      <c r="L102" s="12">
        <f>+F102/C102</f>
        <v>7.666666666666667</v>
      </c>
      <c r="M102" s="12">
        <f>100*(S102+U102+W102+Y102)/6</f>
        <v>26.190476190476193</v>
      </c>
      <c r="R102">
        <f>+(E102-30)/20</f>
        <v>0.40476190476190477</v>
      </c>
      <c r="S102" s="2">
        <f>IF(R102&lt;0,0,R102)</f>
        <v>0.40476190476190477</v>
      </c>
      <c r="T102" s="6">
        <f>+(L102-3)/4</f>
        <v>1.1666666666666667</v>
      </c>
      <c r="U102" s="2">
        <f>IF(T102&lt;0,0,T102)</f>
        <v>1.1666666666666667</v>
      </c>
      <c r="V102">
        <f>+J102/5</f>
        <v>0</v>
      </c>
      <c r="W102" s="2">
        <f>IF(V102&lt;0,0,V102)</f>
        <v>0</v>
      </c>
      <c r="X102">
        <f>(9.5-K102)/4</f>
        <v>-2.386904761904762</v>
      </c>
      <c r="Y102" s="2">
        <f>IF(X102&lt;0,0,X102)</f>
        <v>0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1</v>
      </c>
      <c r="E108">
        <v>3</v>
      </c>
      <c r="F108" s="12">
        <f aca="true" t="shared" si="2" ref="F108:F113">+E108/C108</f>
        <v>3</v>
      </c>
      <c r="G108">
        <v>3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6" ht="12.75">
      <c r="A119" t="s">
        <v>128</v>
      </c>
      <c r="C119">
        <v>6</v>
      </c>
      <c r="D119">
        <v>124</v>
      </c>
      <c r="E119" s="12">
        <f t="shared" si="3"/>
        <v>20.666666666666668</v>
      </c>
      <c r="F119">
        <v>32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7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</row>
    <row r="128" spans="1:6" ht="12.75">
      <c r="A128" t="s">
        <v>131</v>
      </c>
      <c r="C128">
        <v>5</v>
      </c>
      <c r="D128">
        <v>231</v>
      </c>
      <c r="E128" s="12">
        <f>+D128/C128</f>
        <v>46.2</v>
      </c>
      <c r="F128">
        <v>52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9" ht="12.75">
      <c r="A132" t="s">
        <v>132</v>
      </c>
      <c r="C132">
        <v>3</v>
      </c>
      <c r="E132">
        <v>2</v>
      </c>
      <c r="F132">
        <v>2</v>
      </c>
      <c r="I132" s="12" t="e">
        <f>+H132/G132*100</f>
        <v>#DIV/0!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6" ht="12.75">
      <c r="A139" t="s">
        <v>135</v>
      </c>
      <c r="C139">
        <v>1</v>
      </c>
      <c r="D139">
        <v>5</v>
      </c>
      <c r="E139" s="12">
        <f t="shared" si="4"/>
        <v>5</v>
      </c>
      <c r="F139">
        <v>5</v>
      </c>
    </row>
    <row r="140" spans="1:5" ht="12.75">
      <c r="A140" t="s">
        <v>127</v>
      </c>
      <c r="E140" s="12" t="e">
        <f t="shared" si="4"/>
        <v>#DIV/0!</v>
      </c>
    </row>
    <row r="141" spans="1:6" ht="12.75">
      <c r="A141" t="s">
        <v>125</v>
      </c>
      <c r="C141">
        <v>1</v>
      </c>
      <c r="D141">
        <v>4</v>
      </c>
      <c r="E141" s="12">
        <f t="shared" si="4"/>
        <v>4</v>
      </c>
      <c r="F141">
        <v>4</v>
      </c>
    </row>
    <row r="142" spans="1:6" ht="12.75">
      <c r="A142" t="s">
        <v>136</v>
      </c>
      <c r="C142">
        <v>2</v>
      </c>
      <c r="D142">
        <v>34</v>
      </c>
      <c r="E142" s="12">
        <f t="shared" si="4"/>
        <v>17</v>
      </c>
      <c r="F142">
        <v>26</v>
      </c>
    </row>
    <row r="143" spans="1:6" ht="12.75">
      <c r="A143" t="s">
        <v>142</v>
      </c>
      <c r="C143">
        <v>1</v>
      </c>
      <c r="D143">
        <v>13</v>
      </c>
      <c r="E143" s="12">
        <f t="shared" si="4"/>
        <v>13</v>
      </c>
      <c r="F143">
        <v>13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ht="12.75">
      <c r="A148" t="s">
        <v>133</v>
      </c>
    </row>
    <row r="149" ht="12.75">
      <c r="A149" t="s">
        <v>134</v>
      </c>
    </row>
    <row r="150" ht="12.75">
      <c r="A150" t="s">
        <v>138</v>
      </c>
    </row>
    <row r="151" spans="1:4" ht="12.75">
      <c r="A151" t="s">
        <v>139</v>
      </c>
      <c r="C151">
        <v>2</v>
      </c>
      <c r="D151">
        <v>17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spans="1:4" ht="12.75">
      <c r="A155" t="s">
        <v>142</v>
      </c>
      <c r="C155">
        <v>1</v>
      </c>
      <c r="D155">
        <v>13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8</v>
      </c>
      <c r="H163" t="s">
        <v>97</v>
      </c>
      <c r="M163">
        <v>16</v>
      </c>
    </row>
    <row r="164" spans="1:13" ht="12.75">
      <c r="A164" t="s">
        <v>98</v>
      </c>
      <c r="D164">
        <v>2</v>
      </c>
      <c r="H164" t="s">
        <v>98</v>
      </c>
      <c r="M164">
        <v>8</v>
      </c>
    </row>
    <row r="165" spans="1:15" ht="12.75">
      <c r="A165" t="s">
        <v>99</v>
      </c>
      <c r="D165">
        <f>D164/D163*100</f>
        <v>25</v>
      </c>
      <c r="E165" s="23"/>
      <c r="H165" t="s">
        <v>99</v>
      </c>
      <c r="M165">
        <f>+M164/M163*100</f>
        <v>50</v>
      </c>
      <c r="O165" s="2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65"/>
  <sheetViews>
    <sheetView workbookViewId="0" topLeftCell="A132">
      <selection activeCell="A155" sqref="A1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100</v>
      </c>
      <c r="F1" s="2" t="s">
        <v>101</v>
      </c>
    </row>
    <row r="2" ht="12.75">
      <c r="E2">
        <v>1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20</v>
      </c>
      <c r="H6" s="1" t="s">
        <v>29</v>
      </c>
      <c r="M6" s="2">
        <v>19</v>
      </c>
    </row>
    <row r="8" spans="1:23" ht="12.75">
      <c r="A8" t="s">
        <v>1</v>
      </c>
      <c r="D8" s="2">
        <v>43</v>
      </c>
      <c r="H8" t="s">
        <v>1</v>
      </c>
      <c r="M8" s="2">
        <v>20</v>
      </c>
      <c r="V8">
        <f>+D8</f>
        <v>43</v>
      </c>
      <c r="W8">
        <f>+M8</f>
        <v>20</v>
      </c>
    </row>
    <row r="9" spans="1:23" ht="12.75">
      <c r="A9" t="s">
        <v>2</v>
      </c>
      <c r="D9" s="2">
        <v>223</v>
      </c>
      <c r="H9" t="s">
        <v>2</v>
      </c>
      <c r="M9" s="2">
        <v>118</v>
      </c>
      <c r="U9" s="13"/>
      <c r="V9">
        <f>+D13</f>
        <v>13</v>
      </c>
      <c r="W9">
        <f>+M13</f>
        <v>21</v>
      </c>
    </row>
    <row r="10" spans="1:23" ht="12.75">
      <c r="A10" s="1" t="s">
        <v>3</v>
      </c>
      <c r="D10" s="8">
        <f>+D9/D8</f>
        <v>5.186046511627907</v>
      </c>
      <c r="H10" s="1" t="s">
        <v>3</v>
      </c>
      <c r="M10" s="8">
        <f>+M9/M8</f>
        <v>5.9</v>
      </c>
      <c r="V10">
        <f>+(D12-D13)/2</f>
        <v>3.5</v>
      </c>
      <c r="W10">
        <f>+(M12-M13)/2</f>
        <v>7.5</v>
      </c>
    </row>
    <row r="11" spans="22:23" ht="12.75">
      <c r="V11">
        <f>+D35/2</f>
        <v>2</v>
      </c>
      <c r="W11">
        <f>+M35/2</f>
        <v>2</v>
      </c>
    </row>
    <row r="12" spans="1:23" ht="12.75">
      <c r="A12" t="s">
        <v>4</v>
      </c>
      <c r="D12" s="2">
        <v>20</v>
      </c>
      <c r="H12" t="s">
        <v>4</v>
      </c>
      <c r="M12" s="2">
        <v>36</v>
      </c>
      <c r="V12">
        <f>+D39/2</f>
        <v>1</v>
      </c>
      <c r="W12">
        <f>+M39/2</f>
        <v>1</v>
      </c>
    </row>
    <row r="13" spans="1:23" ht="12.75">
      <c r="A13" t="s">
        <v>5</v>
      </c>
      <c r="D13" s="2">
        <v>13</v>
      </c>
      <c r="H13" t="s">
        <v>5</v>
      </c>
      <c r="M13" s="2">
        <v>21</v>
      </c>
      <c r="V13">
        <f>+D44/2</f>
        <v>1</v>
      </c>
      <c r="W13">
        <f>+M44/2</f>
        <v>2</v>
      </c>
    </row>
    <row r="14" spans="1:13" ht="12.75">
      <c r="A14" t="s">
        <v>6</v>
      </c>
      <c r="D14" s="8">
        <f>+D13/D12*100</f>
        <v>65</v>
      </c>
      <c r="H14" t="s">
        <v>6</v>
      </c>
      <c r="M14" s="8">
        <f>+M13/M12*100</f>
        <v>58.333333333333336</v>
      </c>
    </row>
    <row r="15" spans="1:24" ht="12.75">
      <c r="A15" t="s">
        <v>7</v>
      </c>
      <c r="D15" s="2">
        <v>197</v>
      </c>
      <c r="H15" t="s">
        <v>7</v>
      </c>
      <c r="M15" s="2">
        <v>178</v>
      </c>
      <c r="V15">
        <f>SUM(V8:V13)</f>
        <v>63.5</v>
      </c>
      <c r="W15">
        <f>SUM(W8:W13)</f>
        <v>53.5</v>
      </c>
      <c r="X15">
        <f>+W15+V15</f>
        <v>117</v>
      </c>
    </row>
    <row r="16" spans="1:23" ht="12.75">
      <c r="A16" t="s">
        <v>8</v>
      </c>
      <c r="D16" s="2">
        <v>4</v>
      </c>
      <c r="H16" t="s">
        <v>8</v>
      </c>
      <c r="M16" s="2">
        <v>1</v>
      </c>
      <c r="V16">
        <f>+V15/X15</f>
        <v>0.5427350427350427</v>
      </c>
      <c r="W16">
        <f>+W15/X15</f>
        <v>0.45726495726495725</v>
      </c>
    </row>
    <row r="17" spans="1:23" ht="12.75">
      <c r="A17" t="s">
        <v>9</v>
      </c>
      <c r="D17" s="2">
        <v>33</v>
      </c>
      <c r="H17" t="s">
        <v>9</v>
      </c>
      <c r="M17" s="2">
        <v>12</v>
      </c>
      <c r="V17">
        <f>+V16*60</f>
        <v>32.56410256410256</v>
      </c>
      <c r="W17">
        <f>+W16*60</f>
        <v>27.435897435897434</v>
      </c>
    </row>
    <row r="18" spans="1:23" ht="12.75">
      <c r="A18" t="s">
        <v>10</v>
      </c>
      <c r="D18">
        <f>+D15-D17</f>
        <v>164</v>
      </c>
      <c r="H18" t="s">
        <v>10</v>
      </c>
      <c r="M18">
        <f>+M15-M17</f>
        <v>166</v>
      </c>
      <c r="V18">
        <f>+V17-INT(V17)</f>
        <v>0.5641025641025621</v>
      </c>
      <c r="W18">
        <f>+W17-INT(W17)</f>
        <v>0.43589743589743435</v>
      </c>
    </row>
    <row r="19" spans="1:23" ht="12.75">
      <c r="A19" t="s">
        <v>11</v>
      </c>
      <c r="D19" s="7">
        <f>+D18/D12</f>
        <v>8.2</v>
      </c>
      <c r="H19" t="s">
        <v>11</v>
      </c>
      <c r="M19" s="7">
        <f>+M18/M12</f>
        <v>4.611111111111111</v>
      </c>
      <c r="V19">
        <f>+V18*60</f>
        <v>33.846153846153726</v>
      </c>
      <c r="W19">
        <f>+W18*60</f>
        <v>26.15384615384606</v>
      </c>
    </row>
    <row r="20" spans="1:23" ht="12.75">
      <c r="A20" t="s">
        <v>12</v>
      </c>
      <c r="D20" s="7">
        <f>+D15/D13</f>
        <v>15.153846153846153</v>
      </c>
      <c r="H20" t="s">
        <v>12</v>
      </c>
      <c r="M20" s="7">
        <f>+M15/M13</f>
        <v>8.476190476190476</v>
      </c>
      <c r="U20">
        <v>0</v>
      </c>
      <c r="V20" s="11">
        <f>ROUND(V19,0)</f>
        <v>34</v>
      </c>
      <c r="W20">
        <f>ROUND(W19,0)</f>
        <v>26</v>
      </c>
    </row>
    <row r="21" spans="22:23" ht="12.75">
      <c r="V21">
        <f>INT(V17)</f>
        <v>32</v>
      </c>
      <c r="W21">
        <f>INT(W17)</f>
        <v>27</v>
      </c>
    </row>
    <row r="22" spans="1:23" ht="12.75">
      <c r="A22" t="s">
        <v>13</v>
      </c>
      <c r="H22" t="s">
        <v>13</v>
      </c>
      <c r="V22" t="s">
        <v>91</v>
      </c>
      <c r="W22" t="s">
        <v>91</v>
      </c>
    </row>
    <row r="23" spans="1:23" ht="12.75">
      <c r="A23" t="s">
        <v>14</v>
      </c>
      <c r="D23">
        <f>+D18+D9</f>
        <v>387</v>
      </c>
      <c r="H23" t="s">
        <v>14</v>
      </c>
      <c r="M23">
        <f>+M18+M9</f>
        <v>284</v>
      </c>
      <c r="V23" s="14" t="str">
        <f>+V21&amp;V22&amp;V20</f>
        <v>32:34</v>
      </c>
      <c r="W23" s="9" t="str">
        <f>+W21&amp;W22&amp;W20</f>
        <v>27:26</v>
      </c>
    </row>
    <row r="24" spans="1:23" ht="12.75">
      <c r="A24" t="s">
        <v>15</v>
      </c>
      <c r="D24" s="7">
        <f>+D9/D23*100</f>
        <v>57.622739018087856</v>
      </c>
      <c r="H24" t="s">
        <v>15</v>
      </c>
      <c r="M24" s="7">
        <f>+M9/M23*100</f>
        <v>41.54929577464789</v>
      </c>
      <c r="V24" s="9" t="str">
        <f>IF(V20&lt;10,+V21&amp;V22&amp;$U$20&amp;V20,+V21&amp;V22&amp;V20)</f>
        <v>32:34</v>
      </c>
      <c r="W24" s="9" t="str">
        <f>IF(W20&lt;10,+W21&amp;W22&amp;$U$20&amp;W20,+W21&amp;W22&amp;W20)</f>
        <v>27:26</v>
      </c>
    </row>
    <row r="25" spans="1:13" ht="12.75">
      <c r="A25" s="1" t="s">
        <v>90</v>
      </c>
      <c r="D25" s="7">
        <f>+D18/D23*100</f>
        <v>42.377260981912144</v>
      </c>
      <c r="H25" s="1" t="s">
        <v>90</v>
      </c>
      <c r="M25" s="7">
        <f>+M18/M23*100</f>
        <v>58.45070422535211</v>
      </c>
    </row>
    <row r="27" spans="1:13" ht="12.75">
      <c r="A27" t="s">
        <v>16</v>
      </c>
      <c r="D27">
        <f>+D8+D12+D16</f>
        <v>67</v>
      </c>
      <c r="H27" t="s">
        <v>16</v>
      </c>
      <c r="M27">
        <f>+M8+M12+M16</f>
        <v>57</v>
      </c>
    </row>
    <row r="28" spans="1:13" ht="12.75">
      <c r="A28" t="s">
        <v>17</v>
      </c>
      <c r="D28" s="8">
        <f>+D23/D27</f>
        <v>5.776119402985074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4.982456140350878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1</v>
      </c>
    </row>
    <row r="32" spans="1:13" ht="12.75">
      <c r="A32" t="s">
        <v>20</v>
      </c>
      <c r="D32" s="2">
        <v>11</v>
      </c>
      <c r="H32" t="s">
        <v>20</v>
      </c>
      <c r="M32" s="2"/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4</v>
      </c>
      <c r="H35" t="s">
        <v>22</v>
      </c>
      <c r="M35" s="2">
        <v>4</v>
      </c>
    </row>
    <row r="36" spans="1:13" ht="12.75">
      <c r="A36" t="s">
        <v>23</v>
      </c>
      <c r="D36" s="2">
        <v>164</v>
      </c>
      <c r="H36" t="s">
        <v>23</v>
      </c>
      <c r="M36" s="2">
        <v>160</v>
      </c>
    </row>
    <row r="37" spans="1:13" ht="12.75">
      <c r="A37" t="s">
        <v>24</v>
      </c>
      <c r="D37" s="8">
        <f>+D36/D35</f>
        <v>41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40</v>
      </c>
    </row>
    <row r="39" spans="1:13" ht="12.75">
      <c r="A39" t="s">
        <v>25</v>
      </c>
      <c r="D39" s="2">
        <v>2</v>
      </c>
      <c r="H39" t="s">
        <v>25</v>
      </c>
      <c r="M39" s="2">
        <v>2</v>
      </c>
    </row>
    <row r="40" spans="1:13" ht="12.75">
      <c r="A40" t="s">
        <v>26</v>
      </c>
      <c r="D40" s="2">
        <v>25</v>
      </c>
      <c r="H40" t="s">
        <v>26</v>
      </c>
      <c r="M40" s="2">
        <v>17</v>
      </c>
    </row>
    <row r="41" spans="1:13" ht="12.75">
      <c r="A41" t="s">
        <v>27</v>
      </c>
      <c r="D41" s="8">
        <f>+D40/D39</f>
        <v>12.5</v>
      </c>
      <c r="H41" t="s">
        <v>27</v>
      </c>
      <c r="M41" s="8">
        <f>+M40/M39</f>
        <v>8.5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2</v>
      </c>
      <c r="H44" t="s">
        <v>30</v>
      </c>
      <c r="M44" s="2">
        <v>4</v>
      </c>
    </row>
    <row r="45" spans="1:13" ht="12.75">
      <c r="A45" t="s">
        <v>26</v>
      </c>
      <c r="D45" s="2">
        <v>46</v>
      </c>
      <c r="H45" t="s">
        <v>26</v>
      </c>
      <c r="M45" s="2">
        <v>121</v>
      </c>
    </row>
    <row r="46" spans="1:13" ht="12.75">
      <c r="A46" t="s">
        <v>27</v>
      </c>
      <c r="D46" s="8">
        <f>+D45/D44</f>
        <v>23</v>
      </c>
      <c r="H46" t="s">
        <v>27</v>
      </c>
      <c r="M46" s="8">
        <f>+M45/M44</f>
        <v>30.25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2</v>
      </c>
      <c r="H49" t="s">
        <v>31</v>
      </c>
      <c r="M49" s="2">
        <v>2</v>
      </c>
    </row>
    <row r="50" spans="1:13" ht="12.75">
      <c r="A50" t="s">
        <v>32</v>
      </c>
      <c r="D50" s="2">
        <v>21</v>
      </c>
      <c r="H50" t="s">
        <v>32</v>
      </c>
      <c r="M50" s="2">
        <v>30</v>
      </c>
    </row>
    <row r="52" spans="1:13" ht="12.75">
      <c r="A52" t="s">
        <v>33</v>
      </c>
      <c r="D52" s="2">
        <v>2</v>
      </c>
      <c r="H52" t="s">
        <v>33</v>
      </c>
      <c r="M52" s="2">
        <v>4</v>
      </c>
    </row>
    <row r="53" spans="1:13" ht="12.75">
      <c r="A53" t="s">
        <v>34</v>
      </c>
      <c r="D53" s="2">
        <v>2</v>
      </c>
      <c r="H53" t="s">
        <v>34</v>
      </c>
      <c r="M53" s="2">
        <v>2</v>
      </c>
    </row>
    <row r="54" spans="1:13" ht="12.75">
      <c r="A54" t="s">
        <v>35</v>
      </c>
      <c r="D54" s="2"/>
      <c r="H54" t="s">
        <v>35</v>
      </c>
      <c r="M54" s="2"/>
    </row>
    <row r="55" spans="1:13" ht="12.75">
      <c r="A55" t="s">
        <v>36</v>
      </c>
      <c r="D55" s="2"/>
      <c r="H55" t="s">
        <v>36</v>
      </c>
      <c r="M55" s="2">
        <v>2</v>
      </c>
    </row>
    <row r="56" spans="1:13" ht="12.75">
      <c r="A56" s="1" t="s">
        <v>37</v>
      </c>
      <c r="D56" s="2"/>
      <c r="H56" s="1" t="s">
        <v>37</v>
      </c>
      <c r="M56" s="2"/>
    </row>
    <row r="58" spans="1:13" ht="12.75">
      <c r="A58" t="s">
        <v>38</v>
      </c>
      <c r="D58" s="2">
        <v>24</v>
      </c>
      <c r="H58" t="s">
        <v>38</v>
      </c>
      <c r="M58" s="2">
        <v>3</v>
      </c>
    </row>
    <row r="59" spans="1:13" ht="12.75">
      <c r="A59" t="s">
        <v>39</v>
      </c>
      <c r="D59" s="2">
        <v>3</v>
      </c>
      <c r="H59" t="s">
        <v>39</v>
      </c>
      <c r="M59" s="2"/>
    </row>
    <row r="60" spans="1:13" ht="12.75">
      <c r="A60" t="s">
        <v>40</v>
      </c>
      <c r="D60" s="2">
        <v>1</v>
      </c>
      <c r="H60" t="s">
        <v>40</v>
      </c>
      <c r="M60" s="2"/>
    </row>
    <row r="61" spans="1:13" ht="12.75">
      <c r="A61" t="s">
        <v>41</v>
      </c>
      <c r="D61" s="2">
        <v>2</v>
      </c>
      <c r="H61" t="s">
        <v>41</v>
      </c>
      <c r="M61" s="2"/>
    </row>
    <row r="62" spans="1:13" ht="12.75">
      <c r="A62" t="s">
        <v>42</v>
      </c>
      <c r="D62" s="2"/>
      <c r="H62" t="s">
        <v>42</v>
      </c>
      <c r="M62" s="2"/>
    </row>
    <row r="63" spans="1:13" ht="12.75">
      <c r="A63" t="s">
        <v>43</v>
      </c>
      <c r="D63" s="2">
        <v>3</v>
      </c>
      <c r="H63" t="s">
        <v>43</v>
      </c>
      <c r="M63" s="2"/>
    </row>
    <row r="64" spans="1:13" ht="12.75">
      <c r="A64" t="s">
        <v>44</v>
      </c>
      <c r="D64" s="2"/>
      <c r="H64" t="s">
        <v>44</v>
      </c>
      <c r="M64" s="2"/>
    </row>
    <row r="65" spans="1:13" ht="12.75">
      <c r="A65" t="s">
        <v>45</v>
      </c>
      <c r="D65" s="2">
        <v>1</v>
      </c>
      <c r="H65" t="s">
        <v>45</v>
      </c>
      <c r="M65" s="2">
        <v>1</v>
      </c>
    </row>
    <row r="66" spans="1:13" ht="12.75">
      <c r="A66" t="s">
        <v>46</v>
      </c>
      <c r="D66" s="2">
        <v>1</v>
      </c>
      <c r="H66" t="s">
        <v>46</v>
      </c>
      <c r="M66" s="2">
        <v>2</v>
      </c>
    </row>
    <row r="67" spans="1:13" ht="12.75">
      <c r="A67" t="s">
        <v>47</v>
      </c>
      <c r="D67" s="8">
        <f>+D65/D66*100</f>
        <v>100</v>
      </c>
      <c r="E67" s="7"/>
      <c r="F67" s="7"/>
      <c r="G67" s="7"/>
      <c r="H67" s="7" t="s">
        <v>47</v>
      </c>
      <c r="I67" s="7"/>
      <c r="J67" s="7"/>
      <c r="K67" s="7"/>
      <c r="L67" s="7"/>
      <c r="M67" s="7">
        <f>+M65/M66*100</f>
        <v>50</v>
      </c>
    </row>
    <row r="68" spans="1:13" ht="12.75">
      <c r="A68" t="s">
        <v>93</v>
      </c>
      <c r="D68" s="10" t="str">
        <f>IF(V20&lt;10,V24,V23)</f>
        <v>32:34</v>
      </c>
      <c r="E68" s="8"/>
      <c r="F68" s="8"/>
      <c r="H68" t="s">
        <v>93</v>
      </c>
      <c r="M68" s="10" t="str">
        <f>IF(W20&lt;10,W24,W23)</f>
        <v>27:26</v>
      </c>
    </row>
    <row r="70" ht="12.75">
      <c r="A70" t="s">
        <v>49</v>
      </c>
    </row>
    <row r="71" spans="1:8" ht="12.75">
      <c r="A71" s="2" t="s">
        <v>50</v>
      </c>
      <c r="B71" s="2"/>
      <c r="C71" s="3" t="s">
        <v>51</v>
      </c>
      <c r="D71" s="3" t="s">
        <v>52</v>
      </c>
      <c r="E71" s="3" t="s">
        <v>53</v>
      </c>
      <c r="F71" s="3" t="s">
        <v>54</v>
      </c>
      <c r="G71" s="3" t="s">
        <v>55</v>
      </c>
      <c r="H71" s="3" t="s">
        <v>84</v>
      </c>
    </row>
    <row r="72" spans="1:6" ht="12.75">
      <c r="A72" t="s">
        <v>110</v>
      </c>
      <c r="C72">
        <v>18</v>
      </c>
      <c r="D72">
        <v>75</v>
      </c>
      <c r="E72" s="12">
        <f>+D72/C72</f>
        <v>4.166666666666667</v>
      </c>
      <c r="F72">
        <v>21</v>
      </c>
    </row>
    <row r="73" spans="1:8" ht="12.75">
      <c r="A73" t="s">
        <v>111</v>
      </c>
      <c r="C73">
        <v>18</v>
      </c>
      <c r="D73">
        <v>113</v>
      </c>
      <c r="E73" s="12">
        <f>+D73/C73</f>
        <v>6.277777777777778</v>
      </c>
      <c r="F73">
        <v>18</v>
      </c>
      <c r="G73">
        <v>1</v>
      </c>
      <c r="H73">
        <v>1</v>
      </c>
    </row>
    <row r="74" spans="1:6" ht="12.75">
      <c r="A74" t="s">
        <v>112</v>
      </c>
      <c r="C74">
        <v>4</v>
      </c>
      <c r="D74">
        <v>37</v>
      </c>
      <c r="E74" s="12">
        <f>+D74/C74</f>
        <v>9.25</v>
      </c>
      <c r="F74">
        <v>35</v>
      </c>
    </row>
    <row r="75" spans="1:5" ht="12.75">
      <c r="A75" t="s">
        <v>113</v>
      </c>
      <c r="C75">
        <v>3</v>
      </c>
      <c r="D75">
        <v>-2</v>
      </c>
      <c r="E75" s="12">
        <f aca="true" t="shared" si="0" ref="E75:E81">+D75/C75</f>
        <v>-0.6666666666666666</v>
      </c>
    </row>
    <row r="76" spans="1:5" ht="12.75">
      <c r="A76" t="s">
        <v>114</v>
      </c>
      <c r="E76" s="12" t="e">
        <f t="shared" si="0"/>
        <v>#DIV/0!</v>
      </c>
    </row>
    <row r="77" spans="1:5" ht="12.75">
      <c r="A77" t="s">
        <v>115</v>
      </c>
      <c r="E77" s="12" t="e">
        <f t="shared" si="0"/>
        <v>#DIV/0!</v>
      </c>
    </row>
    <row r="78" spans="1:5" ht="12.75">
      <c r="A78" t="s">
        <v>116</v>
      </c>
      <c r="E78" s="12" t="e">
        <f t="shared" si="0"/>
        <v>#DIV/0!</v>
      </c>
    </row>
    <row r="79" spans="1:5" ht="12.75">
      <c r="A79" t="s">
        <v>117</v>
      </c>
      <c r="E79" s="12" t="e">
        <f t="shared" si="0"/>
        <v>#DIV/0!</v>
      </c>
    </row>
    <row r="80" spans="1:5" ht="12.75">
      <c r="A80" t="s">
        <v>124</v>
      </c>
      <c r="E80" s="12" t="e">
        <f t="shared" si="0"/>
        <v>#DIV/0!</v>
      </c>
    </row>
    <row r="81" ht="12.75">
      <c r="E81" s="12" t="e">
        <f t="shared" si="0"/>
        <v>#DIV/0!</v>
      </c>
    </row>
    <row r="82" ht="12.75">
      <c r="E82" s="8"/>
    </row>
    <row r="83" ht="12.75">
      <c r="E83" s="8"/>
    </row>
    <row r="84" ht="12.75">
      <c r="E84" s="8"/>
    </row>
    <row r="85" spans="1:8" ht="12.75">
      <c r="A85" s="2" t="s">
        <v>56</v>
      </c>
      <c r="C85" s="3" t="s">
        <v>57</v>
      </c>
      <c r="D85" s="3" t="s">
        <v>52</v>
      </c>
      <c r="E85" s="15" t="s">
        <v>53</v>
      </c>
      <c r="F85" s="3" t="s">
        <v>54</v>
      </c>
      <c r="G85" s="3" t="s">
        <v>55</v>
      </c>
      <c r="H85" s="3" t="s">
        <v>84</v>
      </c>
    </row>
    <row r="86" spans="1:7" ht="12.75">
      <c r="A86" t="s">
        <v>110</v>
      </c>
      <c r="C86">
        <v>3</v>
      </c>
      <c r="D86">
        <v>51</v>
      </c>
      <c r="E86" s="12">
        <f aca="true" t="shared" si="1" ref="E86:E97">+D86/C86</f>
        <v>17</v>
      </c>
      <c r="F86">
        <v>25</v>
      </c>
      <c r="G86">
        <v>1</v>
      </c>
    </row>
    <row r="87" spans="1:5" ht="12.75">
      <c r="A87" t="s">
        <v>111</v>
      </c>
      <c r="E87" s="12" t="e">
        <f t="shared" si="1"/>
        <v>#DIV/0!</v>
      </c>
    </row>
    <row r="88" spans="1:6" ht="12.75">
      <c r="A88" t="s">
        <v>112</v>
      </c>
      <c r="C88">
        <v>1</v>
      </c>
      <c r="D88">
        <v>23</v>
      </c>
      <c r="E88" s="12">
        <f t="shared" si="1"/>
        <v>23</v>
      </c>
      <c r="F88">
        <v>23</v>
      </c>
    </row>
    <row r="89" spans="1:5" ht="12.75">
      <c r="A89" t="s">
        <v>115</v>
      </c>
      <c r="E89" s="12" t="e">
        <f t="shared" si="1"/>
        <v>#DIV/0!</v>
      </c>
    </row>
    <row r="90" spans="1:5" ht="12.75">
      <c r="A90" t="s">
        <v>116</v>
      </c>
      <c r="E90" s="12" t="e">
        <f t="shared" si="1"/>
        <v>#DIV/0!</v>
      </c>
    </row>
    <row r="91" spans="1:7" ht="12.75">
      <c r="A91" t="s">
        <v>117</v>
      </c>
      <c r="C91">
        <v>4</v>
      </c>
      <c r="D91">
        <v>71</v>
      </c>
      <c r="E91" s="12">
        <f t="shared" si="1"/>
        <v>17.75</v>
      </c>
      <c r="F91">
        <v>24</v>
      </c>
      <c r="G91">
        <v>1</v>
      </c>
    </row>
    <row r="92" spans="1:6" ht="12.75">
      <c r="A92" t="s">
        <v>118</v>
      </c>
      <c r="C92">
        <v>3</v>
      </c>
      <c r="D92">
        <v>40</v>
      </c>
      <c r="E92" s="12">
        <f t="shared" si="1"/>
        <v>13.333333333333334</v>
      </c>
      <c r="F92">
        <v>28</v>
      </c>
    </row>
    <row r="93" spans="1:6" ht="12.75">
      <c r="A93" t="s">
        <v>119</v>
      </c>
      <c r="C93">
        <v>2</v>
      </c>
      <c r="D93">
        <v>12</v>
      </c>
      <c r="E93" s="12">
        <f t="shared" si="1"/>
        <v>6</v>
      </c>
      <c r="F93">
        <v>8</v>
      </c>
    </row>
    <row r="94" spans="1:5" ht="12.75">
      <c r="A94" t="s">
        <v>120</v>
      </c>
      <c r="E94" s="12" t="e">
        <f t="shared" si="1"/>
        <v>#DIV/0!</v>
      </c>
    </row>
    <row r="95" spans="1:5" ht="12.75">
      <c r="A95" t="s">
        <v>121</v>
      </c>
      <c r="E95" s="12" t="e">
        <f t="shared" si="1"/>
        <v>#DIV/0!</v>
      </c>
    </row>
    <row r="96" spans="1:5" ht="12.75">
      <c r="A96" t="s">
        <v>122</v>
      </c>
      <c r="E96" s="12" t="e">
        <f t="shared" si="1"/>
        <v>#DIV/0!</v>
      </c>
    </row>
    <row r="97" spans="1:5" ht="12.75">
      <c r="A97" t="s">
        <v>123</v>
      </c>
      <c r="E97" s="12" t="e">
        <f t="shared" si="1"/>
        <v>#DIV/0!</v>
      </c>
    </row>
    <row r="98" spans="1:5" ht="12.75">
      <c r="A98" t="s">
        <v>113</v>
      </c>
      <c r="E98" s="8"/>
    </row>
    <row r="99" ht="12.75">
      <c r="E99" s="8"/>
    </row>
    <row r="100" spans="1:13" ht="12.75">
      <c r="A100" s="2"/>
      <c r="B100" s="2"/>
      <c r="C100" s="3"/>
      <c r="D100" s="3"/>
      <c r="E100" s="15" t="s">
        <v>61</v>
      </c>
      <c r="F100" s="3" t="s">
        <v>62</v>
      </c>
      <c r="G100" s="3"/>
      <c r="H100" s="3"/>
      <c r="I100" s="3" t="s">
        <v>65</v>
      </c>
      <c r="J100" s="3" t="s">
        <v>67</v>
      </c>
      <c r="K100" s="3" t="s">
        <v>61</v>
      </c>
      <c r="L100" s="3" t="s">
        <v>53</v>
      </c>
      <c r="M100" s="3"/>
    </row>
    <row r="101" spans="1:14" ht="12.75">
      <c r="A101" s="2" t="s">
        <v>58</v>
      </c>
      <c r="B101" s="2"/>
      <c r="C101" s="3" t="s">
        <v>59</v>
      </c>
      <c r="D101" s="3" t="s">
        <v>60</v>
      </c>
      <c r="E101" s="15" t="s">
        <v>60</v>
      </c>
      <c r="F101" s="3" t="s">
        <v>63</v>
      </c>
      <c r="G101" s="3" t="s">
        <v>55</v>
      </c>
      <c r="H101" s="3" t="s">
        <v>64</v>
      </c>
      <c r="I101" s="5" t="s">
        <v>66</v>
      </c>
      <c r="J101" s="3" t="s">
        <v>55</v>
      </c>
      <c r="K101" s="3" t="s">
        <v>68</v>
      </c>
      <c r="L101" s="3" t="s">
        <v>69</v>
      </c>
      <c r="M101" s="3" t="s">
        <v>70</v>
      </c>
      <c r="N101" s="3" t="s">
        <v>84</v>
      </c>
    </row>
    <row r="102" spans="1:25" ht="12.75">
      <c r="A102" t="s">
        <v>113</v>
      </c>
      <c r="C102">
        <v>20</v>
      </c>
      <c r="D102">
        <v>13</v>
      </c>
      <c r="E102" s="12">
        <f>+D102/C102*100</f>
        <v>65</v>
      </c>
      <c r="F102">
        <v>197</v>
      </c>
      <c r="G102">
        <v>2</v>
      </c>
      <c r="H102">
        <v>28</v>
      </c>
      <c r="I102">
        <v>1</v>
      </c>
      <c r="J102" s="8">
        <f>+G102/C102*100</f>
        <v>10</v>
      </c>
      <c r="K102" s="12">
        <f>+I102/C102*100</f>
        <v>5</v>
      </c>
      <c r="L102" s="12">
        <f>+F102/C102</f>
        <v>9.85</v>
      </c>
      <c r="M102" s="12">
        <f>100*(S102+U102+W102+Y102)/6</f>
        <v>109.79166666666667</v>
      </c>
      <c r="N102">
        <v>1</v>
      </c>
      <c r="R102">
        <f>+(E102-30)/20</f>
        <v>1.75</v>
      </c>
      <c r="S102" s="2">
        <f>IF(R102&lt;0,0,R102)</f>
        <v>1.75</v>
      </c>
      <c r="T102" s="6">
        <f>+(L102-3)/4</f>
        <v>1.7125</v>
      </c>
      <c r="U102" s="2">
        <f>IF(T102&lt;0,0,T102)</f>
        <v>1.7125</v>
      </c>
      <c r="V102">
        <f>+J102/5</f>
        <v>2</v>
      </c>
      <c r="W102" s="2">
        <f>IF(V102&lt;0,0,V102)</f>
        <v>2</v>
      </c>
      <c r="X102">
        <f>(9.5-K102)/4</f>
        <v>1.125</v>
      </c>
      <c r="Y102" s="2">
        <f>IF(X102&lt;0,0,X102)</f>
        <v>1.125</v>
      </c>
    </row>
    <row r="103" spans="1:25" ht="12.75">
      <c r="A103" t="s">
        <v>124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IF(R103&lt;0,0,R103)</f>
        <v>#DIV/0!</v>
      </c>
      <c r="T103" s="6" t="e">
        <f>+(L103-3)/4</f>
        <v>#DIV/0!</v>
      </c>
      <c r="U103" s="2" t="e">
        <f>IF(T103&lt;0,0,T103)</f>
        <v>#DIV/0!</v>
      </c>
      <c r="V103" t="e">
        <f>+J103/5</f>
        <v>#DIV/0!</v>
      </c>
      <c r="W103" s="2" t="e">
        <f>IF(V103&lt;0,0,V103)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122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IF(R104&lt;0,0,R104)</f>
        <v>#DIV/0!</v>
      </c>
      <c r="T104" s="6" t="e">
        <f>+(L104-3)/4</f>
        <v>#DIV/0!</v>
      </c>
      <c r="U104" s="2" t="e">
        <f>IF(T104&lt;0,0,T104)</f>
        <v>#DIV/0!</v>
      </c>
      <c r="V104" t="e">
        <f>+J104/5</f>
        <v>#DIV/0!</v>
      </c>
      <c r="W104" s="2" t="e">
        <f>IF(V104&lt;0,0,V104)</f>
        <v>#DIV/0!</v>
      </c>
      <c r="X104" t="e">
        <f>(9.5-K104)/4</f>
        <v>#DIV/0!</v>
      </c>
      <c r="Y104" s="2" t="e">
        <f>IF(X104&lt;0,0,X104)</f>
        <v>#DIV/0!</v>
      </c>
    </row>
    <row r="107" spans="1:9" ht="12.75">
      <c r="A107" s="2" t="s">
        <v>71</v>
      </c>
      <c r="C107" s="3" t="s">
        <v>72</v>
      </c>
      <c r="D107" s="3" t="s">
        <v>73</v>
      </c>
      <c r="E107" s="3" t="s">
        <v>74</v>
      </c>
      <c r="F107" s="3" t="s">
        <v>53</v>
      </c>
      <c r="G107" s="3" t="s">
        <v>64</v>
      </c>
      <c r="H107" s="3" t="s">
        <v>55</v>
      </c>
      <c r="I107" s="3" t="s">
        <v>84</v>
      </c>
    </row>
    <row r="108" spans="1:7" ht="12.75">
      <c r="A108" t="s">
        <v>125</v>
      </c>
      <c r="C108">
        <v>2</v>
      </c>
      <c r="E108">
        <v>25</v>
      </c>
      <c r="F108" s="12">
        <f aca="true" t="shared" si="2" ref="F108:F113">+E108/C108</f>
        <v>12.5</v>
      </c>
      <c r="G108">
        <v>19</v>
      </c>
    </row>
    <row r="109" spans="1:6" ht="12.75">
      <c r="A109" t="s">
        <v>122</v>
      </c>
      <c r="F109" s="12" t="e">
        <f t="shared" si="2"/>
        <v>#DIV/0!</v>
      </c>
    </row>
    <row r="110" spans="1:6" ht="12.75">
      <c r="A110" t="s">
        <v>126</v>
      </c>
      <c r="F110" s="12" t="e">
        <f t="shared" si="2"/>
        <v>#DIV/0!</v>
      </c>
    </row>
    <row r="111" spans="1:6" ht="12.75">
      <c r="A111" t="s">
        <v>127</v>
      </c>
      <c r="F111" s="12" t="e">
        <f t="shared" si="2"/>
        <v>#DIV/0!</v>
      </c>
    </row>
    <row r="112" ht="12.75">
      <c r="F112" s="12" t="e">
        <f t="shared" si="2"/>
        <v>#DIV/0!</v>
      </c>
    </row>
    <row r="113" ht="12.75">
      <c r="F113" s="12" t="e">
        <f t="shared" si="2"/>
        <v>#DIV/0!</v>
      </c>
    </row>
    <row r="117" spans="1:8" ht="12.75">
      <c r="A117" s="2" t="s">
        <v>30</v>
      </c>
      <c r="C117" s="3" t="s">
        <v>72</v>
      </c>
      <c r="D117" s="3" t="s">
        <v>74</v>
      </c>
      <c r="E117" s="3" t="s">
        <v>53</v>
      </c>
      <c r="F117" s="3" t="s">
        <v>64</v>
      </c>
      <c r="G117" s="3" t="s">
        <v>55</v>
      </c>
      <c r="H117" s="3" t="s">
        <v>84</v>
      </c>
    </row>
    <row r="118" spans="1:5" ht="12.75">
      <c r="A118" t="s">
        <v>114</v>
      </c>
      <c r="E118" s="12" t="e">
        <f aca="true" t="shared" si="3" ref="E118:E123">+D118/C118</f>
        <v>#DIV/0!</v>
      </c>
    </row>
    <row r="119" spans="1:6" ht="12.75">
      <c r="A119" t="s">
        <v>128</v>
      </c>
      <c r="C119">
        <v>2</v>
      </c>
      <c r="D119">
        <v>46</v>
      </c>
      <c r="E119" s="12">
        <f t="shared" si="3"/>
        <v>23</v>
      </c>
      <c r="F119">
        <v>33</v>
      </c>
    </row>
    <row r="120" spans="1:5" ht="12.75">
      <c r="A120" t="s">
        <v>126</v>
      </c>
      <c r="E120" s="12" t="e">
        <f t="shared" si="3"/>
        <v>#DIV/0!</v>
      </c>
    </row>
    <row r="121" spans="1:5" ht="12.75">
      <c r="A121" t="s">
        <v>122</v>
      </c>
      <c r="E121" s="12" t="e">
        <f t="shared" si="3"/>
        <v>#DIV/0!</v>
      </c>
    </row>
    <row r="122" spans="1:5" ht="12.75">
      <c r="A122" t="s">
        <v>129</v>
      </c>
      <c r="E122" s="12" t="e">
        <f t="shared" si="3"/>
        <v>#DIV/0!</v>
      </c>
    </row>
    <row r="123" spans="1:5" ht="12.75">
      <c r="A123" t="s">
        <v>130</v>
      </c>
      <c r="E123" s="12" t="e">
        <f t="shared" si="3"/>
        <v>#DIV/0!</v>
      </c>
    </row>
    <row r="127" spans="1:8" ht="12.75">
      <c r="A127" s="2" t="s">
        <v>75</v>
      </c>
      <c r="C127" s="3" t="s">
        <v>72</v>
      </c>
      <c r="D127" s="3" t="s">
        <v>74</v>
      </c>
      <c r="E127" s="3" t="s">
        <v>53</v>
      </c>
      <c r="F127" s="3" t="s">
        <v>64</v>
      </c>
      <c r="G127" s="3" t="s">
        <v>76</v>
      </c>
      <c r="H127" s="3" t="s">
        <v>84</v>
      </c>
    </row>
    <row r="128" spans="1:6" ht="12.75">
      <c r="A128" t="s">
        <v>131</v>
      </c>
      <c r="C128">
        <v>4</v>
      </c>
      <c r="D128">
        <v>164</v>
      </c>
      <c r="E128" s="12">
        <f>+D128/C128</f>
        <v>41</v>
      </c>
      <c r="F128">
        <v>48</v>
      </c>
    </row>
    <row r="130" ht="12.75">
      <c r="I130" s="5" t="s">
        <v>67</v>
      </c>
    </row>
    <row r="131" spans="1:10" ht="12.75">
      <c r="A131" s="4" t="s">
        <v>83</v>
      </c>
      <c r="C131" s="3" t="s">
        <v>77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86</v>
      </c>
      <c r="J131" s="3" t="s">
        <v>64</v>
      </c>
    </row>
    <row r="132" spans="1:10" ht="12.75">
      <c r="A132" t="s">
        <v>132</v>
      </c>
      <c r="C132">
        <v>5</v>
      </c>
      <c r="D132">
        <v>1</v>
      </c>
      <c r="E132">
        <v>3</v>
      </c>
      <c r="F132">
        <v>3</v>
      </c>
      <c r="G132">
        <v>1</v>
      </c>
      <c r="H132">
        <v>1</v>
      </c>
      <c r="I132" s="12">
        <f>+H132/G132*100</f>
        <v>100</v>
      </c>
      <c r="J132">
        <v>21</v>
      </c>
    </row>
    <row r="135" spans="1:8" ht="12.75">
      <c r="A135" s="2" t="s">
        <v>85</v>
      </c>
      <c r="C135" s="3" t="s">
        <v>72</v>
      </c>
      <c r="D135" s="3" t="s">
        <v>74</v>
      </c>
      <c r="E135" s="3" t="s">
        <v>53</v>
      </c>
      <c r="F135" s="3" t="s">
        <v>64</v>
      </c>
      <c r="G135" s="3" t="s">
        <v>55</v>
      </c>
      <c r="H135" s="3" t="s">
        <v>84</v>
      </c>
    </row>
    <row r="136" spans="1:5" ht="12.75">
      <c r="A136" t="s">
        <v>133</v>
      </c>
      <c r="E136" s="12" t="e">
        <f>+D136/C136</f>
        <v>#DIV/0!</v>
      </c>
    </row>
    <row r="137" spans="1:5" ht="12.75">
      <c r="A137" t="s">
        <v>134</v>
      </c>
      <c r="E137" s="12" t="e">
        <f aca="true" t="shared" si="4" ref="E137:E145">+D137/C137</f>
        <v>#DIV/0!</v>
      </c>
    </row>
    <row r="138" spans="1:5" ht="12.75">
      <c r="A138" t="s">
        <v>123</v>
      </c>
      <c r="E138" s="12" t="e">
        <f t="shared" si="4"/>
        <v>#DIV/0!</v>
      </c>
    </row>
    <row r="139" spans="1:5" ht="12.75">
      <c r="A139" t="s">
        <v>135</v>
      </c>
      <c r="E139" s="12" t="e">
        <f t="shared" si="4"/>
        <v>#DIV/0!</v>
      </c>
    </row>
    <row r="140" spans="1:5" ht="12.75">
      <c r="A140" t="s">
        <v>127</v>
      </c>
      <c r="E140" s="12" t="e">
        <f t="shared" si="4"/>
        <v>#DIV/0!</v>
      </c>
    </row>
    <row r="141" spans="1:5" ht="12.75">
      <c r="A141" t="s">
        <v>125</v>
      </c>
      <c r="E141" s="12" t="e">
        <f t="shared" si="4"/>
        <v>#DIV/0!</v>
      </c>
    </row>
    <row r="142" spans="1:5" ht="12.75">
      <c r="A142" t="s">
        <v>136</v>
      </c>
      <c r="C142">
        <v>1</v>
      </c>
      <c r="E142" s="12">
        <f t="shared" si="4"/>
        <v>0</v>
      </c>
    </row>
    <row r="143" spans="1:5" ht="12.75">
      <c r="A143" t="s">
        <v>142</v>
      </c>
      <c r="E143" s="12" t="e">
        <f t="shared" si="4"/>
        <v>#DIV/0!</v>
      </c>
    </row>
    <row r="144" spans="1:5" ht="12.75">
      <c r="A144" t="s">
        <v>129</v>
      </c>
      <c r="E144" s="12" t="e">
        <f t="shared" si="4"/>
        <v>#DIV/0!</v>
      </c>
    </row>
    <row r="145" spans="1:5" ht="12.75">
      <c r="A145" t="s">
        <v>137</v>
      </c>
      <c r="C145" s="3"/>
      <c r="D145" s="3"/>
      <c r="E145" s="12" t="e">
        <f t="shared" si="4"/>
        <v>#DIV/0!</v>
      </c>
    </row>
    <row r="147" spans="1:4" ht="12.75">
      <c r="A147" s="2" t="s">
        <v>94</v>
      </c>
      <c r="C147" s="3" t="s">
        <v>72</v>
      </c>
      <c r="D147" s="3" t="s">
        <v>74</v>
      </c>
    </row>
    <row r="148" spans="1:4" ht="12.75">
      <c r="A148" t="s">
        <v>133</v>
      </c>
      <c r="C148">
        <v>1</v>
      </c>
      <c r="D148">
        <v>12</v>
      </c>
    </row>
    <row r="149" ht="12.75">
      <c r="A149" t="s">
        <v>134</v>
      </c>
    </row>
    <row r="150" ht="12.75">
      <c r="A150" t="s">
        <v>138</v>
      </c>
    </row>
    <row r="151" ht="12.75">
      <c r="A151" t="s">
        <v>139</v>
      </c>
    </row>
    <row r="152" ht="12.75">
      <c r="A152" t="s">
        <v>140</v>
      </c>
    </row>
    <row r="153" ht="12.75">
      <c r="A153" t="s">
        <v>135</v>
      </c>
    </row>
    <row r="154" ht="12.75">
      <c r="A154" t="s">
        <v>136</v>
      </c>
    </row>
    <row r="155" ht="12.75">
      <c r="A155" t="s">
        <v>142</v>
      </c>
    </row>
    <row r="156" ht="12.75">
      <c r="A156" t="s">
        <v>129</v>
      </c>
    </row>
    <row r="157" ht="12.75">
      <c r="A157" t="s">
        <v>137</v>
      </c>
    </row>
    <row r="162" spans="4:14" ht="12.75">
      <c r="D162" s="2" t="s">
        <v>88</v>
      </c>
      <c r="E162" s="2" t="s">
        <v>89</v>
      </c>
      <c r="M162" s="2" t="s">
        <v>88</v>
      </c>
      <c r="N162" s="2" t="s">
        <v>89</v>
      </c>
    </row>
    <row r="163" spans="1:13" ht="12.75">
      <c r="A163" t="s">
        <v>97</v>
      </c>
      <c r="D163">
        <v>13</v>
      </c>
      <c r="H163" t="s">
        <v>97</v>
      </c>
      <c r="M163">
        <v>13</v>
      </c>
    </row>
    <row r="164" spans="1:13" ht="12.75">
      <c r="A164" t="s">
        <v>98</v>
      </c>
      <c r="D164">
        <v>8</v>
      </c>
      <c r="H164" t="s">
        <v>98</v>
      </c>
      <c r="M164">
        <v>7</v>
      </c>
    </row>
    <row r="165" spans="1:15" ht="12.75">
      <c r="A165" t="s">
        <v>99</v>
      </c>
      <c r="D165">
        <f>D164/D163*100</f>
        <v>61.53846153846154</v>
      </c>
      <c r="E165" s="23"/>
      <c r="H165" t="s">
        <v>99</v>
      </c>
      <c r="M165">
        <f>+M164/M163*100</f>
        <v>53.84615384615385</v>
      </c>
      <c r="O165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 Admin</cp:lastModifiedBy>
  <dcterms:created xsi:type="dcterms:W3CDTF">2004-12-04T00:48:17Z</dcterms:created>
  <dcterms:modified xsi:type="dcterms:W3CDTF">2009-01-25T18:54:59Z</dcterms:modified>
  <cp:category/>
  <cp:version/>
  <cp:contentType/>
  <cp:contentStatus/>
</cp:coreProperties>
</file>