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umulative Stats" sheetId="1" r:id="rId1"/>
    <sheet name="KCC" sheetId="2" r:id="rId2"/>
    <sheet name="@DEN" sheetId="3" r:id="rId3"/>
    <sheet name="TBB" sheetId="4" r:id="rId4"/>
    <sheet name="@SFO" sheetId="5" r:id="rId5"/>
    <sheet name="PHI" sheetId="6" r:id="rId6"/>
    <sheet name="@LAR" sheetId="7" r:id="rId7"/>
    <sheet name="@ATL" sheetId="8" r:id="rId8"/>
    <sheet name="NYG" sheetId="9" r:id="rId9"/>
    <sheet name="@RAMS" sheetId="10" r:id="rId10"/>
    <sheet name="SEA" sheetId="11" r:id="rId11"/>
    <sheet name="@GBP" sheetId="12" r:id="rId12"/>
    <sheet name="@MIN" sheetId="13" r:id="rId13"/>
    <sheet name="RAMS" sheetId="14" r:id="rId14"/>
    <sheet name="@STL" sheetId="15" r:id="rId15"/>
    <sheet name="SFO" sheetId="16" r:id="rId16"/>
    <sheet name="ATL" sheetId="17" r:id="rId17"/>
  </sheets>
  <definedNames/>
  <calcPr fullCalcOnLoad="1"/>
</workbook>
</file>

<file path=xl/sharedStrings.xml><?xml version="1.0" encoding="utf-8"?>
<sst xmlns="http://schemas.openxmlformats.org/spreadsheetml/2006/main" count="4509" uniqueCount="147">
  <si>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</si>
  <si>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</si>
  <si>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</si>
  <si>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</si>
  <si>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</si>
  <si>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</si>
  <si>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</si>
  <si>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</si>
  <si>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</si>
  <si>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</si>
  <si>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</si>
  <si>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</si>
  <si>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</si>
  <si>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</si>
  <si>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</si>
  <si>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</si>
  <si>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</si>
  <si>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</si>
  <si>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</si>
  <si>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</si>
  <si>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</si>
  <si>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</si>
  <si>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</si>
  <si>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</si>
  <si>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</si>
  <si>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</si>
  <si>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</si>
  <si>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</si>
  <si>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</si>
  <si>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</si>
  <si>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</si>
  <si>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</si>
  <si>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</si>
  <si>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</si>
  <si>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</si>
  <si>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</si>
  <si>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</si>
  <si>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</si>
  <si>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</si>
  <si>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</si>
  <si>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</si>
  <si>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</si>
  <si>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</si>
  <si>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</si>
  <si>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</si>
  <si>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</si>
  <si>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</si>
  <si>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</si>
  <si>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</si>
  <si>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</si>
  <si>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</si>
  <si>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</si>
  <si>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</si>
  <si>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</si>
  <si>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</si>
  <si>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</si>
  <si>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</si>
  <si>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</si>
  <si>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</si>
  <si>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</si>
  <si>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</si>
  <si>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</si>
  <si>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</si>
  <si>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</si>
  <si>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</si>
  <si>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</si>
  <si>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</si>
  <si>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</si>
  <si>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</si>
  <si>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</si>
  <si>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</si>
  <si>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</si>
  <si>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</si>
  <si>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</si>
  <si>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</si>
  <si>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</si>
  <si>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</si>
  <si>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</si>
  <si>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</si>
  <si>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</si>
  <si>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</si>
  <si>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</si>
  <si>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</si>
  <si>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</si>
  <si>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</si>
  <si>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</si>
  <si>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</si>
  <si>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</si>
  <si>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</si>
  <si>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</si>
  <si>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Sacks:</t>
  </si>
  <si>
    <t>Possession</t>
  </si>
  <si>
    <t>Possession:</t>
  </si>
  <si>
    <t>3rd Down Attempts</t>
  </si>
  <si>
    <t>3rd Downs Converted</t>
  </si>
  <si>
    <t>% Converted</t>
  </si>
  <si>
    <t>Won</t>
  </si>
  <si>
    <t>Loss</t>
  </si>
  <si>
    <t>Takeaways</t>
  </si>
  <si>
    <t>Giveaways</t>
  </si>
  <si>
    <t>Ratio</t>
  </si>
  <si>
    <t>Lost</t>
  </si>
  <si>
    <t>Third Down Efficiency</t>
  </si>
  <si>
    <t xml:space="preserve">    Rushing</t>
  </si>
  <si>
    <t xml:space="preserve">    Penalty</t>
  </si>
  <si>
    <t xml:space="preserve">    Passing</t>
  </si>
  <si>
    <t>Fair Catch</t>
  </si>
  <si>
    <t>D. Wilson</t>
  </si>
  <si>
    <t>1985 New Orleans Saints</t>
  </si>
  <si>
    <t>W. Wilson</t>
  </si>
  <si>
    <t>Campbell</t>
  </si>
  <si>
    <t>Gajan</t>
  </si>
  <si>
    <t>Anthony</t>
  </si>
  <si>
    <t>Wattelet</t>
  </si>
  <si>
    <t>Hebert</t>
  </si>
  <si>
    <t>Fowler</t>
  </si>
  <si>
    <t>Goodlow</t>
  </si>
  <si>
    <t>Martin</t>
  </si>
  <si>
    <t>Merkins</t>
  </si>
  <si>
    <t>Brenner</t>
  </si>
  <si>
    <t>Tice</t>
  </si>
  <si>
    <t>Groth</t>
  </si>
  <si>
    <t>Hardy</t>
  </si>
  <si>
    <t>Scott</t>
  </si>
  <si>
    <t>Barnwell</t>
  </si>
  <si>
    <t>Haynes</t>
  </si>
  <si>
    <t>Todd</t>
  </si>
  <si>
    <t>Hansen</t>
  </si>
  <si>
    <t>Merkens</t>
  </si>
  <si>
    <t>Tullis</t>
  </si>
  <si>
    <t>Roaches</t>
  </si>
  <si>
    <t>Rackley</t>
  </si>
  <si>
    <t>Andersen</t>
  </si>
  <si>
    <t>Waymer</t>
  </si>
  <si>
    <t>Hoage</t>
  </si>
  <si>
    <t>Poe</t>
  </si>
  <si>
    <t>Del Rio</t>
  </si>
  <si>
    <t>Kovach</t>
  </si>
  <si>
    <t>Redd</t>
  </si>
  <si>
    <t>Winston</t>
  </si>
  <si>
    <t>R. Jackson</t>
  </si>
  <si>
    <t>Clark</t>
  </si>
  <si>
    <t>Geathers</t>
  </si>
  <si>
    <t>Warren</t>
  </si>
  <si>
    <t>Paul</t>
  </si>
  <si>
    <t>Wilks</t>
  </si>
  <si>
    <t>Elliott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</si>
</sst>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"/>
    <numFmt numFmtId="167" formatCode="[$-409]h:mm:ss\ AM/PM"/>
    <numFmt numFmtId="168" formatCode="h:mm;@"/>
    <numFmt numFmtId="169" formatCode="mm: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5"/>
  <sheetViews>
    <sheetView tabSelected="1" zoomScalePageLayoutView="0" workbookViewId="0" topLeftCell="A82">
      <selection activeCell="R94" sqref="R94:W102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spans="1:6" ht="12.75">
      <c r="A2" t="s">
        <v>83</v>
      </c>
      <c r="B2" s="2">
        <v>16</v>
      </c>
      <c r="E2">
        <f>KCC!E2+'@DEN'!E2+TBB!E2+'@SFO'!E2+PHI!E2+'@LAR'!E2+'@ATL'!E2+NYG!E2+'@RAMS'!E2+SEA!E2+'@GBP'!E2+'@MIN'!E2+RAMS!E2+'@STL'!E2+SFO!E2+ATL!E2</f>
        <v>4</v>
      </c>
      <c r="F2">
        <f>KCC!F2+'@DEN'!F2+TBB!F2+'@SFO'!F2+PHI!F2+'@LAR'!F2+'@ATL'!F2+NYG!F2+'@RAMS'!F2+SEA!F2+'@GBP'!F2+'@MIN'!F2+RAMS!F2+'@STL'!F2+SFO!F2+ATL!F2</f>
        <v>12</v>
      </c>
    </row>
    <row r="3" spans="1:8" ht="12.75">
      <c r="A3" s="2" t="s">
        <v>0</v>
      </c>
      <c r="H3" s="2" t="s">
        <v>44</v>
      </c>
    </row>
    <row r="4" spans="5:15" ht="12.75">
      <c r="E4" s="3" t="s">
        <v>84</v>
      </c>
      <c r="F4" s="3" t="s">
        <v>85</v>
      </c>
      <c r="N4" s="3" t="s">
        <v>84</v>
      </c>
      <c r="O4" s="3" t="s">
        <v>85</v>
      </c>
    </row>
    <row r="6" spans="1:15" ht="12.75">
      <c r="A6" s="1" t="s">
        <v>29</v>
      </c>
      <c r="D6" s="2">
        <f>D7+D8+D9</f>
        <v>262</v>
      </c>
      <c r="E6" s="8">
        <f>+D6/$B$2</f>
        <v>16.375</v>
      </c>
      <c r="F6" s="8">
        <f>250/16</f>
        <v>15.625</v>
      </c>
      <c r="H6" s="1" t="s">
        <v>29</v>
      </c>
      <c r="M6" s="2">
        <f>M7+M8+M9</f>
        <v>360</v>
      </c>
      <c r="N6" s="8">
        <f>+M6/$B$2</f>
        <v>22.5</v>
      </c>
      <c r="O6" s="8">
        <f>335/16</f>
        <v>20.9375</v>
      </c>
    </row>
    <row r="7" spans="1:15" ht="12.75">
      <c r="A7" s="1" t="s">
        <v>103</v>
      </c>
      <c r="D7" s="2">
        <f>+KCC!D7+'@DEN'!D7+TBB!D7+'@SFO'!D7+PHI!D7+'@LAR'!D7+'@ATL'!D7+NYG!D7+'@RAMS'!D7+SEA!D7+'@GBP'!D7+'@MIN'!D7+RAMS!D7+'@STL'!D7+SFO!D7+ATL!D7</f>
        <v>107</v>
      </c>
      <c r="E7" s="8">
        <f>+D7/$B$2</f>
        <v>6.6875</v>
      </c>
      <c r="F7" s="8">
        <f>83/16</f>
        <v>5.1875</v>
      </c>
      <c r="H7" s="1" t="s">
        <v>103</v>
      </c>
      <c r="M7" s="2">
        <f>+KCC!M7+'@DEN'!M7+TBB!M7+'@SFO'!M7+PHI!M7+'@LAR'!M7+'@ATL'!M7+NYG!M7+'@RAMS'!M7+SEA!M7+'@GBP'!M7+'@MIN'!M7+RAMS!M7+'@STL'!M7+SFO!M7+ATL!M7</f>
        <v>157</v>
      </c>
      <c r="N7" s="8">
        <f>+M7/$B$2</f>
        <v>9.8125</v>
      </c>
      <c r="O7" s="21">
        <f>125/16</f>
        <v>7.8125</v>
      </c>
    </row>
    <row r="8" spans="1:15" ht="12.75">
      <c r="A8" s="1" t="s">
        <v>105</v>
      </c>
      <c r="D8" s="2">
        <f>+KCC!D8+'@DEN'!D8+TBB!D8+'@SFO'!D8+PHI!D8+'@LAR'!D8+'@ATL'!D8+NYG!D8+'@RAMS'!D8+SEA!D8+'@GBP'!D8+'@MIN'!D8+RAMS!D8+'@STL'!D8+SFO!D8+ATL!D8</f>
        <v>129</v>
      </c>
      <c r="E8" s="8">
        <f>+D8/$B$2</f>
        <v>8.0625</v>
      </c>
      <c r="F8" s="8">
        <f>148/16</f>
        <v>9.25</v>
      </c>
      <c r="H8" s="1" t="s">
        <v>105</v>
      </c>
      <c r="M8" s="2">
        <f>+KCC!M8+'@DEN'!M8+TBB!M8+'@SFO'!M8+PHI!M8+'@LAR'!M8+'@ATL'!M8+NYG!M8+'@RAMS'!M8+SEA!M8+'@GBP'!M8+'@MIN'!M8+RAMS!M8+'@STL'!M8+SFO!M8+ATL!M8</f>
        <v>187</v>
      </c>
      <c r="N8" s="8">
        <f>+M8/$B$2</f>
        <v>11.6875</v>
      </c>
      <c r="O8" s="21">
        <f>188/16</f>
        <v>11.75</v>
      </c>
    </row>
    <row r="9" spans="1:15" ht="12.75">
      <c r="A9" s="1" t="s">
        <v>104</v>
      </c>
      <c r="D9" s="2">
        <f>+KCC!D9+'@DEN'!D9+TBB!D9+'@SFO'!D9+PHI!D9+'@LAR'!D9+'@ATL'!D9+NYG!D9+'@RAMS'!D9+SEA!D9+'@GBP'!D9+'@MIN'!D9+RAMS!D9+'@STL'!D9+SFO!D9+ATL!D9</f>
        <v>26</v>
      </c>
      <c r="E9" s="8">
        <f>+D9/$B$2</f>
        <v>1.625</v>
      </c>
      <c r="F9" s="8">
        <f>19/16</f>
        <v>1.1875</v>
      </c>
      <c r="H9" s="1" t="s">
        <v>104</v>
      </c>
      <c r="M9" s="2">
        <f>+KCC!M9+'@DEN'!M9+TBB!M9+'@SFO'!M9+PHI!M9+'@LAR'!M9+'@ATL'!M9+NYG!M9+'@RAMS'!M9+SEA!M9+'@GBP'!M9+'@MIN'!M9+RAMS!M9+'@STL'!M9+SFO!M9+ATL!M9</f>
        <v>16</v>
      </c>
      <c r="N9" s="8">
        <f>+M9/$B$2</f>
        <v>1</v>
      </c>
      <c r="O9" s="21">
        <f>22/16</f>
        <v>1.375</v>
      </c>
    </row>
    <row r="10" spans="5:15" ht="12.75">
      <c r="E10" s="8"/>
      <c r="F10" s="8"/>
      <c r="N10" s="8"/>
      <c r="O10" s="21"/>
    </row>
    <row r="11" spans="1:23" ht="12.75">
      <c r="A11" t="s">
        <v>1</v>
      </c>
      <c r="D11" s="2">
        <f>+KCC!D11+'@DEN'!D11+TBB!D11+'@SFO'!D11+PHI!D11+'@LAR'!D11+'@ATL'!D11+NYG!D11+'@RAMS'!D11+SEA!D11+'@GBP'!D11+'@MIN'!D11+RAMS!D11+'@STL'!D11+SFO!D11+ATL!D11</f>
        <v>445</v>
      </c>
      <c r="E11" s="8">
        <f>+D11/$B$2</f>
        <v>27.8125</v>
      </c>
      <c r="F11" s="8">
        <f>431/16</f>
        <v>26.9375</v>
      </c>
      <c r="H11" t="s">
        <v>1</v>
      </c>
      <c r="M11" s="2">
        <f>+KCC!M11+'@DEN'!M11+TBB!M11+'@SFO'!M11+PHI!M11+'@LAR'!M11+'@ATL'!M11+NYG!M11+'@RAMS'!M11+SEA!M11+'@GBP'!M11+'@MIN'!M11+RAMS!M11+'@STL'!M11+SFO!M11+ATL!M11</f>
        <v>530</v>
      </c>
      <c r="N11" s="8">
        <f>+M11/$B$2</f>
        <v>33.125</v>
      </c>
      <c r="O11" s="21">
        <f>508/16</f>
        <v>31.75</v>
      </c>
      <c r="V11">
        <f>+D11</f>
        <v>445</v>
      </c>
      <c r="W11">
        <f>+M11</f>
        <v>530</v>
      </c>
    </row>
    <row r="12" spans="1:23" ht="12.75">
      <c r="A12" t="s">
        <v>2</v>
      </c>
      <c r="D12" s="2">
        <f>+KCC!D12+'@DEN'!D12+TBB!D12+'@SFO'!D12+PHI!D12+'@LAR'!D12+'@ATL'!D12+NYG!D12+'@RAMS'!D12+SEA!D12+'@GBP'!D12+'@MIN'!D12+RAMS!D12+'@STL'!D12+SFO!D12+ATL!D12</f>
        <v>1811</v>
      </c>
      <c r="E12" s="8">
        <f>+D12/$B$2</f>
        <v>113.1875</v>
      </c>
      <c r="F12" s="8">
        <f>1683/16</f>
        <v>105.1875</v>
      </c>
      <c r="H12" t="s">
        <v>2</v>
      </c>
      <c r="M12" s="2">
        <f>+KCC!M12+'@DEN'!M12+TBB!M12+'@SFO'!M12+PHI!M12+'@LAR'!M12+'@ATL'!M12+NYG!M12+'@RAMS'!M12+SEA!M12+'@GBP'!M12+'@MIN'!M12+RAMS!M12+'@STL'!M12+SFO!M12+ATL!M12</f>
        <v>2223</v>
      </c>
      <c r="N12" s="8">
        <f>+M12/$B$2</f>
        <v>138.9375</v>
      </c>
      <c r="O12" s="21">
        <f>2162/16</f>
        <v>135.125</v>
      </c>
      <c r="U12" s="13"/>
      <c r="V12">
        <f>+D16</f>
        <v>245</v>
      </c>
      <c r="W12">
        <f>+M16</f>
        <v>362</v>
      </c>
    </row>
    <row r="13" spans="1:23" ht="12.75">
      <c r="A13" s="1" t="s">
        <v>3</v>
      </c>
      <c r="D13" s="8">
        <f>+D12/D11</f>
        <v>4.069662921348314</v>
      </c>
      <c r="E13" s="8"/>
      <c r="F13" s="8">
        <f>F12/F11</f>
        <v>3.9048723897911835</v>
      </c>
      <c r="H13" s="1" t="s">
        <v>3</v>
      </c>
      <c r="M13" s="8">
        <f>+M12/M11</f>
        <v>4.194339622641509</v>
      </c>
      <c r="N13" s="8"/>
      <c r="O13" s="21">
        <f>+O12/O11</f>
        <v>4.255905511811024</v>
      </c>
      <c r="V13">
        <f>+(D15-D16)/2</f>
        <v>133</v>
      </c>
      <c r="W13">
        <f>+(M15-M16)/2</f>
        <v>83.5</v>
      </c>
    </row>
    <row r="14" spans="5:23" ht="12.75">
      <c r="E14" s="8"/>
      <c r="F14" s="8"/>
      <c r="N14" s="8"/>
      <c r="O14" s="21"/>
      <c r="V14">
        <f>+D38/2</f>
        <v>44.5</v>
      </c>
      <c r="W14">
        <f>+M38/2</f>
        <v>37.5</v>
      </c>
    </row>
    <row r="15" spans="1:23" ht="12.75">
      <c r="A15" t="s">
        <v>4</v>
      </c>
      <c r="D15" s="2">
        <f>+KCC!D15+'@DEN'!D15+TBB!D15+'@SFO'!D15+PHI!D15+'@LAR'!D15+'@ATL'!D15+NYG!D15+'@RAMS'!D15+SEA!D15+'@GBP'!D15+'@MIN'!D15+RAMS!D15+'@STL'!D15+SFO!D15+ATL!D15</f>
        <v>511</v>
      </c>
      <c r="E15" s="8">
        <f>+D15/$B$2</f>
        <v>31.9375</v>
      </c>
      <c r="F15" s="8">
        <f>508/16</f>
        <v>31.75</v>
      </c>
      <c r="H15" t="s">
        <v>4</v>
      </c>
      <c r="M15" s="2">
        <f>+KCC!M15+'@DEN'!M15+TBB!M15+'@SFO'!M15+PHI!M15+'@LAR'!M15+'@ATL'!M15+NYG!M15+'@RAMS'!M15+SEA!M15+'@GBP'!M15+'@MIN'!M15+RAMS!M15+'@STL'!M15+SFO!M15+ATL!M15</f>
        <v>529</v>
      </c>
      <c r="N15" s="8">
        <f>+M15/$B$2</f>
        <v>33.0625</v>
      </c>
      <c r="O15" s="21">
        <f>529/16</f>
        <v>33.0625</v>
      </c>
      <c r="V15">
        <f>+D42/2</f>
        <v>15</v>
      </c>
      <c r="W15">
        <f>+M42/2</f>
        <v>30</v>
      </c>
    </row>
    <row r="16" spans="1:23" ht="12.75">
      <c r="A16" t="s">
        <v>5</v>
      </c>
      <c r="D16" s="2">
        <f>+KCC!D16+'@DEN'!D16+TBB!D16+'@SFO'!D16+PHI!D16+'@LAR'!D16+'@ATL'!D16+NYG!D16+'@RAMS'!D16+SEA!D16+'@GBP'!D16+'@MIN'!D16+RAMS!D16+'@STL'!D16+SFO!D16+ATL!D16</f>
        <v>245</v>
      </c>
      <c r="E16" s="8">
        <f>+D16/$B$2</f>
        <v>15.3125</v>
      </c>
      <c r="F16" s="8">
        <f>260/16</f>
        <v>16.25</v>
      </c>
      <c r="H16" t="s">
        <v>5</v>
      </c>
      <c r="M16" s="2">
        <f>+KCC!M16+'@DEN'!M16+TBB!M16+'@SFO'!M16+PHI!M16+'@LAR'!M16+'@ATL'!M16+NYG!M16+'@RAMS'!M16+SEA!M16+'@GBP'!M16+'@MIN'!M16+RAMS!M16+'@STL'!M16+SFO!M15+ATL!M15</f>
        <v>362</v>
      </c>
      <c r="N16" s="8">
        <f>+M16/$B$2</f>
        <v>22.625</v>
      </c>
      <c r="O16" s="21">
        <f>306/16</f>
        <v>19.125</v>
      </c>
      <c r="V16">
        <f>+D48/2</f>
        <v>33.5</v>
      </c>
      <c r="W16">
        <f>+M48/2</f>
        <v>15.5</v>
      </c>
    </row>
    <row r="17" spans="1:15" ht="12.75">
      <c r="A17" t="s">
        <v>6</v>
      </c>
      <c r="D17" s="8">
        <f>+D16/D15*100</f>
        <v>47.94520547945205</v>
      </c>
      <c r="E17" s="8">
        <f>+E16/E15*100</f>
        <v>47.94520547945205</v>
      </c>
      <c r="F17" s="8">
        <f>+F16/F15*100</f>
        <v>51.181102362204726</v>
      </c>
      <c r="H17" t="s">
        <v>6</v>
      </c>
      <c r="M17" s="8">
        <f>+M16/M15*100</f>
        <v>68.43100189035917</v>
      </c>
      <c r="N17" s="8">
        <f>+N16/N15*100</f>
        <v>68.43100189035917</v>
      </c>
      <c r="O17" s="21">
        <f>+O16/O15*100</f>
        <v>57.84499054820416</v>
      </c>
    </row>
    <row r="18" spans="1:24" ht="12.75">
      <c r="A18" t="s">
        <v>7</v>
      </c>
      <c r="D18" s="2">
        <f>+KCC!D18+'@DEN'!D18+TBB!D18+'@SFO'!D18+PHI!D18+'@LAR'!D18+'@ATL'!D18+NYG!D18+'@RAMS'!D18+SEA!D18+'@GBP'!D18+'@MIN'!D18+RAMS!D18+'@STL'!D18+SFO!D18+ATL!D18</f>
        <v>2937</v>
      </c>
      <c r="E18" s="8">
        <f>+D18/$B$2</f>
        <v>183.5625</v>
      </c>
      <c r="F18" s="8">
        <f>3257/16</f>
        <v>203.5625</v>
      </c>
      <c r="H18" t="s">
        <v>7</v>
      </c>
      <c r="M18" s="2">
        <f>+KCC!M18+'@DEN'!M18+TBB!M18+'@SFO'!M18+PHI!M18+'@LAR'!M18+'@ATL'!M18+NYG!M18+'@RAMS'!M18+SEA!M18+'@GBP'!M18+'@MIN'!M18+RAMS!M18+'@STL'!M18+SFO!M18+ATL!M18</f>
        <v>4087</v>
      </c>
      <c r="N18" s="8">
        <f>+M18/$B$2</f>
        <v>255.4375</v>
      </c>
      <c r="O18" s="21">
        <f>3975/16</f>
        <v>248.4375</v>
      </c>
      <c r="V18">
        <f>SUM(V11:V16)</f>
        <v>916</v>
      </c>
      <c r="W18">
        <f>SUM(W11:W16)</f>
        <v>1058.5</v>
      </c>
      <c r="X18">
        <f>+W18+V18</f>
        <v>1974.5</v>
      </c>
    </row>
    <row r="19" spans="1:23" ht="12.75">
      <c r="A19" t="s">
        <v>8</v>
      </c>
      <c r="D19" s="2">
        <f>+KCC!D19+'@DEN'!D19+TBB!D19+'@SFO'!D19+PHI!D19+'@LAR'!D19+'@ATL'!D19+NYG!D19+'@RAMS'!D19+SEA!D19+'@GBP'!D19+'@MIN'!D19+RAMS!D19+'@STL'!D19+SFO!D19+ATL!D19</f>
        <v>54</v>
      </c>
      <c r="E19" s="8">
        <f>+D19/$B$2</f>
        <v>3.375</v>
      </c>
      <c r="F19" s="8">
        <f>58/16</f>
        <v>3.625</v>
      </c>
      <c r="H19" t="s">
        <v>8</v>
      </c>
      <c r="M19" s="2">
        <f>+KCC!M19+'@DEN'!M19+TBB!M19+'@SFO'!M19+PHI!M19+'@LAR'!M19+'@ATL'!M19+NYG!M19+'@RAMS'!M19+SEA!M19+'@GBP'!M19+'@MIN'!M19+RAMS!M19+'@STL'!M19+SFO!M19+ATL!M19</f>
        <v>33</v>
      </c>
      <c r="N19" s="8">
        <f>+M19/$B$2</f>
        <v>2.0625</v>
      </c>
      <c r="O19" s="21">
        <f>46/16</f>
        <v>2.875</v>
      </c>
      <c r="V19">
        <f>+V18/X18</f>
        <v>0.46391491516839706</v>
      </c>
      <c r="W19">
        <f>+W18/X18</f>
        <v>0.5360850848316029</v>
      </c>
    </row>
    <row r="20" spans="1:23" ht="12.75">
      <c r="A20" t="s">
        <v>9</v>
      </c>
      <c r="D20" s="2">
        <f>+KCC!D20+'@DEN'!D20+TBB!D20+'@SFO'!D20+PHI!D20+'@LAR'!D20+'@ATL'!D20+NYG!D20+'@RAMS'!D20+SEA!D20+'@GBP'!D20+'@MIN'!D20+RAMS!D20+'@STL'!D20+SFO!D20+ATL!D20</f>
        <v>460</v>
      </c>
      <c r="E20" s="8"/>
      <c r="F20" s="8">
        <f>461/16</f>
        <v>28.8125</v>
      </c>
      <c r="H20" t="s">
        <v>9</v>
      </c>
      <c r="M20" s="2">
        <f>+KCC!M20+'@DEN'!M20+TBB!M20+'@SFO'!M20+PHI!M20+'@LAR'!M20+'@ATL'!M20+NYG!M20+'@RAMS'!M20+SEA!M20+'@GBP'!M20+'@MIN'!M20+RAMS!M20+'@STL'!M20+SFO!M20+ATL!M20</f>
        <v>255</v>
      </c>
      <c r="N20" s="8"/>
      <c r="O20" s="21">
        <f>322/16</f>
        <v>20.125</v>
      </c>
      <c r="V20">
        <f>+V19*60</f>
        <v>27.834894910103824</v>
      </c>
      <c r="W20">
        <f>+W19*60</f>
        <v>32.16510508989617</v>
      </c>
    </row>
    <row r="21" spans="1:23" ht="12.75">
      <c r="A21" t="s">
        <v>10</v>
      </c>
      <c r="D21">
        <f>+D18-D20</f>
        <v>2477</v>
      </c>
      <c r="E21" s="8">
        <f>+D21/B2</f>
        <v>154.8125</v>
      </c>
      <c r="F21" s="8">
        <f>F18-F20</f>
        <v>174.75</v>
      </c>
      <c r="H21" t="s">
        <v>10</v>
      </c>
      <c r="M21">
        <f>+M18-M20</f>
        <v>3832</v>
      </c>
      <c r="N21" s="8">
        <f>+M21/B2</f>
        <v>239.5</v>
      </c>
      <c r="O21" s="21">
        <f>O18-O20</f>
        <v>228.3125</v>
      </c>
      <c r="V21">
        <f>+V20-INT(V20)</f>
        <v>0.8348949101038237</v>
      </c>
      <c r="W21">
        <f>+W20-INT(W20)</f>
        <v>0.16510508989617279</v>
      </c>
    </row>
    <row r="22" spans="1:23" ht="12.75">
      <c r="A22" t="s">
        <v>11</v>
      </c>
      <c r="D22" s="7">
        <f>+D21/(D15+D19)</f>
        <v>4.384070796460177</v>
      </c>
      <c r="E22" s="8"/>
      <c r="F22" s="8">
        <f>F21/(F15+F19)</f>
        <v>4.939929328621908</v>
      </c>
      <c r="H22" t="s">
        <v>11</v>
      </c>
      <c r="M22" s="7">
        <f>+M21/(M15+M19)</f>
        <v>6.818505338078292</v>
      </c>
      <c r="N22" s="8"/>
      <c r="O22" s="21">
        <f>O21/(O15+O19)</f>
        <v>6.35304347826087</v>
      </c>
      <c r="V22">
        <f>+V21*60</f>
        <v>50.09369460622942</v>
      </c>
      <c r="W22">
        <f>+W21*60</f>
        <v>9.906305393770367</v>
      </c>
    </row>
    <row r="23" spans="1:23" ht="12.75">
      <c r="A23" t="s">
        <v>12</v>
      </c>
      <c r="D23" s="7">
        <f>+D18/D16</f>
        <v>11.987755102040817</v>
      </c>
      <c r="E23" s="8"/>
      <c r="F23" s="8">
        <f>F18/F16</f>
        <v>12.526923076923078</v>
      </c>
      <c r="H23" t="s">
        <v>12</v>
      </c>
      <c r="M23" s="7">
        <f>+M18/M16</f>
        <v>11.290055248618785</v>
      </c>
      <c r="N23" s="8"/>
      <c r="O23" s="21">
        <f>O18/O16</f>
        <v>12.990196078431373</v>
      </c>
      <c r="U23">
        <v>0</v>
      </c>
      <c r="V23" s="11">
        <f>ROUND(V22,0)</f>
        <v>50</v>
      </c>
      <c r="W23">
        <f>ROUND(W22,0)</f>
        <v>10</v>
      </c>
    </row>
    <row r="24" spans="5:23" ht="12.75">
      <c r="E24" s="8"/>
      <c r="F24" s="8"/>
      <c r="N24" s="8"/>
      <c r="O24" s="21"/>
      <c r="V24">
        <f>INT(V20)</f>
        <v>27</v>
      </c>
      <c r="W24">
        <f>INT(W20)</f>
        <v>32</v>
      </c>
    </row>
    <row r="25" spans="1:23" ht="12.75">
      <c r="A25" t="s">
        <v>13</v>
      </c>
      <c r="E25" s="8"/>
      <c r="F25" s="8"/>
      <c r="H25" t="s">
        <v>13</v>
      </c>
      <c r="N25" s="8"/>
      <c r="O25" s="21"/>
      <c r="V25" t="s">
        <v>87</v>
      </c>
      <c r="W25" t="s">
        <v>87</v>
      </c>
    </row>
    <row r="26" spans="1:23" ht="12.75">
      <c r="A26" t="s">
        <v>14</v>
      </c>
      <c r="D26">
        <f>+D21+D12</f>
        <v>4288</v>
      </c>
      <c r="E26" s="8">
        <f>+D26/B2</f>
        <v>268</v>
      </c>
      <c r="F26" s="8">
        <f>F12+F21</f>
        <v>279.9375</v>
      </c>
      <c r="H26" t="s">
        <v>14</v>
      </c>
      <c r="M26">
        <f>+M21+M12</f>
        <v>6055</v>
      </c>
      <c r="N26" s="8">
        <f>+M26/B2</f>
        <v>378.4375</v>
      </c>
      <c r="O26" s="21">
        <f>O12+O21</f>
        <v>363.4375</v>
      </c>
      <c r="V26" s="14" t="str">
        <f>+V24&amp;V25&amp;V23</f>
        <v>27:50</v>
      </c>
      <c r="W26" s="9" t="str">
        <f>+W24&amp;W25&amp;W23</f>
        <v>32:10</v>
      </c>
    </row>
    <row r="27" spans="1:23" ht="12.75">
      <c r="A27" t="s">
        <v>15</v>
      </c>
      <c r="D27" s="7">
        <f>+D12/D26*100</f>
        <v>42.23414179104478</v>
      </c>
      <c r="E27" s="8"/>
      <c r="F27" s="8">
        <f>+F12/F26*100</f>
        <v>37.57535164099129</v>
      </c>
      <c r="H27" t="s">
        <v>15</v>
      </c>
      <c r="M27" s="7">
        <f>+M12/M26*100</f>
        <v>36.71345995045417</v>
      </c>
      <c r="N27" s="8"/>
      <c r="O27" s="21">
        <f>+O12/O26*100</f>
        <v>37.179707652622525</v>
      </c>
      <c r="V27" s="9" t="str">
        <f>IF(V23&lt;10,+V24&amp;V25&amp;$U$23&amp;V23,+V24&amp;V25&amp;V23)</f>
        <v>27:50</v>
      </c>
      <c r="W27" s="9" t="str">
        <f>IF(W23&lt;10,+W24&amp;W25&amp;$U$23&amp;W23,+W24&amp;W25&amp;W23)</f>
        <v>32:10</v>
      </c>
    </row>
    <row r="28" spans="1:15" ht="12.75">
      <c r="A28" s="1" t="s">
        <v>86</v>
      </c>
      <c r="D28" s="7">
        <f>+D21/D26*100</f>
        <v>57.76585820895522</v>
      </c>
      <c r="E28" s="8"/>
      <c r="F28" s="8">
        <f>+F21/F26*100</f>
        <v>62.42464835900871</v>
      </c>
      <c r="H28" s="1" t="s">
        <v>86</v>
      </c>
      <c r="M28" s="7">
        <f>+M21/M26*100</f>
        <v>63.28654004954583</v>
      </c>
      <c r="N28" s="8"/>
      <c r="O28" s="21">
        <f>O21/O26*100</f>
        <v>62.820292347377475</v>
      </c>
    </row>
    <row r="29" spans="5:15" ht="12.75">
      <c r="E29" s="8"/>
      <c r="F29" s="8"/>
      <c r="N29" s="8"/>
      <c r="O29" s="21"/>
    </row>
    <row r="30" spans="1:15" ht="12.75">
      <c r="A30" t="s">
        <v>16</v>
      </c>
      <c r="D30">
        <f>+D11+D15+D19</f>
        <v>1010</v>
      </c>
      <c r="E30" s="8">
        <f>+D30/$B$2</f>
        <v>63.125</v>
      </c>
      <c r="F30" s="8">
        <f>F11+F15+F19</f>
        <v>62.3125</v>
      </c>
      <c r="H30" t="s">
        <v>16</v>
      </c>
      <c r="M30">
        <f>+M11+M15+M19</f>
        <v>1092</v>
      </c>
      <c r="N30" s="8">
        <f>+M30/$B$2</f>
        <v>68.25</v>
      </c>
      <c r="O30" s="21">
        <f>O11+O15+O19</f>
        <v>67.6875</v>
      </c>
    </row>
    <row r="31" spans="1:15" ht="12.75">
      <c r="A31" t="s">
        <v>17</v>
      </c>
      <c r="D31" s="8">
        <f>+D26/D30</f>
        <v>4.245544554455446</v>
      </c>
      <c r="E31" s="8"/>
      <c r="F31" s="8">
        <f>+F26/F30</f>
        <v>4.492477432296891</v>
      </c>
      <c r="G31" s="7"/>
      <c r="H31" s="7" t="s">
        <v>17</v>
      </c>
      <c r="I31" s="7"/>
      <c r="J31" s="7"/>
      <c r="K31" s="7"/>
      <c r="L31" s="7"/>
      <c r="M31" s="8">
        <f>+M26/M30</f>
        <v>5.544871794871795</v>
      </c>
      <c r="N31" s="8"/>
      <c r="O31" s="21">
        <f>+O26/O30</f>
        <v>5.369344413665743</v>
      </c>
    </row>
    <row r="32" spans="5:15" ht="12.75">
      <c r="E32" s="8"/>
      <c r="F32" s="8"/>
      <c r="N32" s="8"/>
      <c r="O32" s="21"/>
    </row>
    <row r="33" spans="1:15" ht="12.75">
      <c r="A33" t="s">
        <v>18</v>
      </c>
      <c r="E33" s="8"/>
      <c r="F33" s="8"/>
      <c r="H33" t="s">
        <v>18</v>
      </c>
      <c r="N33" s="8"/>
      <c r="O33" s="21"/>
    </row>
    <row r="34" spans="1:15" ht="12.75">
      <c r="A34" t="s">
        <v>19</v>
      </c>
      <c r="D34" s="2">
        <f>+KCC!D34+'@DEN'!D34+TBB!D34+'@SFO'!D34+PHI!D34+'@LAR'!D34+'@ATL'!D34+NYG!D34+'@RAMS'!D34+SEA!D34+'@GBP'!D34+'@MIN'!D34+RAMS!D34+'@STL'!D34+SFO!D34+ATL!D34</f>
        <v>27</v>
      </c>
      <c r="E34" s="8">
        <f>+D34/$B$2</f>
        <v>1.6875</v>
      </c>
      <c r="F34" s="8">
        <f>23/16</f>
        <v>1.4375</v>
      </c>
      <c r="H34" t="s">
        <v>19</v>
      </c>
      <c r="M34" s="2">
        <f>+KCC!M34+'@DEN'!M34+TBB!M34+'@SFO'!M34+PHI!M34+'@LAR'!M34+'@ATL'!M34+NYG!M34+'@RAMS'!M34+SEA!M34+'@GBP'!M34+'@MIN'!M34+RAMS!M34+'@STL'!M34+SFO!M34+ATL!M34</f>
        <v>17</v>
      </c>
      <c r="N34" s="8">
        <f>+M34/$B$2</f>
        <v>1.0625</v>
      </c>
      <c r="O34" s="21">
        <f>21/16</f>
        <v>1.3125</v>
      </c>
    </row>
    <row r="35" spans="1:15" ht="12.75">
      <c r="A35" t="s">
        <v>20</v>
      </c>
      <c r="D35" s="2">
        <f>+KCC!D35+'@DEN'!D35+TBB!D35+'@SFO'!D35+PHI!D35+'@LAR'!D35+'@ATL'!D35+NYG!D35+'@RAMS'!D35+SEA!D35+'@GBP'!D35+'@MIN'!D35+RAMS!D35+'@STL'!D35+SFO!D35+ATL!D35</f>
        <v>308</v>
      </c>
      <c r="E35" s="8"/>
      <c r="F35" s="8">
        <f>251/16</f>
        <v>15.6875</v>
      </c>
      <c r="H35" t="s">
        <v>20</v>
      </c>
      <c r="M35" s="2">
        <f>+KCC!M35+'@DEN'!M35+TBB!M35+'@SFO'!M35+PHI!M35+'@LAR'!M35+'@ATL'!M35+NYG!M35+'@RAMS'!M35+SEA!M35+'@GBP'!M35+'@MIN'!M35+RAMS!M35+'@STL'!M35+SFO!M35+ATL!M35</f>
        <v>336</v>
      </c>
      <c r="N35" s="8"/>
      <c r="O35" s="21">
        <f>312/16</f>
        <v>19.5</v>
      </c>
    </row>
    <row r="36" spans="1:15" ht="12.75">
      <c r="A36" t="s">
        <v>21</v>
      </c>
      <c r="D36" s="2">
        <f>+KCC!D36+'@DEN'!D36+TBB!D36+'@SFO'!D36+PHI!D36+'@LAR'!D36+'@ATL'!D36+NYG!D36+'@RAMS'!D36+SEA!D36+'@GBP'!D36+'@MIN'!D36+RAMS!D36+'@STL'!D36+SFO!D36+ATL!D36</f>
        <v>1</v>
      </c>
      <c r="E36" s="8"/>
      <c r="F36" s="8">
        <f>1/16</f>
        <v>0.0625</v>
      </c>
      <c r="H36" t="s">
        <v>21</v>
      </c>
      <c r="M36" s="2">
        <f>+KCC!M36+'@DEN'!M36+TBB!M36+'@SFO'!M36+PHI!M36+'@LAR'!M36+'@ATL'!M36+NYG!M36+'@RAMS'!M36+SEA!M36+'@GBP'!M36+'@MIN'!M36+RAMS!M36+'@STL'!M36+SFO!M36+ATL!M36</f>
        <v>4</v>
      </c>
      <c r="N36" s="8"/>
      <c r="O36" s="21">
        <f>2/16</f>
        <v>0.125</v>
      </c>
    </row>
    <row r="37" spans="5:15" ht="12.75">
      <c r="E37" s="8"/>
      <c r="F37" s="8"/>
      <c r="N37" s="8"/>
      <c r="O37" s="21"/>
    </row>
    <row r="38" spans="1:15" ht="12.75">
      <c r="A38" t="s">
        <v>22</v>
      </c>
      <c r="D38" s="2">
        <f>+KCC!D38+'@DEN'!D38+TBB!D38+'@SFO'!D38+PHI!D38+'@LAR'!D38+'@ATL'!D38+NYG!D38+'@RAMS'!D38+SEA!D38+'@GBP'!D38+'@MIN'!D38+RAMS!D38+'@STL'!D38+SFO!D38+ATL!D38</f>
        <v>89</v>
      </c>
      <c r="E38" s="8">
        <f>+D38/$B$2</f>
        <v>5.5625</v>
      </c>
      <c r="F38" s="21">
        <f>89/16</f>
        <v>5.5625</v>
      </c>
      <c r="H38" t="s">
        <v>22</v>
      </c>
      <c r="M38" s="2">
        <f>+KCC!M38+'@DEN'!M38+TBB!M38+'@SFO'!M38+PHI!M38+'@LAR'!M38+'@ATL'!M38+NYG!M38+'@RAMS'!M38+SEA!M38+'@GBP'!M38+'@MIN'!M38+RAMS!M38+'@STL'!M38+SFO!M38+ATL!M38</f>
        <v>75</v>
      </c>
      <c r="N38" s="8">
        <f>+M38/$B$2</f>
        <v>4.6875</v>
      </c>
      <c r="O38" s="21">
        <f>81/16</f>
        <v>5.0625</v>
      </c>
    </row>
    <row r="39" spans="1:15" ht="12.75">
      <c r="A39" t="s">
        <v>23</v>
      </c>
      <c r="D39" s="2">
        <f>+KCC!D39+'@DEN'!D39+TBB!D39+'@SFO'!D39+PHI!D39+'@LAR'!D39+'@ATL'!D39+NYG!D39+'@RAMS'!D39+SEA!D39+'@GBP'!D39+'@MIN'!D39+RAMS!D39+'@STL'!D39+SFO!D39+ATL!D39</f>
        <v>3826</v>
      </c>
      <c r="E39" s="8">
        <f>+D39/$B$2</f>
        <v>239.125</v>
      </c>
      <c r="F39" s="21">
        <f>3763/16</f>
        <v>235.1875</v>
      </c>
      <c r="H39" t="s">
        <v>23</v>
      </c>
      <c r="M39" s="2">
        <f>+KCC!M39+'@DEN'!M39+TBB!M39+'@SFO'!M39+PHI!M39+'@LAR'!M39+'@ATL'!M39+NYG!M39+'@RAMS'!M39+SEA!M39+'@GBP'!M39+'@MIN'!M39+RAMS!M39+'@STL'!M39+SFO!M39+ATL!M39</f>
        <v>3156</v>
      </c>
      <c r="N39" s="8">
        <f>+M39/$B$2</f>
        <v>197.25</v>
      </c>
      <c r="O39" s="21">
        <f>3417/16</f>
        <v>213.5625</v>
      </c>
    </row>
    <row r="40" spans="1:15" ht="12.75">
      <c r="A40" t="s">
        <v>24</v>
      </c>
      <c r="D40" s="8">
        <f>+D39/D38</f>
        <v>42.98876404494382</v>
      </c>
      <c r="E40" s="8"/>
      <c r="F40" s="21">
        <f>F39/F38</f>
        <v>42.28089887640449</v>
      </c>
      <c r="G40" s="7"/>
      <c r="H40" s="7" t="s">
        <v>24</v>
      </c>
      <c r="I40" s="7"/>
      <c r="J40" s="7"/>
      <c r="K40" s="7"/>
      <c r="L40" s="7"/>
      <c r="M40" s="8">
        <f>+M39/M38</f>
        <v>42.08</v>
      </c>
      <c r="N40" s="8"/>
      <c r="O40" s="21">
        <f>O39/O38</f>
        <v>42.18518518518518</v>
      </c>
    </row>
    <row r="41" spans="5:15" ht="12.75">
      <c r="E41" s="8"/>
      <c r="F41" s="21"/>
      <c r="N41" s="8"/>
      <c r="O41" s="21"/>
    </row>
    <row r="42" spans="1:15" ht="12.75">
      <c r="A42" t="s">
        <v>25</v>
      </c>
      <c r="D42" s="2">
        <f>+KCC!D42+'@DEN'!D42+TBB!D42+'@SFO'!D42+PHI!D42+'@LAR'!D42+'@ATL'!D42+NYG!D42+'@RAMS'!D42+SEA!D42+'@GBP'!D42+'@MIN'!D42+RAMS!D42+'@STL'!D42+SFO!D42+ATL!D42</f>
        <v>30</v>
      </c>
      <c r="E42" s="8">
        <f>+D42/$B$2</f>
        <v>1.875</v>
      </c>
      <c r="F42" s="21">
        <f>30/16</f>
        <v>1.875</v>
      </c>
      <c r="H42" t="s">
        <v>25</v>
      </c>
      <c r="M42" s="2">
        <f>+KCC!M42+'@DEN'!M42+TBB!M42+'@SFO'!M42+PHI!M42+'@LAR'!M42+'@ATL'!M42+NYG!M42+'@RAMS'!M42+SEA!M42+'@GBP'!M42+'@MIN'!M42+RAMS!M42+'@STL'!M42+SFO!M42+ATL!M42</f>
        <v>60</v>
      </c>
      <c r="N42" s="8">
        <f>+M42/$B$2</f>
        <v>3.75</v>
      </c>
      <c r="O42" s="21">
        <f>45/16</f>
        <v>2.8125</v>
      </c>
    </row>
    <row r="43" spans="1:15" ht="12.75">
      <c r="A43" t="s">
        <v>26</v>
      </c>
      <c r="D43" s="2">
        <f>+KCC!D43+'@DEN'!D43+TBB!D43+'@SFO'!D43+PHI!D43+'@LAR'!D43+'@ATL'!D43+NYG!D43+'@RAMS'!D43+SEA!D43+'@GBP'!D43+'@MIN'!D43+RAMS!D43+'@STL'!D43+SFO!D43+ATL!D43</f>
        <v>156</v>
      </c>
      <c r="E43" s="8">
        <f>+D43/$B$2</f>
        <v>9.75</v>
      </c>
      <c r="F43" s="21">
        <f>215/16</f>
        <v>13.4375</v>
      </c>
      <c r="H43" t="s">
        <v>26</v>
      </c>
      <c r="M43" s="2">
        <f>+KCC!M43+'@DEN'!M43+TBB!M43+'@SFO'!M43+PHI!M43+'@LAR'!M43+'@ATL'!M43+NYG!M43+'@RAMS'!M43+SEA!M43+'@GBP'!M43+'@MIN'!M43+RAMS!M43+'@STL'!M43+SFO!M43+ATL!M43</f>
        <v>711</v>
      </c>
      <c r="N43" s="8">
        <f>+M43/$B$2</f>
        <v>44.4375</v>
      </c>
      <c r="O43" s="21">
        <f>397/16</f>
        <v>24.8125</v>
      </c>
    </row>
    <row r="44" spans="1:15" ht="12.75">
      <c r="A44" t="s">
        <v>27</v>
      </c>
      <c r="D44" s="8">
        <f>+D43/D42</f>
        <v>5.2</v>
      </c>
      <c r="E44" s="8">
        <f>+D44/$B$2</f>
        <v>0.325</v>
      </c>
      <c r="F44" s="21">
        <f>F43/F42</f>
        <v>7.166666666666667</v>
      </c>
      <c r="H44" t="s">
        <v>27</v>
      </c>
      <c r="M44" s="8">
        <f>+M43/M42</f>
        <v>11.85</v>
      </c>
      <c r="N44" s="8">
        <f>+M44/$B$2</f>
        <v>0.740625</v>
      </c>
      <c r="O44" s="21">
        <f>O43/O42</f>
        <v>8.822222222222223</v>
      </c>
    </row>
    <row r="45" spans="1:15" ht="12.75">
      <c r="A45" t="s">
        <v>106</v>
      </c>
      <c r="D45" s="2">
        <f>+KCC!D45+'@DEN'!D45+TBB!D45+'@SFO'!D45+PHI!D45+'@LAR'!D45+'@ATL'!D45+NYG!D45+'@RAMS'!D45+SEA!D45+'@GBP'!D45+'@MIN'!D45+RAMS!D45+'@STL'!D45+SFO!D45+ATL!D45</f>
        <v>18</v>
      </c>
      <c r="E45" s="8">
        <f>+D45/$B$2</f>
        <v>1.125</v>
      </c>
      <c r="F45" s="21">
        <f>18/16</f>
        <v>1.125</v>
      </c>
      <c r="H45" t="s">
        <v>106</v>
      </c>
      <c r="M45" s="2">
        <f>+KCC!M45+'@DEN'!M45+TBB!M45+'@SFO'!M45+PHI!M45+'@LAR'!M45+'@ATL'!M45+NYG!M45+'@RAMS'!M45+SEA!M45+'@GBP'!M45+'@MIN'!M45+RAMS!M45+'@STL'!M45+SFO!M45+ATL!M45</f>
        <v>13</v>
      </c>
      <c r="N45" s="8">
        <f>+M45/$B$2</f>
        <v>0.8125</v>
      </c>
      <c r="O45" s="21">
        <f>17/16</f>
        <v>1.0625</v>
      </c>
    </row>
    <row r="46" spans="1:15" ht="12.75">
      <c r="A46" t="s">
        <v>28</v>
      </c>
      <c r="D46" s="2">
        <f>+KCC!D46+'@DEN'!D46+TBB!D46+'@SFO'!D46+PHI!D46+'@LAR'!D46+'@ATL'!D46+NYG!D46+'@RAMS'!D46+SEA!D46+'@GBP'!D46+'@MIN'!D46+RAMS!D46+'@STL'!D46+SFO!D46+ATL!D46</f>
        <v>0</v>
      </c>
      <c r="E46" s="8">
        <f>+D46/$B$2</f>
        <v>0</v>
      </c>
      <c r="F46" s="21">
        <f>0/16</f>
        <v>0</v>
      </c>
      <c r="H46" t="s">
        <v>28</v>
      </c>
      <c r="M46" s="2">
        <f>+KCC!M46+'@DEN'!M46+TBB!M46+'@SFO'!M46+PHI!M46+'@LAR'!M46+'@ATL'!M46+NYG!M46+'@RAMS'!M46+SEA!M46+'@GBP'!M46+'@MIN'!M46+RAMS!M46+'@STL'!M46+SFO!M46+ATL!M46</f>
        <v>1</v>
      </c>
      <c r="N46" s="8">
        <f>+M46/$B$2</f>
        <v>0.0625</v>
      </c>
      <c r="O46" s="21">
        <f>0/16</f>
        <v>0</v>
      </c>
    </row>
    <row r="47" spans="5:15" ht="12.75">
      <c r="E47" s="8"/>
      <c r="F47" s="21"/>
      <c r="N47" s="8"/>
      <c r="O47" s="21"/>
    </row>
    <row r="48" spans="1:15" ht="12.75">
      <c r="A48" t="s">
        <v>30</v>
      </c>
      <c r="D48" s="2">
        <f>+KCC!D48+'@DEN'!D48+TBB!D48+'@SFO'!D48+PHI!D48+'@LAR'!D48+'@ATL'!D48+NYG!D48+'@RAMS'!D48+SEA!D48+'@GBP'!D48+'@MIN'!D48+RAMS!D48+'@STL'!D48+SFO!D48+ATL!D48</f>
        <v>67</v>
      </c>
      <c r="E48" s="8">
        <f>+D48/$B$2</f>
        <v>4.1875</v>
      </c>
      <c r="F48" s="21">
        <f>71/16</f>
        <v>4.4375</v>
      </c>
      <c r="H48" t="s">
        <v>30</v>
      </c>
      <c r="M48" s="2">
        <f>+KCC!M48+'@DEN'!M48+TBB!M48+'@SFO'!M48+PHI!M48+'@LAR'!M48+'@ATL'!M48+NYG!M48+'@RAMS'!M48+SEA!M48+'@GBP'!M48+'@MIN'!M48+RAMS!M48+'@STL'!M48+SFO!M48+ATL!M48</f>
        <v>31</v>
      </c>
      <c r="N48" s="8">
        <f>+M48/$B$2</f>
        <v>1.9375</v>
      </c>
      <c r="O48" s="21">
        <f>43/16</f>
        <v>2.6875</v>
      </c>
    </row>
    <row r="49" spans="1:15" ht="12.75">
      <c r="A49" t="s">
        <v>26</v>
      </c>
      <c r="D49" s="2">
        <f>+KCC!D49+'@DEN'!D49+TBB!D49+'@SFO'!D49+PHI!D49+'@LAR'!D49+'@ATL'!D49+NYG!D49+'@RAMS'!D49+SEA!D49+'@GBP'!D49+'@MIN'!D49+RAMS!D49+'@STL'!D49+SFO!D49+ATL!D49</f>
        <v>1489</v>
      </c>
      <c r="E49" s="8">
        <f>+D49/$B$2</f>
        <v>93.0625</v>
      </c>
      <c r="F49" s="21">
        <f>1547/16</f>
        <v>96.6875</v>
      </c>
      <c r="H49" t="s">
        <v>26</v>
      </c>
      <c r="M49" s="2">
        <f>+KCC!M49+'@DEN'!M49+TBB!M49+'@SFO'!M49+PHI!M49+'@LAR'!M49+'@ATL'!M49+NYG!M49+'@RAMS'!M49+SEA!M49+'@GBP'!M49+'@MIN'!M49+RAMS!M49+'@STL'!M49+SFO!M49+ATL!M49</f>
        <v>734</v>
      </c>
      <c r="N49" s="8">
        <f>+M49/$B$2</f>
        <v>45.875</v>
      </c>
      <c r="O49" s="21">
        <f>968/16</f>
        <v>60.5</v>
      </c>
    </row>
    <row r="50" spans="1:15" ht="12.75">
      <c r="A50" t="s">
        <v>27</v>
      </c>
      <c r="D50" s="8">
        <f>+D49/D48</f>
        <v>22.223880597014926</v>
      </c>
      <c r="E50" s="8"/>
      <c r="F50" s="21">
        <f>F49/F48</f>
        <v>21.788732394366196</v>
      </c>
      <c r="H50" t="s">
        <v>27</v>
      </c>
      <c r="M50" s="8">
        <f>+M49/M48</f>
        <v>23.677419354838708</v>
      </c>
      <c r="N50" s="8"/>
      <c r="O50" s="21">
        <f>O49/O48</f>
        <v>22.511627906976745</v>
      </c>
    </row>
    <row r="51" spans="1:15" ht="12.75">
      <c r="A51" t="s">
        <v>28</v>
      </c>
      <c r="D51" s="2">
        <f>+KCC!D51+'@DEN'!D51+TBB!D51+'@SFO'!D51+PHI!D51+'@LAR'!D51+'@ATL'!D51+NYG!D51+'@RAMS'!D51+SEA!D51+'@GBP'!D51+'@MIN'!D51+RAMS!D51+'@STL'!D51+SFO!D51+ATL!D51</f>
        <v>0</v>
      </c>
      <c r="E51" s="8"/>
      <c r="F51" s="21">
        <f>0/16</f>
        <v>0</v>
      </c>
      <c r="H51" t="s">
        <v>28</v>
      </c>
      <c r="M51" s="2">
        <f>+KCC!M51+'@DEN'!M51+TBB!M51+'@SFO'!M51+PHI!M51+'@LAR'!M51+'@ATL'!M51+NYG!M51+'@RAMS'!M51+SEA!M51+'@GBP'!M51+'@MIN'!M51+RAMS!M51+'@STL'!M51+SFO!M51+ATL!M51</f>
        <v>1</v>
      </c>
      <c r="N51" s="8"/>
      <c r="O51" s="21">
        <f>1/16</f>
        <v>0.0625</v>
      </c>
    </row>
    <row r="52" spans="5:15" ht="12.75">
      <c r="E52" s="8"/>
      <c r="F52" s="8"/>
      <c r="N52" s="8"/>
      <c r="O52" s="21"/>
    </row>
    <row r="53" spans="1:15" ht="12.75">
      <c r="A53" t="s">
        <v>31</v>
      </c>
      <c r="D53" s="2">
        <f>+KCC!D53+'@DEN'!D53+TBB!D53+'@SFO'!D53+PHI!D53+'@LAR'!D53+'@ATL'!D53+NYG!D53+'@RAMS'!D53+SEA!D53+'@GBP'!D53+'@MIN'!D53+RAMS!D53+'@STL'!D53+SFO!D53+ATL!D53</f>
        <v>65</v>
      </c>
      <c r="E53" s="8">
        <f>+D53/$B$2</f>
        <v>4.0625</v>
      </c>
      <c r="F53" s="21">
        <f>96/16</f>
        <v>6</v>
      </c>
      <c r="H53" t="s">
        <v>31</v>
      </c>
      <c r="M53" s="2">
        <f>+KCC!M53+'@DEN'!M53+TBB!M53+'@SFO'!M53+PHI!M53+'@LAR'!M53+'@ATL'!M53+NYG!M53+'@RAMS'!M53+SEA!M53+'@GBP'!M53+'@MIN'!M53+RAMS!M53+'@STL'!M53+SFO!M53+ATL!M53</f>
        <v>106</v>
      </c>
      <c r="N53" s="8">
        <f>+M53/$B$2</f>
        <v>6.625</v>
      </c>
      <c r="O53" s="21">
        <f>108/16</f>
        <v>6.75</v>
      </c>
    </row>
    <row r="54" spans="1:15" ht="12.75">
      <c r="A54" t="s">
        <v>32</v>
      </c>
      <c r="D54" s="2">
        <f>+KCC!D54+'@DEN'!D54+TBB!D54+'@SFO'!D54+PHI!D54+'@LAR'!D54+'@ATL'!D54+NYG!D54+'@RAMS'!D54+SEA!D54+'@GBP'!D54+'@MIN'!D54+RAMS!D54+'@STL'!D54+SFO!D54+ATL!D54</f>
        <v>475</v>
      </c>
      <c r="E54" s="8">
        <f>+D54/$B$2</f>
        <v>29.6875</v>
      </c>
      <c r="F54" s="21">
        <f>805/16</f>
        <v>50.3125</v>
      </c>
      <c r="H54" t="s">
        <v>32</v>
      </c>
      <c r="M54" s="2">
        <f>+KCC!M54+'@DEN'!M54+TBB!M54+'@SFO'!M54+PHI!M54+'@LAR'!M54+'@ATL'!M54+NYG!M54+'@RAMS'!M54+SEA!M54+'@GBP'!M54+'@MIN'!M54+RAMS!M54+'@STL'!M54+SFO!M54+ATL!M54</f>
        <v>949</v>
      </c>
      <c r="N54" s="8">
        <f>+M54/$B$2</f>
        <v>59.3125</v>
      </c>
      <c r="O54" s="21">
        <f>837/16</f>
        <v>52.3125</v>
      </c>
    </row>
    <row r="55" spans="5:15" ht="12.75">
      <c r="E55" s="8"/>
      <c r="F55" s="21"/>
      <c r="N55" s="8"/>
      <c r="O55" s="21"/>
    </row>
    <row r="56" spans="1:15" ht="12.75">
      <c r="A56" t="s">
        <v>33</v>
      </c>
      <c r="D56" s="2">
        <f>+KCC!D56+'@DEN'!D56+TBB!D56+'@SFO'!D56+PHI!D56+'@LAR'!D56+'@ATL'!D56+NYG!D56+'@RAMS'!D56+SEA!D56+'@GBP'!D56+'@MIN'!D56+RAMS!D56+'@STL'!D56+SFO!D56+ATL!D56</f>
        <v>18</v>
      </c>
      <c r="E56" s="8">
        <f>+D56/$B$2</f>
        <v>1.125</v>
      </c>
      <c r="F56" s="21">
        <f>23/16</f>
        <v>1.4375</v>
      </c>
      <c r="H56" t="s">
        <v>33</v>
      </c>
      <c r="M56" s="2">
        <f>+KCC!M56+'@DEN'!M56+TBB!M56+'@SFO'!M56+PHI!M56+'@LAR'!M56+'@ATL'!M56+NYG!M56+'@RAMS'!M56+SEA!M56+'@GBP'!M56+'@MIN'!M56+RAMS!M56+'@STL'!M56+SFO!M56+ATL!M56</f>
        <v>24</v>
      </c>
      <c r="N56" s="8">
        <f>+M56/$B$2</f>
        <v>1.5</v>
      </c>
      <c r="O56" s="21">
        <f>24/16</f>
        <v>1.5</v>
      </c>
    </row>
    <row r="57" spans="1:15" ht="12.75">
      <c r="A57" t="s">
        <v>101</v>
      </c>
      <c r="D57" s="2">
        <f>+KCC!D57+'@DEN'!D57+TBB!D57+'@SFO'!D57+PHI!D57+'@LAR'!D57+'@ATL'!D57+NYG!D57+'@RAMS'!D57+SEA!D57+'@GBP'!D57+'@MIN'!D57+RAMS!D57+'@STL'!D57+SFO!D57+ATL!D57</f>
        <v>11</v>
      </c>
      <c r="E57" s="8">
        <f>+D57/$B$2</f>
        <v>0.6875</v>
      </c>
      <c r="F57" s="21">
        <f>13/16</f>
        <v>0.8125</v>
      </c>
      <c r="H57" t="s">
        <v>101</v>
      </c>
      <c r="M57" s="2">
        <f>+KCC!M57+'@DEN'!M57+TBB!M57+'@SFO'!M57+PHI!M57+'@LAR'!M57+'@ATL'!M57+NYG!M57+'@RAMS'!M57+SEA!M57+'@GBP'!M57+'@MIN'!M57+RAMS!M57+'@STL'!M57+SFO!M57+ATL!M57</f>
        <v>14</v>
      </c>
      <c r="N57" s="8">
        <f>+M57/$B$2</f>
        <v>0.875</v>
      </c>
      <c r="O57" s="21">
        <f>16/16</f>
        <v>1</v>
      </c>
    </row>
    <row r="58" spans="5:15" ht="12.75">
      <c r="E58" s="8"/>
      <c r="F58" s="21"/>
      <c r="N58" s="8"/>
      <c r="O58" s="21"/>
    </row>
    <row r="59" spans="1:15" ht="12.75">
      <c r="A59" t="s">
        <v>34</v>
      </c>
      <c r="D59" s="2">
        <f>+KCC!D59+'@DEN'!D59+TBB!D59+'@SFO'!D59+PHI!D59+'@LAR'!D59+'@ATL'!D59+NYG!D59+'@RAMS'!D59+SEA!D59+'@GBP'!D59+'@MIN'!D59+RAMS!D59+'@STL'!D59+SFO!D59+ATL!D59</f>
        <v>248</v>
      </c>
      <c r="E59" s="8">
        <f aca="true" t="shared" si="0" ref="E59:E67">+D59/$B$2</f>
        <v>15.5</v>
      </c>
      <c r="F59" s="21">
        <f>294/16</f>
        <v>18.375</v>
      </c>
      <c r="H59" t="s">
        <v>34</v>
      </c>
      <c r="M59" s="2">
        <f>+KCC!M59+'@DEN'!M59+TBB!M59+'@SFO'!M59+PHI!M59+'@LAR'!M59+'@ATL'!M59+NYG!M59+'@RAMS'!M59+SEA!M59+'@GBP'!M59+'@MIN'!M59+RAMS!M59+'@STL'!M59+SFO!M59+ATL!M59</f>
        <v>429</v>
      </c>
      <c r="N59" s="8">
        <f aca="true" t="shared" si="1" ref="N59:N67">+M59/$B$2</f>
        <v>26.8125</v>
      </c>
      <c r="O59" s="21">
        <f>401/16</f>
        <v>25.0625</v>
      </c>
    </row>
    <row r="60" spans="1:15" ht="12.75">
      <c r="A60" t="s">
        <v>35</v>
      </c>
      <c r="D60" s="2">
        <f>+KCC!D60+'@DEN'!D60+TBB!D60+'@SFO'!D60+PHI!D60+'@LAR'!D60+'@ATL'!D60+NYG!D60+'@RAMS'!D60+SEA!D60+'@GBP'!D60+'@MIN'!D60+RAMS!D60+'@STL'!D60+SFO!D60+ATL!D60</f>
        <v>21</v>
      </c>
      <c r="E60" s="8">
        <f t="shared" si="0"/>
        <v>1.3125</v>
      </c>
      <c r="F60" s="21">
        <f>29/16</f>
        <v>1.8125</v>
      </c>
      <c r="H60" t="s">
        <v>35</v>
      </c>
      <c r="M60" s="2">
        <f>+KCC!M60+'@DEN'!M60+TBB!M60+'@SFO'!M60+PHI!M60+'@LAR'!M60+'@ATL'!M60+NYG!M60+'@RAMS'!M60+SEA!M60+'@GBP'!M60+'@MIN'!M60+RAMS!M60+'@STL'!M60+SFO!M60+ATL!M60</f>
        <v>44</v>
      </c>
      <c r="N60" s="8">
        <f t="shared" si="1"/>
        <v>2.75</v>
      </c>
      <c r="O60" s="21">
        <f>48/16</f>
        <v>3</v>
      </c>
    </row>
    <row r="61" spans="1:15" ht="12.75">
      <c r="A61" t="s">
        <v>36</v>
      </c>
      <c r="D61" s="2">
        <f>+KCC!D61+'@DEN'!D61+TBB!D61+'@SFO'!D61+PHI!D61+'@LAR'!D61+'@ATL'!D61+NYG!D61+'@RAMS'!D61+SEA!D61+'@GBP'!D61+'@MIN'!D61+RAMS!D61+'@STL'!D61+SFO!D61+SFO!D61</f>
        <v>9</v>
      </c>
      <c r="E61" s="8">
        <f t="shared" si="0"/>
        <v>0.5625</v>
      </c>
      <c r="F61" s="21">
        <f>4/16</f>
        <v>0.25</v>
      </c>
      <c r="H61" t="s">
        <v>36</v>
      </c>
      <c r="M61" s="2">
        <f>+KCC!M61+'@DEN'!M61+TBB!M61+'@SFO'!M61+PHI!M61+'@LAR'!M61+'@ATL'!M61+NYG!M61+'@RAMS'!M61+SEA!M61+'@GBP'!M61+'@MIN'!M61+RAMS!M61+'@STL'!M61+RAMS!M61+'@STL'!M61</f>
        <v>25</v>
      </c>
      <c r="N61" s="8">
        <f t="shared" si="1"/>
        <v>1.5625</v>
      </c>
      <c r="O61" s="21">
        <f>19/16</f>
        <v>1.1875</v>
      </c>
    </row>
    <row r="62" spans="1:15" ht="12.75">
      <c r="A62" t="s">
        <v>37</v>
      </c>
      <c r="D62" s="2">
        <f>+KCC!D62+'@DEN'!D62+TBB!D62+'@SFO'!D62+PHI!D62+'@LAR'!D62+'@ATL'!D62+NYG!D62+'@RAMS'!D62+SEA!D62+'@GBP'!D62+'@MIN'!D62+RAMS!D62+'@STL'!D62+SFO!D62+ATL!D62</f>
        <v>8</v>
      </c>
      <c r="E62" s="8">
        <f t="shared" si="0"/>
        <v>0.5</v>
      </c>
      <c r="F62" s="21">
        <f>20/16</f>
        <v>1.25</v>
      </c>
      <c r="H62" t="s">
        <v>37</v>
      </c>
      <c r="M62" s="2">
        <f>+KCC!M62+'@DEN'!M62+TBB!M62+'@SFO'!M62+PHI!M62+'@LAR'!M62+'@ATL'!M62+NYG!M62+'@RAMS'!M62+SEA!M62+'@GBP'!M62+'@MIN'!M62+RAMS!M62+'@STL'!M62+SFO!M62+ATL!M62</f>
        <v>13</v>
      </c>
      <c r="N62" s="8">
        <f t="shared" si="1"/>
        <v>0.8125</v>
      </c>
      <c r="O62" s="21">
        <f>26/16</f>
        <v>1.625</v>
      </c>
    </row>
    <row r="63" spans="1:15" ht="12.75">
      <c r="A63" t="s">
        <v>38</v>
      </c>
      <c r="D63" s="2">
        <f>+KCC!D63+'@DEN'!D63+TBB!D63+'@SFO'!D63+PHI!D63+'@LAR'!D63+'@ATL'!D63+NYG!D63+'@RAMS'!D63+SEA!D63+'@GBP'!D63+'@MIN'!D63+RAMS!D63+'@STL'!D63+SFO!D63+ATL!D63</f>
        <v>4</v>
      </c>
      <c r="E63" s="8">
        <f t="shared" si="0"/>
        <v>0.25</v>
      </c>
      <c r="F63" s="21">
        <f>5/16</f>
        <v>0.3125</v>
      </c>
      <c r="H63" t="s">
        <v>38</v>
      </c>
      <c r="M63" s="2">
        <f>+KCC!M63+'@DEN'!M63+TBB!M63+'@SFO'!M63+PHI!M63+'@LAR'!M63+'@ATL'!M63+NYG!M63+'@RAMS'!M63+SEA!M63+'@GBP'!M63+'@MIN'!M63+RAMS!M63+'@STL'!M63+SFO!M63+ATL!M63</f>
        <v>3</v>
      </c>
      <c r="N63" s="8">
        <f t="shared" si="1"/>
        <v>0.1875</v>
      </c>
      <c r="O63" s="21">
        <f>3/16</f>
        <v>0.1875</v>
      </c>
    </row>
    <row r="64" spans="1:15" ht="12.75">
      <c r="A64" t="s">
        <v>39</v>
      </c>
      <c r="D64" s="2">
        <f>+KCC!D64+'@DEN'!D64+TBB!D64+'@SFO'!D64+PHI!D64+'@LAR'!D64+'@ATL'!D64+NYG!D64+'@RAMS'!D64+SEA!D64+'@GBP'!D64+'@MIN'!D64+RAMS!D64+'@STL'!D64+SFO!D64+ATL!D64</f>
        <v>21</v>
      </c>
      <c r="E64" s="8">
        <f t="shared" si="0"/>
        <v>1.3125</v>
      </c>
      <c r="F64" s="21">
        <f>27/16</f>
        <v>1.6875</v>
      </c>
      <c r="H64" t="s">
        <v>39</v>
      </c>
      <c r="M64" s="2">
        <f>+KCC!M64+'@DEN'!M64+TBB!M64+'@SFO'!M64+PHI!M64+'@LAR'!M64+'@ATL'!M64+NYG!M64+'@RAMS'!M64+SEA!M64+'@GBP'!M64+'@MIN'!M64+RAMS!M64+'@STL'!M64+SFO!M64+ATL!M64</f>
        <v>44</v>
      </c>
      <c r="N64" s="8">
        <f t="shared" si="1"/>
        <v>2.75</v>
      </c>
      <c r="O64" s="21">
        <f>48/16</f>
        <v>3</v>
      </c>
    </row>
    <row r="65" spans="1:15" ht="12.75">
      <c r="A65" t="s">
        <v>40</v>
      </c>
      <c r="D65" s="2">
        <f>+KCC!D65+'@DEN'!D65+TBB!D65+'@SFO'!D65+PHI!D65+'@LAR'!D65+'@ATL'!D65+NYG!D65+'@RAMS'!D65+SEA!D65+'@GBP'!D65+'@MIN'!D65+RAMS!D65+'@STL'!D65+SFO!D65+ATL!D65</f>
        <v>0</v>
      </c>
      <c r="E65" s="8">
        <f t="shared" si="0"/>
        <v>0</v>
      </c>
      <c r="F65" s="21">
        <f>0/16</f>
        <v>0</v>
      </c>
      <c r="H65" t="s">
        <v>40</v>
      </c>
      <c r="M65" s="2">
        <f>+KCC!M65+'@DEN'!M65+TBB!M65+'@SFO'!M65+PHI!M65+'@LAR'!M65+'@ATL'!M65+NYG!M65+'@RAMS'!M65+SEA!M65+'@GBP'!M65+'@MIN'!M65+RAMS!M65+'@STL'!M65+SFO!M65+ATL!M65</f>
        <v>0</v>
      </c>
      <c r="N65" s="8">
        <f t="shared" si="1"/>
        <v>0</v>
      </c>
      <c r="O65" s="21">
        <f>1/16</f>
        <v>0.0625</v>
      </c>
    </row>
    <row r="66" spans="1:15" ht="12.75">
      <c r="A66" t="s">
        <v>41</v>
      </c>
      <c r="D66" s="2">
        <f>+KCC!D66+'@DEN'!D66+TBB!D66+'@SFO'!D66+PHI!D66+'@LAR'!D66+'@ATL'!D66+NYG!D66+'@RAMS'!D66+SEA!D66+'@GBP'!D66+'@MIN'!D66+RAMS!D66+'@STL'!D66+SFO!D66+ATL!D66</f>
        <v>34</v>
      </c>
      <c r="E66" s="8">
        <f t="shared" si="0"/>
        <v>2.125</v>
      </c>
      <c r="F66" s="21">
        <f>31/16</f>
        <v>1.9375</v>
      </c>
      <c r="H66" t="s">
        <v>41</v>
      </c>
      <c r="M66" s="2">
        <f>+KCC!M66+'@DEN'!M66+TBB!M66+'@SFO'!M66+PHI!M66+'@LAR'!M66+'@ATL'!M66+NYG!M66+'@RAMS'!M66+SEA!M66+'@GBP'!M66+'@MIN'!M66+RAMS!M66+'@STL'!M66+SFO!M66+ATL!M66</f>
        <v>36</v>
      </c>
      <c r="N66" s="8">
        <f t="shared" si="1"/>
        <v>2.25</v>
      </c>
      <c r="O66" s="21">
        <f>21/16</f>
        <v>1.3125</v>
      </c>
    </row>
    <row r="67" spans="1:15" ht="12.75">
      <c r="A67" t="s">
        <v>42</v>
      </c>
      <c r="D67" s="2">
        <f>+KCC!D67+'@DEN'!D67+TBB!D67+'@SFO'!D67+PHI!D67+'@LAR'!D67+'@ATL'!D67+NYG!D67+'@RAMS'!D67+SEA!D67+'@GBP'!D67+'@MIN'!D67+RAMS!D67+'@STL'!D67</f>
        <v>35</v>
      </c>
      <c r="E67" s="8">
        <f t="shared" si="0"/>
        <v>2.1875</v>
      </c>
      <c r="F67" s="21">
        <f>35/16</f>
        <v>2.1875</v>
      </c>
      <c r="H67" t="s">
        <v>42</v>
      </c>
      <c r="M67" s="2">
        <f>+KCC!M67+'@DEN'!M67+TBB!M67+'@SFO'!M67+PHI!M67+'@LAR'!M67+'@ATL'!M67+NYG!M67+'@RAMS'!M67+SEA!M67+'@GBP'!M67+'@MIN'!M67+RAMS!M67+'@STL'!M67+SFO!M67+ATL!M67</f>
        <v>44</v>
      </c>
      <c r="N67" s="8">
        <f t="shared" si="1"/>
        <v>2.75</v>
      </c>
      <c r="O67" s="21">
        <f>28/16</f>
        <v>1.75</v>
      </c>
    </row>
    <row r="68" spans="1:15" ht="12.75">
      <c r="A68" t="s">
        <v>43</v>
      </c>
      <c r="D68" s="8">
        <f>+D66/D67*100</f>
        <v>97.14285714285714</v>
      </c>
      <c r="E68" s="8">
        <f>E66/E67*100</f>
        <v>97.14285714285714</v>
      </c>
      <c r="F68" s="21">
        <f>F66/F67*100</f>
        <v>88.57142857142857</v>
      </c>
      <c r="G68" s="7"/>
      <c r="H68" s="7" t="s">
        <v>43</v>
      </c>
      <c r="I68" s="7"/>
      <c r="J68" s="7"/>
      <c r="K68" s="7"/>
      <c r="L68" s="7"/>
      <c r="M68" s="8">
        <f>+M66/M67*100</f>
        <v>81.81818181818183</v>
      </c>
      <c r="N68" s="8">
        <f>N66/N67*100</f>
        <v>81.81818181818183</v>
      </c>
      <c r="O68" s="21">
        <f>O66/O67*100</f>
        <v>75</v>
      </c>
    </row>
    <row r="69" spans="1:15" ht="12.75">
      <c r="A69" t="s">
        <v>88</v>
      </c>
      <c r="D69" s="10" t="str">
        <f>IF(V23&lt;10,V27,V26)</f>
        <v>27:50</v>
      </c>
      <c r="E69" s="8"/>
      <c r="F69" s="21">
        <v>28.3</v>
      </c>
      <c r="H69" t="s">
        <v>88</v>
      </c>
      <c r="M69" s="10" t="str">
        <f>IF(W23&lt;10,W27,W26)</f>
        <v>32:10</v>
      </c>
      <c r="N69" s="8"/>
      <c r="O69" s="21">
        <v>31.2</v>
      </c>
    </row>
    <row r="70" spans="1:15" ht="12.75">
      <c r="A70" t="s">
        <v>102</v>
      </c>
      <c r="D70" s="23">
        <f>D162</f>
        <v>30.53097345132743</v>
      </c>
      <c r="E70" s="8">
        <f>D70</f>
        <v>30.53097345132743</v>
      </c>
      <c r="F70" s="21">
        <v>29.9</v>
      </c>
      <c r="H70" t="s">
        <v>102</v>
      </c>
      <c r="M70" s="23">
        <f>M162</f>
        <v>37.66816143497758</v>
      </c>
      <c r="N70" s="8">
        <f>M70</f>
        <v>37.66816143497758</v>
      </c>
      <c r="O70" s="21">
        <v>42.1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16" ht="12.75">
      <c r="A74" t="s">
        <v>109</v>
      </c>
      <c r="C74">
        <f>+KCC!C74+'@DEN'!C74+TBB!C74+'@SFO'!C74+PHI!C74+'@LAR'!C74+'@ATL'!C74+NYG!C74+'@RAMS'!C74+SEA!C74+'@GBP'!C74+'@MIN'!C74+RAMS!C74+'@STL'!C74+SFO!C74+ATL!C74</f>
        <v>177</v>
      </c>
      <c r="D74">
        <f>+KCC!D74+'@DEN'!D74+TBB!D74+'@SFO'!D74+PHI!D74+'@LAR'!D74+'@ATL'!D74+NYG!D74+'@RAMS'!D74+SEA!D74+'@GBP'!D74+'@MIN'!D74+RAMS!D74+'@STL'!D74+SFO!D74+ATL!D74</f>
        <v>778</v>
      </c>
      <c r="E74" s="12">
        <f aca="true" t="shared" si="2" ref="E74:E84">+D74/C74</f>
        <v>4.395480225988701</v>
      </c>
      <c r="F74">
        <f>MAX(KCC!F74,'@DEN'!F74,TBB!F74,'@SFO'!F74,PHI!F74,'@LAR'!F74,'@ATL'!F74,'@RAMS'!F74,SEA!F74,'@GBP'!F74,'@MIN'!F74,RAMS!F74,'@STL'!F74,'@STL'!F74,SFO!F74,ATL!F74,+NYG!F74)</f>
        <v>41</v>
      </c>
      <c r="G74">
        <f>+KCC!G74+'@DEN'!G74+TBB!G74+'@SFO'!G74+PHI!G74+'@LAR'!G74+'@ATL'!G74+NYG!G74+'@RAMS'!G74+SEA!G74+'@GBP'!G74+'@MIN'!G74+RAMS!G74+'@STL'!G74+SFO!G74+ATL!G74</f>
        <v>3</v>
      </c>
      <c r="H74">
        <f>KCC!H74+'@DEN'!H74+TBB!H74+'@SFO'!H74+PHI!H74+'@LAR'!H74+'@ATL'!H74+NYG!H74+'@RAMS'!H74+SEA!H74+'@GBP'!H74+'@MIN'!H74+RAMS!H74+'@STL'!H74+SFO!H74+ATL!H74</f>
        <v>4</v>
      </c>
      <c r="P74" s="24"/>
    </row>
    <row r="75" spans="1:16" ht="12.75">
      <c r="A75" t="s">
        <v>110</v>
      </c>
      <c r="C75">
        <f>+KCC!C75+'@DEN'!C75+TBB!C75+'@SFO'!C75+PHI!C75+'@LAR'!C75+'@ATL'!C75+NYG!C75+'@RAMS'!C75+SEA!C75+'@GBP'!C75+'@MIN'!C75+RAMS!C75+'@STL'!C75+SFO!C75+SFO!C75</f>
        <v>171</v>
      </c>
      <c r="D75">
        <f>+KCC!D75+'@DEN'!D75+TBB!D75+'@SFO'!D75+PHI!D75+'@LAR'!D75+'@ATL'!D75+NYG!D75+'@RAMS'!D75+SEA!D75+'@GBP'!D75+'@MIN'!D75+RAMS!D75+'@STL'!D75+SFO!D75+ATL!D75</f>
        <v>602</v>
      </c>
      <c r="E75" s="12">
        <f t="shared" si="2"/>
        <v>3.52046783625731</v>
      </c>
      <c r="F75">
        <f>MAX(KCC!F75,'@DEN'!F75,TBB!F75,'@SFO'!F75,PHI!F75,'@LAR'!F75,'@ATL'!F75,'@RAMS'!F75,SEA!F75,'@GBP'!F75,'@MIN'!F75,RAMS!F75,'@STL'!F75,'@STL'!F75,SFO!F75,ATL!F75,+NYG!F75)</f>
        <v>45</v>
      </c>
      <c r="G75">
        <f>+KCC!G75+'@DEN'!G75+TBB!G75+'@SFO'!G75+PHI!G75+'@LAR'!G75+'@ATL'!G75+NYG!G75+'@RAMS'!G75+SEA!G75+'@GBP'!G75+'@MIN'!G75+RAMS!G75+'@STL'!G75+SFO!G75+ATL!G75</f>
        <v>5</v>
      </c>
      <c r="H75">
        <f>KCC!H75+'@DEN'!H75+TBB!H75+'@SFO'!H75+PHI!H75+'@LAR'!H75+'@ATL'!H75+NYG!H75+'@RAMS'!H75+SEA!H75+'@GBP'!H75+'@MIN'!H75+RAMS!H75+'@STL'!H75+SFO!H75+ATL!H75</f>
        <v>0</v>
      </c>
      <c r="P75" s="24"/>
    </row>
    <row r="76" spans="1:16" ht="12.75">
      <c r="A76" t="s">
        <v>111</v>
      </c>
      <c r="C76">
        <f>+KCC!C76+'@DEN'!C76+TBB!C76+'@SFO'!C76+PHI!C76+'@LAR'!C76+'@ATL'!C76+NYG!C76+'@RAMS'!C76+SEA!C76+'@GBP'!C76+'@MIN'!C76+RAMS!C76+'@STL'!C76+SFO!C76+ATL!C76</f>
        <v>48</v>
      </c>
      <c r="D76">
        <f>+KCC!D76+'@DEN'!D76+TBB!D76+'@SFO'!D76+PHI!D76+'@LAR'!D76+'@ATL'!D76+NYG!D76+'@RAMS'!D76+SEA!D76+'@GBP'!D76+'@MIN'!D76+RAMS!D76+'@STL'!D76+SFO!D76+ATL!D76</f>
        <v>344</v>
      </c>
      <c r="E76" s="12">
        <f t="shared" si="2"/>
        <v>7.166666666666667</v>
      </c>
      <c r="F76">
        <f>MAX(KCC!F76,'@DEN'!F76,TBB!F76,'@SFO'!F76,PHI!F76,'@LAR'!F76,'@ATL'!F76,'@RAMS'!F76,SEA!F76,'@GBP'!F76,'@MIN'!F76,RAMS!F76,'@STL'!F76,'@STL'!F76,SFO!F76,ATL!F76,+NYG!F76)</f>
        <v>25</v>
      </c>
      <c r="G76">
        <f>+KCC!G76+'@DEN'!G76+TBB!G76+'@SFO'!G76+PHI!G76+'@LAR'!G76+'@ATL'!G76+NYG!G76+'@RAMS'!G76+SEA!G76+'@GBP'!G76+'@MIN'!G76+RAMS!G76+'@STL'!G76+SFO!G76+ATL!G76</f>
        <v>1</v>
      </c>
      <c r="H76">
        <f>KCC!H76+'@DEN'!H76+TBB!H76+'@SFO'!H76+PHI!H76+'@LAR'!H76+'@ATL'!H76+NYG!H76+'@RAMS'!H76+SEA!H76+'@GBP'!H76+'@MIN'!H76+RAMS!H76+'@STL'!H76+SFO!H76+ATL!H76</f>
        <v>1</v>
      </c>
      <c r="P76" s="24"/>
    </row>
    <row r="77" spans="1:16" ht="12.75">
      <c r="A77" t="s">
        <v>112</v>
      </c>
      <c r="C77">
        <f>+KCC!C77+'@DEN'!C77+TBB!C77+'@SFO'!C77+PHI!C77+'@LAR'!C77+'@ATL'!C77+NYG!C77+'@RAMS'!C77+SEA!C77+'@GBP'!C77+'@MIN'!C77+RAMS!C77+'@STL'!C77+SFO!C77+ATL!C77</f>
        <v>16</v>
      </c>
      <c r="D77">
        <f>+KCC!D77+'@DEN'!D77+TBB!D77+'@SFO'!D77+PHI!D77+'@LAR'!D77+'@ATL'!D77+NYG!D77+'@RAMS'!D77+SEA!D77+'@GBP'!D77+'@MIN'!D77+RAMS!D77+'@STL'!D77+SFO!D77+ATL!D77</f>
        <v>27</v>
      </c>
      <c r="E77" s="12">
        <f t="shared" si="2"/>
        <v>1.6875</v>
      </c>
      <c r="F77">
        <f>MAX(KCC!F77,'@DEN'!F77,TBB!F77,'@SFO'!F77,PHI!F77,'@LAR'!F77,'@ATL'!F77,'@RAMS'!F77,SEA!F77,'@GBP'!F77,'@MIN'!F77,RAMS!F77,'@STL'!F77,'@STL'!F77,SFO!F77,ATL!F77,+NYG!F77)</f>
        <v>14</v>
      </c>
      <c r="G77">
        <f>+KCC!G77+'@DEN'!G77+TBB!G77+'@SFO'!G77+PHI!G77+'@LAR'!G77+'@ATL'!G77+NYG!G77+'@RAMS'!G77+SEA!G77+'@GBP'!G77+'@MIN'!G77+RAMS!G77+'@STL'!G77+SFO!G77+ATL!G77</f>
        <v>0</v>
      </c>
      <c r="H77">
        <f>KCC!H77+'@DEN'!H77+TBB!H77+'@SFO'!H77+PHI!H77+'@LAR'!H77+'@ATL'!H77+NYG!H77+'@RAMS'!H77+SEA!H77+'@GBP'!H77+'@MIN'!H77+RAMS!H77+'@STL'!H77+SFO!H77+ATL!H77</f>
        <v>0</v>
      </c>
      <c r="P77" s="24"/>
    </row>
    <row r="78" spans="1:16" ht="12.75">
      <c r="A78" t="s">
        <v>113</v>
      </c>
      <c r="C78">
        <f>+KCC!C78+'@DEN'!C78+TBB!C78+'@SFO'!C78+PHI!C78+'@LAR'!C78+'@ATL'!C78+NYG!C78+'@RAMS'!C78+SEA!C78+'@GBP'!C78+'@MIN'!C78+RAMS!C78+'@STL'!C78+SFO!C78+ATL!C78</f>
        <v>1</v>
      </c>
      <c r="D78">
        <f>+KCC!D78+'@DEN'!D78+TBB!D78+'@SFO'!D78+PHI!D78+'@LAR'!D78+'@ATL'!D78+NYG!D78+'@RAMS'!D78+SEA!D78+'@GBP'!D78+'@MIN'!D78+RAMS!D78+'@STL'!D78+SFO!D78+ATL!D78</f>
        <v>27</v>
      </c>
      <c r="E78" s="12">
        <f t="shared" si="2"/>
        <v>27</v>
      </c>
      <c r="F78">
        <f>MAX(KCC!F78,'@DEN'!F78,TBB!F78,'@SFO'!F78,PHI!F78,'@LAR'!F78,'@ATL'!F78,'@RAMS'!F78,SEA!F78,'@GBP'!F78,'@MIN'!F78,RAMS!F78,'@STL'!F78,'@STL'!F78,SFO!F78,ATL!F78,+NYG!F78)</f>
        <v>27</v>
      </c>
      <c r="G78">
        <f>+KCC!G78+'@DEN'!G78+TBB!G78+'@SFO'!G78+PHI!G78+'@LAR'!G78+'@ATL'!G78+NYG!G78+'@RAMS'!G78+SEA!G78+'@GBP'!G78+'@MIN'!G78+RAMS!G78+'@STL'!G78+SFO!G78+ATL!G78</f>
        <v>0</v>
      </c>
      <c r="H78">
        <f>KCC!H78+'@DEN'!H78+TBB!H78+'@SFO'!H78+PHI!H78+'@LAR'!H78+'@ATL'!H78+NYG!H78+'@RAMS'!H78+SEA!H78+'@GBP'!H78+'@MIN'!H78+RAMS!H78+'@STL'!H78+SFO!H78+ATL!H78</f>
        <v>0</v>
      </c>
      <c r="P78" s="24"/>
    </row>
    <row r="79" spans="1:16" ht="12.75">
      <c r="A79" t="s">
        <v>114</v>
      </c>
      <c r="C79">
        <f>+KCC!C79+'@DEN'!C79+TBB!C79+'@SFO'!C79+PHI!C79+'@LAR'!C79+'@ATL'!C79+NYG!C79+'@RAMS'!C79+SEA!C79+'@GBP'!C79+'@MIN'!C79+RAMS!C79+'@STL'!C79+SFO!C79+ATL!C79</f>
        <v>16</v>
      </c>
      <c r="D79">
        <f>+KCC!D79+'@DEN'!D79+TBB!D79+'@SFO'!D79+PHI!D79+'@LAR'!D79+'@ATL'!D79+NYG!D79+'@RAMS'!D79+SEA!D79+'@GBP'!D79+'@MIN'!D79+RAMS!D79+'@STL'!D79+SFO!D79+ATL!D79</f>
        <v>15</v>
      </c>
      <c r="E79" s="12">
        <f t="shared" si="2"/>
        <v>0.9375</v>
      </c>
      <c r="F79">
        <f>MAX(KCC!F79,'@DEN'!F79,TBB!F79,'@SFO'!F79,PHI!F79,'@LAR'!F79,'@ATL'!F79,'@RAMS'!F79,SEA!F79,'@GBP'!F79,'@MIN'!F79,RAMS!F79,'@STL'!F79,'@STL'!F79,SFO!F79,ATL!F79,+NYG!F79)</f>
        <v>7</v>
      </c>
      <c r="G79">
        <f>+KCC!G79+'@DEN'!G79+TBB!G79+'@SFO'!G79+PHI!G79+'@LAR'!G79+'@ATL'!G79+NYG!G79+'@RAMS'!G79+SEA!G79+'@GBP'!G79+'@MIN'!G79+RAMS!G79+'@STL'!G79+SFO!G79+ATL!G79</f>
        <v>0</v>
      </c>
      <c r="H79">
        <f>KCC!H79+'@DEN'!H79+TBB!H79+'@SFO'!H79+PHI!H79+'@LAR'!H79+'@ATL'!H79+NYG!H79+'@RAMS'!H79+SEA!H79+'@GBP'!H79+'@MIN'!H79+RAMS!H79+'@STL'!H79+SFO!H79+ATL!H79</f>
        <v>0</v>
      </c>
      <c r="P79" s="24"/>
    </row>
    <row r="80" spans="1:16" ht="12.75">
      <c r="A80" t="s">
        <v>107</v>
      </c>
      <c r="C80">
        <f>+KCC!C80+'@DEN'!C80+TBB!C80+'@SFO'!C80+PHI!C80+'@LAR'!C80+'@ATL'!C80+NYG!C80+'@RAMS'!C80+SEA!C80+'@GBP'!C80+'@MIN'!C80+RAMS!C80+'@STL'!C80+SFO!C80+ATL!C80</f>
        <v>16</v>
      </c>
      <c r="D80">
        <f>+KCC!D80+'@DEN'!D80+TBB!D80+'@SFO'!D80+PHI!D80+'@LAR'!D80+'@ATL'!D80+NYG!D80+'@RAMS'!D80+SEA!D80+'@GBP'!D80+'@MIN'!D80+RAMS!D80+'@STL'!D80+SFO!D80+ATL!D80</f>
        <v>16</v>
      </c>
      <c r="E80" s="12">
        <f t="shared" si="2"/>
        <v>1</v>
      </c>
      <c r="F80">
        <f>MAX(KCC!F80,'@DEN'!F80,TBB!F80,'@SFO'!F80,PHI!F80,'@LAR'!F80,'@ATL'!F80,'@RAMS'!F80,SEA!F80,'@GBP'!F80,'@MIN'!F80,RAMS!F80,'@STL'!F80,'@STL'!F80,SFO!F80,ATL!F80,+NYG!F80)</f>
        <v>5</v>
      </c>
      <c r="G80">
        <f>+KCC!G80+'@DEN'!G80+TBB!G80+'@SFO'!G80+PHI!G80+'@LAR'!G80+'@ATL'!G80+NYG!G80+'@RAMS'!G80+SEA!G80+'@GBP'!G80+'@MIN'!G80+RAMS!G80+'@STL'!G80+SFO!G80+ATL!G80</f>
        <v>0</v>
      </c>
      <c r="H80">
        <f>KCC!H80+'@DEN'!H80+TBB!H80+'@SFO'!H80+PHI!H80+'@LAR'!H80+'@ATL'!H80+NYG!H80+'@RAMS'!H80+SEA!H80+'@GBP'!H80+'@MIN'!H80+RAMS!H80+'@STL'!H80+SFO!H80+ATL!H80</f>
        <v>0</v>
      </c>
      <c r="P80" s="24"/>
    </row>
    <row r="81" spans="1:16" ht="12.75">
      <c r="A81" t="s">
        <v>115</v>
      </c>
      <c r="C81">
        <f>+KCC!C81+'@DEN'!C81+TBB!C81+'@SFO'!C81+PHI!C81+'@LAR'!C81+'@ATL'!C81+NYG!C81+'@RAMS'!C81+SEA!C81+'@GBP'!C81+'@MIN'!C81+RAMS!C81+'@STL'!C81+SFO!C81+ATL!C81</f>
        <v>2</v>
      </c>
      <c r="D81">
        <f>+KCC!D81+'@DEN'!D81+TBB!D81+'@SFO'!D81+PHI!D81+'@LAR'!D81+'@ATL'!D81+NYG!D81+'@RAMS'!D81+SEA!D81+'@GBP'!D81+'@MIN'!D81+RAMS!D81+'@STL'!D81+SFO!D81+ATL!D81</f>
        <v>1</v>
      </c>
      <c r="E81" s="12">
        <f t="shared" si="2"/>
        <v>0.5</v>
      </c>
      <c r="F81">
        <f>MAX(KCC!F81,'@DEN'!F81,TBB!F81,'@SFO'!F81,PHI!F81,'@LAR'!F81,'@ATL'!F81,'@RAMS'!F81,SEA!F81,'@GBP'!F81,'@MIN'!F81,RAMS!F81,'@STL'!F81,'@STL'!F81,SFO!F81,ATL!F81,+NYG!F81)</f>
        <v>1</v>
      </c>
      <c r="G81">
        <f>+KCC!G81+'@DEN'!G81+TBB!G81+'@SFO'!G81+PHI!G81+'@LAR'!G81+'@ATL'!G81+NYG!G81+'@RAMS'!G81+SEA!G81+'@GBP'!G81+'@MIN'!G81+RAMS!G81+'@STL'!G81+SFO!G81+ATL!G81</f>
        <v>0</v>
      </c>
      <c r="H81">
        <f>KCC!H81+'@DEN'!H81+TBB!H81+'@SFO'!H81+PHI!H81+'@LAR'!H81+'@ATL'!H81+NYG!H81+'@RAMS'!H81+SEA!H81+'@GBP'!H81+'@MIN'!H81+RAMS!H81+'@STL'!H81+SFO!H81+ATL!H81</f>
        <v>0</v>
      </c>
      <c r="P81" s="24"/>
    </row>
    <row r="82" spans="1:16" ht="12.75">
      <c r="A82" t="s">
        <v>116</v>
      </c>
      <c r="C82">
        <f>+KCC!C82+'@DEN'!C82+TBB!C82+'@SFO'!C82+PHI!C82+'@LAR'!C82+'@ATL'!C82+NYG!C82+'@RAMS'!C82+SEA!C82+'@GBP'!C82+'@MIN'!C82+RAMS!C82+'@STL'!C82+SFO!C82+ATL!C82</f>
        <v>1</v>
      </c>
      <c r="D82">
        <f>+KCC!D82+'@DEN'!D82+TBB!D82+'@SFO'!D82+PHI!D82+'@LAR'!D82+'@ATL'!D82+NYG!D82+'@RAMS'!D82+SEA!D82+'@GBP'!D82+'@MIN'!D82+RAMS!D82+'@STL'!D82+SFO!D82+ATL!D82</f>
        <v>5</v>
      </c>
      <c r="E82" s="12">
        <f t="shared" si="2"/>
        <v>5</v>
      </c>
      <c r="F82">
        <f>MAX(KCC!F82,'@DEN'!F82,TBB!F82,'@SFO'!F82,PHI!F82,'@LAR'!F82,'@ATL'!F82,'@RAMS'!F82,SEA!F82,'@GBP'!F82,'@MIN'!F82,RAMS!F82,'@STL'!F82,'@STL'!F82,SFO!F82,ATL!F82,+NYG!F82)</f>
        <v>5</v>
      </c>
      <c r="G82">
        <f>+KCC!G82+'@DEN'!G82+TBB!G82+'@SFO'!G82+PHI!G82+'@LAR'!G82+'@ATL'!G82+NYG!G82+'@RAMS'!G82+SEA!G82+'@GBP'!G82+'@MIN'!G82+RAMS!G82+'@STL'!G82+SFO!G82+ATL!G82</f>
        <v>0</v>
      </c>
      <c r="H82">
        <f>KCC!H82+'@DEN'!H82+TBB!H82+'@SFO'!H82+PHI!H82+'@LAR'!H82+'@ATL'!H82+NYG!H82+'@RAMS'!H82+SEA!H82+'@GBP'!H82+'@MIN'!H82+RAMS!H82+'@STL'!H82+SFO!H82+ATL!H82</f>
        <v>0</v>
      </c>
      <c r="P82" s="24"/>
    </row>
    <row r="83" spans="1:16" ht="12.75">
      <c r="A83" t="s">
        <v>117</v>
      </c>
      <c r="C83">
        <f>+KCC!C83+'@DEN'!C83+TBB!C83+'@SFO'!C83+PHI!C83+'@LAR'!C83+'@ATL'!C83+NYG!C83+'@RAMS'!C83+SEA!C83+'@GBP'!C83+'@MIN'!C83+RAMS!C83+'@STL'!C83+SFO!C83+ATL!C83</f>
        <v>1</v>
      </c>
      <c r="D83">
        <f>+KCC!D83+'@DEN'!D83+TBB!D83+'@SFO'!D83+PHI!D83+'@LAR'!D83+'@ATL'!D83+NYG!D83+'@RAMS'!D83+SEA!D83+'@GBP'!D83+'@MIN'!D83+RAMS!D83+'@STL'!D83+SFO!D83+ATL!D83</f>
        <v>-3</v>
      </c>
      <c r="E83" s="12">
        <f t="shared" si="2"/>
        <v>-3</v>
      </c>
      <c r="F83">
        <f>MAX(KCC!F83,'@DEN'!F83,TBB!F83,'@SFO'!F83,PHI!F83,'@LAR'!F83,'@ATL'!F83,'@RAMS'!F83,SEA!F83,'@GBP'!F83,'@MIN'!F83,RAMS!F83,'@STL'!F83,'@STL'!F83,SFO!F83,ATL!F83,+NYG!F83)</f>
        <v>0</v>
      </c>
      <c r="G83">
        <f>+KCC!G83+'@DEN'!G83+TBB!G83+'@SFO'!G83+PHI!G83+'@LAR'!G83+'@ATL'!G83+NYG!G83+'@RAMS'!G83+SEA!G83+'@GBP'!G83+'@MIN'!G83+RAMS!G83+'@STL'!G83+SFO!G83+ATL!G83</f>
        <v>0</v>
      </c>
      <c r="H83">
        <f>KCC!H83+'@DEN'!H83+TBB!H83+'@SFO'!H83+PHI!H83+'@LAR'!H83+'@ATL'!H83+NYG!H83+'@RAMS'!H83+SEA!H83+'@GBP'!H83+'@MIN'!H83+RAMS!H83+'@STL'!H83+SFO!H83+ATL!H83</f>
        <v>0</v>
      </c>
      <c r="P83" s="24"/>
    </row>
    <row r="84" spans="1:16" ht="12.75">
      <c r="A84" t="s">
        <v>118</v>
      </c>
      <c r="C84">
        <f>+KCC!C84+'@DEN'!C84+TBB!C84+'@SFO'!C84+PHI!C84+'@LAR'!C84+'@ATL'!C84+NYG!C84+'@RAMS'!C84+SEA!C84+'@GBP'!C84+'@MIN'!C84+RAMS!C84+'@STL'!C84+SFO!C84+ATL!C84</f>
        <v>0</v>
      </c>
      <c r="D84">
        <f>+KCC!D84+'@DEN'!D84+TBB!D84+'@SFO'!D84+PHI!D84+'@LAR'!D84+'@ATL'!D84+NYG!D84+'@RAMS'!D84+SEA!D84+'@GBP'!D84+'@MIN'!D84+RAMS!D84+'@STL'!D84+SFO!D84+ATL!D84</f>
        <v>0</v>
      </c>
      <c r="E84" s="12" t="e">
        <f t="shared" si="2"/>
        <v>#DIV/0!</v>
      </c>
      <c r="F84">
        <f>MAX(KCC!F84,'@DEN'!F84,TBB!F84,'@SFO'!F84,PHI!F84,'@LAR'!F84,'@ATL'!F84,'@RAMS'!F84,SEA!F84,'@GBP'!F84,'@MIN'!F84,RAMS!F84,'@STL'!F84,'@STL'!F84,SFO!F84,ATL!F84,+NYG!F84)</f>
        <v>0</v>
      </c>
      <c r="G84">
        <f>+KCC!G84+'@DEN'!G84+TBB!G84+'@SFO'!G84+PHI!G84+'@LAR'!G84+'@ATL'!G84+NYG!G84+'@RAMS'!G84+SEA!G84+'@GBP'!G84+'@MIN'!G84+RAMS!G84+'@STL'!G84+SFO!G84+ATL!G84</f>
        <v>0</v>
      </c>
      <c r="H84">
        <f>KCC!H84+'@DEN'!H84+TBB!H84+'@SFO'!H84+PHI!H84+'@LAR'!H84+'@ATL'!H84+NYG!H84+'@RAMS'!H84+SEA!H84+'@GBP'!H84+'@MIN'!H84+RAMS!H84+'@STL'!H84+SFO!H84+ATL!H84</f>
        <v>0</v>
      </c>
      <c r="P84" s="24"/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f>+KCC!C87+'@DEN'!C87+TBB!C87+'@SFO'!C87+PHI!C87+'@LAR'!C87+'@ATL'!C87+NYG!C87+'@RAMS'!C87+SEA!C87+'@GBP'!C87+'@MIN'!C87+RAMS!C87+'@STL'!C87+SFO!C87+ATL!C87</f>
        <v>34</v>
      </c>
      <c r="D87">
        <f>+KCC!D87+'@DEN'!D87+TBB!D87+'@SFO'!D87+PHI!D87+'@LAR'!D87+'@ATL'!D87+NYG!D87+'@RAMS'!D87+SEA!D87+'@GBP'!D87+'@MIN'!D87+RAMS!D87+'@STL'!D87+SFO!D87+ATL!D87</f>
        <v>538</v>
      </c>
      <c r="E87" s="12">
        <f aca="true" t="shared" si="3" ref="E87:E102">+D87/C87</f>
        <v>15.823529411764707</v>
      </c>
      <c r="F87">
        <f>MAX(KCC!F87,'@DEN'!F87,TBB!F87,'@SFO'!F87,PHI!F87,'@LAR'!F87,'@ATL'!F87,'@RAMS'!F87,SEA!F87,'@GBP'!F87,'@MIN'!F87,RAMS!F87,'@STL'!F87,SFO!F87,ATL!F87,+NYG!F87)</f>
        <v>32</v>
      </c>
      <c r="G87">
        <f>+KCC!G87+'@DEN'!G87+TBB!G87+'@SFO'!G87+PHI!G87+'@LAR'!G87+'@ATL'!G87+NYG!G87+'@RAMS'!G87+SEA!G87+'@GBP'!G87+'@MIN'!G87+RAMS!G87+'@STL'!G87+SFO!G87+ATL!G87</f>
        <v>1</v>
      </c>
      <c r="H87">
        <f>+KCC!H87+'@DEN'!H87+TBB!H87+'@SFO'!H87+PHI!H87+'@LAR'!H87+'@ATL'!H87+NYG!H87+'@RAMS'!H87+SEA!H87+'@GBP'!H87+'@MIN'!H87+RAMS!H87+'@STL'!H87+SFO!H87+ATL!H87</f>
        <v>2</v>
      </c>
    </row>
    <row r="88" spans="1:8" ht="12.75">
      <c r="A88" t="s">
        <v>109</v>
      </c>
      <c r="C88">
        <f>+KCC!C88+'@DEN'!C88+TBB!C88+'@SFO'!C88+PHI!C88+'@LAR'!C88+'@ATL'!C88+NYG!C88+'@RAMS'!C88+SEA!C88+'@GBP'!C88+'@MIN'!C88+RAMS!C88+'@STL'!C88+SFO!C88+ATL!C88</f>
        <v>38</v>
      </c>
      <c r="D88">
        <f>+KCC!D88+'@DEN'!D88+TBB!D88+'@SFO'!D88+PHI!D88+'@LAR'!D88+'@ATL'!D88+NYG!D88+'@RAMS'!D88+SEA!D88+'@GBP'!D88+'@MIN'!D88+RAMS!D88+'@STL'!D88+SFO!D88+ATL!D88</f>
        <v>191</v>
      </c>
      <c r="E88" s="12">
        <f t="shared" si="3"/>
        <v>5.026315789473684</v>
      </c>
      <c r="F88">
        <f>MAX(KCC!F88,'@DEN'!F88,TBB!F88,'@SFO'!F88,PHI!F88,'@LAR'!F88,'@ATL'!F88,'@RAMS'!F88,SEA!F88,'@GBP'!F88,'@MIN'!F88,RAMS!F88,'@STL'!F88,SFO!F88,ATL!F88,+NYG!F88)</f>
        <v>46</v>
      </c>
      <c r="G88">
        <f>+KCC!G88+'@DEN'!G88+TBB!G88+'@SFO'!G88+PHI!G88+'@LAR'!G88+'@ATL'!G88+NYG!G88+'@RAMS'!G88+SEA!G88+'@GBP'!G88+'@MIN'!G88+RAMS!G88+'@STL'!G88+SFO!G88+ATL!G88</f>
        <v>0</v>
      </c>
      <c r="H88">
        <f>+KCC!H88+'@DEN'!H88+TBB!H88+'@SFO'!H88+PHI!H88+'@LAR'!H88+'@ATL'!H88+NYG!H88+'@RAMS'!H88+SEA!H88+'@GBP'!H88+'@MIN'!H88+RAMS!H88+'@STL'!H88+SFO!H88+ATL!H88</f>
        <v>0</v>
      </c>
    </row>
    <row r="89" spans="1:8" ht="12.75">
      <c r="A89" t="s">
        <v>117</v>
      </c>
      <c r="C89">
        <f>+KCC!C89+'@DEN'!C89+TBB!C89+'@SFO'!C89+PHI!C89+'@LAR'!C89+'@ATL'!C89+NYG!C89+'@RAMS'!C89+SEA!C89+'@GBP'!C89+'@MIN'!C89+RAMS!C89+'@STL'!C89+SFO!C89+ATL!C89</f>
        <v>39</v>
      </c>
      <c r="D89">
        <f>+KCC!D89+'@DEN'!D89+TBB!D89+'@SFO'!D89+PHI!D89+'@LAR'!D89+'@ATL'!D89+NYG!D89+'@RAMS'!D89+SEA!D89+'@GBP'!D89+'@MIN'!D89+RAMS!D89+'@STL'!D89+SFO!D89+ATL!D89</f>
        <v>493</v>
      </c>
      <c r="E89" s="12">
        <f t="shared" si="3"/>
        <v>12.64102564102564</v>
      </c>
      <c r="F89">
        <f>MAX(KCC!F89,'@DEN'!F89,TBB!F89,'@SFO'!F89,PHI!F89,'@LAR'!F89,'@ATL'!F89,'@RAMS'!F89,SEA!F89,'@GBP'!F89,'@MIN'!F89,RAMS!F89,'@STL'!F89,SFO!F89,ATL!F89,+NYG!F89)</f>
        <v>35</v>
      </c>
      <c r="G89">
        <f>+KCC!G89+'@DEN'!G89+TBB!G89+'@SFO'!G89+PHI!G89+'@LAR'!G89+'@ATL'!G89+NYG!G89+'@RAMS'!G89+SEA!G89+'@GBP'!G89+'@MIN'!G89+RAMS!G89+'@STL'!G89+SFO!G89+ATL!G89</f>
        <v>2</v>
      </c>
      <c r="H89">
        <f>+KCC!H89+'@DEN'!H89+TBB!H89+'@SFO'!H89+PHI!H89+'@LAR'!H89+'@ATL'!H89+NYG!H89+'@RAMS'!H89+SEA!H89+'@GBP'!H89+'@MIN'!H89+RAMS!H89+'@STL'!H89+SFO!H89+ATL!H89</f>
        <v>1</v>
      </c>
    </row>
    <row r="90" spans="1:8" ht="12.75">
      <c r="A90" t="s">
        <v>116</v>
      </c>
      <c r="C90">
        <f>+KCC!C90+'@DEN'!C90+TBB!C90+'@SFO'!C90+PHI!C90+'@LAR'!C90+'@ATL'!C90+NYG!C90+'@RAMS'!C90+SEA!C90+'@GBP'!C90+'@MIN'!C90+RAMS!C90+'@STL'!C90+SFO!C90+ATL!C90</f>
        <v>37</v>
      </c>
      <c r="D90">
        <f>+KCC!D90+'@DEN'!D90+TBB!D90+'@SFO'!D90+PHI!D90+'@LAR'!D90+'@ATL'!D90+NYG!D90+'@RAMS'!D90+SEA!D90+'@GBP'!D90+'@MIN'!D90+RAMS!D90+'@STL'!D90+SFO!D90+ATL!D90</f>
        <v>496</v>
      </c>
      <c r="E90" s="12">
        <f t="shared" si="3"/>
        <v>13.405405405405405</v>
      </c>
      <c r="F90">
        <f>MAX(KCC!F90,'@DEN'!F90,TBB!F90,'@SFO'!F90,PHI!F90,'@LAR'!F90,'@ATL'!F90,'@RAMS'!F90,SEA!F90,'@GBP'!F90,'@MIN'!F90,RAMS!F90,'@STL'!F90,SFO!F90,ATL!F90,+NYG!F90)</f>
        <v>33</v>
      </c>
      <c r="G90">
        <f>+KCC!G90+'@DEN'!G90+TBB!G90+'@SFO'!G90+PHI!G90+'@LAR'!G90+'@ATL'!G90+NYG!G90+'@RAMS'!G90+SEA!G90+'@GBP'!G90+'@MIN'!G90+RAMS!G90+'@STL'!G90+SFO!G90+ATL!G90</f>
        <v>1</v>
      </c>
      <c r="H90">
        <f>+KCC!H90+'@DEN'!H90+TBB!H90+'@SFO'!H90+PHI!H90+'@LAR'!H90+'@ATL'!H90+NYG!H90+'@RAMS'!H90+SEA!H90+'@GBP'!H90+'@MIN'!H90+RAMS!H90+'@STL'!H90+SFO!H90+ATL!H90</f>
        <v>0</v>
      </c>
    </row>
    <row r="91" spans="1:8" ht="12.75">
      <c r="A91" t="s">
        <v>112</v>
      </c>
      <c r="C91">
        <f>+KCC!C91+'@DEN'!C91+TBB!C91+'@SFO'!C91+PHI!C91+'@LAR'!C91+'@ATL'!C91+NYG!C91+'@RAMS'!C91+SEA!C91+'@GBP'!C91+'@MIN'!C91+RAMS!C91+'@STL'!C91+SFO!C91+ATL!C91</f>
        <v>25</v>
      </c>
      <c r="D91">
        <f>+KCC!D91+'@DEN'!D91+TBB!D91+'@SFO'!D91+PHI!D91+'@LAR'!D91+'@ATL'!D91+NYG!D91+'@RAMS'!D91+SEA!D91+'@GBP'!D91+'@MIN'!D91+RAMS!D91+'@STL'!D91+SFO!D91+ATL!D91</f>
        <v>215</v>
      </c>
      <c r="E91" s="12">
        <f t="shared" si="3"/>
        <v>8.6</v>
      </c>
      <c r="F91">
        <f>MAX(KCC!F91,'@DEN'!F91,TBB!F91,'@SFO'!F91,PHI!F91,'@LAR'!F91,'@ATL'!F91,'@RAMS'!F91,SEA!F91,'@GBP'!F91,'@MIN'!F91,RAMS!F91,'@STL'!F91,SFO!F91,ATL!F91,+NYG!F91)</f>
        <v>44</v>
      </c>
      <c r="G91">
        <f>+KCC!G91+'@DEN'!G91+TBB!G91+'@SFO'!G91+PHI!G91+'@LAR'!G91+'@ATL'!G91+NYG!G91+'@RAMS'!G91+SEA!G91+'@GBP'!G91+'@MIN'!G91+RAMS!G91+'@STL'!G91+SFO!G91+ATL!G91</f>
        <v>0</v>
      </c>
      <c r="H91">
        <f>+KCC!H91+'@DEN'!H91+TBB!H91+'@SFO'!H91+PHI!H91+'@LAR'!H91+'@ATL'!H91+NYG!H91+'@RAMS'!H91+SEA!H91+'@GBP'!H91+'@MIN'!H91+RAMS!H91+'@STL'!H91+SFO!H91+ATL!H91</f>
        <v>1</v>
      </c>
    </row>
    <row r="92" spans="1:8" ht="12.75">
      <c r="A92" t="s">
        <v>120</v>
      </c>
      <c r="C92">
        <f>+KCC!C92+'@DEN'!C92+TBB!C92+'@SFO'!C92+PHI!C92+'@LAR'!C92+'@ATL'!C92+NYG!C92+'@RAMS'!C92+SEA!C92+'@GBP'!C92+'@MIN'!C92+RAMS!C92+'@STL'!C92+SFO!C92+ATL!C92</f>
        <v>25</v>
      </c>
      <c r="D92">
        <f>+KCC!D92+'@DEN'!D92+TBB!D92+'@SFO'!D92+PHI!D92+'@LAR'!D92+'@ATL'!D92+NYG!D92+'@RAMS'!D92+SEA!D92+'@GBP'!D92+'@MIN'!D92+RAMS!D92+'@STL'!D92+SFO!D92+ATL!D92</f>
        <v>261</v>
      </c>
      <c r="E92" s="12">
        <f t="shared" si="3"/>
        <v>10.44</v>
      </c>
      <c r="F92">
        <f>MAX(KCC!F92,'@DEN'!F92,TBB!F92,'@SFO'!F92,PHI!F92,'@LAR'!F92,'@ATL'!F92,'@RAMS'!F92,SEA!F92,'@GBP'!F92,'@MIN'!F92,RAMS!F92,'@STL'!F92,SFO!F92,ATL!F92,+NYG!F92)</f>
        <v>31</v>
      </c>
      <c r="G92">
        <f>+KCC!G92+'@DEN'!G92+TBB!G92+'@SFO'!G92+PHI!G92+'@LAR'!G92+'@ATL'!G92+NYG!G92+'@RAMS'!G92+SEA!G92+'@GBP'!G92+'@MIN'!G92+RAMS!G92+'@STL'!G92+SFO!G92+ATL!G92</f>
        <v>2</v>
      </c>
      <c r="H92">
        <f>+KCC!H92+'@DEN'!H92+TBB!H92+'@SFO'!H92+PHI!H92+'@LAR'!H92+'@ATL'!H92+NYG!H92+'@RAMS'!H92+SEA!H92+'@GBP'!H92+'@MIN'!H92+RAMS!H92+'@STL'!H92+SFO!H92+ATL!H92</f>
        <v>0</v>
      </c>
    </row>
    <row r="93" spans="1:8" ht="12.75">
      <c r="A93" t="s">
        <v>121</v>
      </c>
      <c r="C93">
        <f>+KCC!C93+'@DEN'!C93+TBB!C93+'@SFO'!C93+PHI!C93+'@LAR'!C93+'@ATL'!C93+NYG!C93+'@RAMS'!C93+SEA!C93+'@GBP'!C93+'@MIN'!C93+RAMS!C93+'@STL'!C93+SFO!C93+ATL!C93</f>
        <v>11</v>
      </c>
      <c r="D93">
        <f>+KCC!D93+'@DEN'!D93+TBB!D93+'@SFO'!D93+PHI!D93+'@LAR'!D93+'@ATL'!D93+NYG!D93+'@RAMS'!D93+SEA!D93+'@GBP'!D93+'@MIN'!D93+RAMS!D93+'@STL'!D93+SFO!D93+ATL!D93</f>
        <v>200</v>
      </c>
      <c r="E93" s="12">
        <f t="shared" si="3"/>
        <v>18.181818181818183</v>
      </c>
      <c r="F93">
        <f>MAX(KCC!F93,'@DEN'!F93,TBB!F93,'@SFO'!F93,PHI!F93,'@LAR'!F93,'@ATL'!F93,'@RAMS'!F93,SEA!F93,'@GBP'!F93,'@MIN'!F93,RAMS!F93,'@STL'!F93,SFO!F93,ATL!F93,+NYG!F93)</f>
        <v>29</v>
      </c>
      <c r="G93">
        <f>+KCC!G93+'@DEN'!G93+TBB!G93+'@SFO'!G93+PHI!G93+'@LAR'!G93+'@ATL'!G93+NYG!G93+'@RAMS'!G93+SEA!G93+'@GBP'!G93+'@MIN'!G93+RAMS!G93+'@STL'!G93+SFO!G93+ATL!G93</f>
        <v>0</v>
      </c>
      <c r="H93">
        <f>+KCC!H93+'@DEN'!H93+TBB!H93+'@SFO'!H93+PHI!H93+'@LAR'!H93+'@ATL'!H93+NYG!H93+'@RAMS'!H93+SEA!H93+'@GBP'!H93+'@MIN'!H93+RAMS!H93+'@STL'!H93+SFO!H93+ATL!H93</f>
        <v>0</v>
      </c>
    </row>
    <row r="94" spans="1:8" ht="12.75">
      <c r="A94" t="s">
        <v>122</v>
      </c>
      <c r="C94">
        <f>+KCC!C94+'@DEN'!C94+TBB!C94+'@SFO'!C94+PHI!C94+'@LAR'!C94+'@ATL'!C94+NYG!C94+'@RAMS'!C94+SEA!C94+'@GBP'!C94+'@MIN'!C94+RAMS!C94+'@STL'!C94+SFO!C94+ATL!C94</f>
        <v>13</v>
      </c>
      <c r="D94">
        <f>+KCC!D94+'@DEN'!D94+TBB!D94+'@SFO'!D94+PHI!D94+'@LAR'!D94+'@ATL'!D94+NYG!D94+'@RAMS'!D94+SEA!D94+'@GBP'!D94+'@MIN'!D94+RAMS!D94+'@STL'!D94+SFO!D94+ATL!D94</f>
        <v>221</v>
      </c>
      <c r="E94" s="12">
        <f t="shared" si="3"/>
        <v>17</v>
      </c>
      <c r="F94">
        <f>MAX(KCC!F94,'@DEN'!F94,TBB!F94,'@SFO'!F94,PHI!F94,'@LAR'!F94,'@ATL'!F94,'@RAMS'!F94,SEA!F94,'@GBP'!F94,'@MIN'!F94,RAMS!F94,'@STL'!F94,SFO!F94,ATL!F94,+NYG!F94)</f>
        <v>29</v>
      </c>
      <c r="G94">
        <f>+KCC!G94+'@DEN'!G94+TBB!G94+'@SFO'!G94+PHI!G94+'@LAR'!G94+'@ATL'!G94+NYG!G94+'@RAMS'!G94+SEA!G94+'@GBP'!G94+'@MIN'!G94+RAMS!G94+'@STL'!G94+SFO!G94+ATL!G94</f>
        <v>1</v>
      </c>
      <c r="H94">
        <f>+KCC!H94+'@DEN'!H94+TBB!H94+'@SFO'!H94+PHI!H94+'@LAR'!H94+'@ATL'!H94+NYG!H94+'@RAMS'!H94+SEA!H94+'@GBP'!H94+'@MIN'!H94+RAMS!H94+'@STL'!H94+SFO!H94+ATL!H94</f>
        <v>0</v>
      </c>
    </row>
    <row r="95" spans="1:8" ht="12.75">
      <c r="A95" t="s">
        <v>111</v>
      </c>
      <c r="C95">
        <f>+KCC!C95+'@DEN'!C95+TBB!C95+'@SFO'!C95+PHI!C95+'@LAR'!C95+'@ATL'!C95+NYG!C95+'@RAMS'!C95+SEA!C95+'@GBP'!C95+'@MIN'!C95+RAMS!C95+'@STL'!C95+SFO!C95+ATL!C95</f>
        <v>8</v>
      </c>
      <c r="D95">
        <f>+KCC!D95+'@DEN'!D95+TBB!D95+'@SFO'!D95+PHI!D95+'@LAR'!D95+'@ATL'!D95+NYG!D95+'@RAMS'!D95+SEA!D95+'@GBP'!D95+'@MIN'!D95+RAMS!D95+'@STL'!D95+SFO!D95+ATL!D95</f>
        <v>81</v>
      </c>
      <c r="E95" s="12">
        <f t="shared" si="3"/>
        <v>10.125</v>
      </c>
      <c r="F95">
        <f>MAX(KCC!F95,'@DEN'!F95,TBB!F95,'@SFO'!F95,PHI!F95,'@LAR'!F95,'@ATL'!F95,'@RAMS'!F95,SEA!F95,'@GBP'!F95,'@MIN'!F95,RAMS!F95,'@STL'!F95,SFO!F95,ATL!F95,+NYG!F95)</f>
        <v>16</v>
      </c>
      <c r="G95">
        <f>+KCC!G95+'@DEN'!G95+TBB!G95+'@SFO'!G95+PHI!G95+'@LAR'!G95+'@ATL'!G95+NYG!G95+'@RAMS'!G95+SEA!G95+'@GBP'!G95+'@MIN'!G95+RAMS!G95+'@STL'!G95+SFO!G95+ATL!G95</f>
        <v>0</v>
      </c>
      <c r="H95">
        <f>+KCC!H95+'@DEN'!H95+TBB!H95+'@SFO'!H95+PHI!H95+'@LAR'!H95+'@ATL'!H95+NYG!H95+'@RAMS'!H95+SEA!H95+'@GBP'!H95+'@MIN'!H95+RAMS!H95+'@STL'!H95+SFO!H95+ATL!H95</f>
        <v>0</v>
      </c>
    </row>
    <row r="96" spans="1:8" ht="12.75">
      <c r="A96" t="s">
        <v>123</v>
      </c>
      <c r="C96">
        <f>+KCC!C96+'@DEN'!C96+TBB!C96+'@SFO'!C96+PHI!C96+'@LAR'!C96+'@ATL'!C96+NYG!C96+'@RAMS'!C96+SEA!C96+'@GBP'!C96+'@MIN'!C96+RAMS!C96+'@STL'!C96+SFO!C96+ATL!C96</f>
        <v>7</v>
      </c>
      <c r="D96">
        <f>+KCC!D96+'@DEN'!D96+TBB!D96+'@SFO'!D96+PHI!D96+'@LAR'!D96+'@ATL'!D96+NYG!D96+'@RAMS'!D96+SEA!D96+'@GBP'!D96+'@MIN'!D96+RAMS!D96+'@STL'!D96+SFO!D96+ATL!D96</f>
        <v>61</v>
      </c>
      <c r="E96" s="12">
        <f t="shared" si="3"/>
        <v>8.714285714285714</v>
      </c>
      <c r="F96">
        <f>MAX(KCC!F96,'@DEN'!F96,TBB!F96,'@SFO'!F96,PHI!F96,'@LAR'!F96,'@ATL'!F96,'@RAMS'!F96,SEA!F96,'@GBP'!F96,'@MIN'!F96,RAMS!F96,'@STL'!F96,SFO!F96,ATL!F96,+NYG!F96)</f>
        <v>18</v>
      </c>
      <c r="G96">
        <f>+KCC!G96+'@DEN'!G96+TBB!G96+'@SFO'!G96+PHI!G96+'@LAR'!G96+'@ATL'!G96+NYG!G96+'@RAMS'!G96+SEA!G96+'@GBP'!G96+'@MIN'!G96+RAMS!G96+'@STL'!G96+SFO!G96+ATL!G96</f>
        <v>0</v>
      </c>
      <c r="H96">
        <f>+KCC!H96+'@DEN'!H96+TBB!H96+'@SFO'!H96+PHI!H96+'@LAR'!H96+'@ATL'!H96+NYG!H96+'@RAMS'!H96+SEA!H96+'@GBP'!H96+'@MIN'!H96+RAMS!H96+'@STL'!H96+SFO!H96+ATL!H96</f>
        <v>0</v>
      </c>
    </row>
    <row r="97" spans="1:8" ht="12.75">
      <c r="A97" t="s">
        <v>110</v>
      </c>
      <c r="C97">
        <f>+KCC!C97+'@DEN'!C97+TBB!C97+'@SFO'!C97+PHI!C97+'@LAR'!C97+'@ATL'!C97+NYG!C97+'@RAMS'!C97+SEA!C97+'@GBP'!C97+'@MIN'!C97+RAMS!C97+'@STL'!C97+SFO!C97+ATL!C97</f>
        <v>4</v>
      </c>
      <c r="D97">
        <f>+KCC!D97+'@DEN'!D97+TBB!D97+'@SFO'!D97+PHI!D97+'@LAR'!D97+'@ATL'!D97+NYG!D97+'@RAMS'!D97+SEA!D97+'@GBP'!D97+'@MIN'!D97+RAMS!D97+'@STL'!D97+SFO!D97+ATL!D97</f>
        <v>108</v>
      </c>
      <c r="E97" s="12">
        <f t="shared" si="3"/>
        <v>27</v>
      </c>
      <c r="F97">
        <f>MAX(KCC!F97,'@DEN'!F97,TBB!F97,'@SFO'!F97,PHI!F97,'@LAR'!F97,'@ATL'!F97,'@RAMS'!F97,SEA!F97,'@GBP'!F97,'@MIN'!F97,RAMS!F97,'@STL'!F97,SFO!F97,ATL!F97,+NYG!F97)</f>
        <v>35</v>
      </c>
      <c r="G97">
        <f>+KCC!G97+'@DEN'!G97+TBB!G97+'@SFO'!G97+PHI!G97+'@LAR'!G97+'@ATL'!G97+NYG!G97+'@RAMS'!G97+SEA!G97+'@GBP'!G97+'@MIN'!G97+RAMS!G97+'@STL'!G97+SFO!G97+ATL!G97</f>
        <v>0</v>
      </c>
      <c r="H97">
        <f>+KCC!H97+'@DEN'!H97+TBB!H97+'@SFO'!H97+PHI!H97+'@LAR'!H97+'@ATL'!H97+NYG!H97+'@RAMS'!H97+SEA!H97+'@GBP'!H97+'@MIN'!H97+RAMS!H97+'@STL'!H97+SFO!H97+ATL!H97</f>
        <v>0</v>
      </c>
    </row>
    <row r="98" spans="1:8" ht="12.75">
      <c r="A98" t="s">
        <v>115</v>
      </c>
      <c r="C98">
        <f>+KCC!C98+'@DEN'!C98+TBB!C98+'@SFO'!C98+PHI!C98+'@LAR'!C98+'@ATL'!C98+NYG!C98+'@RAMS'!C98+SEA!C98+'@GBP'!C98+'@MIN'!C98+RAMS!C98+'@STL'!C98+SFO!C98+ATL!C98</f>
        <v>3</v>
      </c>
      <c r="D98">
        <f>+KCC!D98+'@DEN'!D98+TBB!D98+'@SFO'!D98+PHI!D98+'@LAR'!D98+'@ATL'!D98+NYG!D98+'@RAMS'!D98+SEA!D98+'@GBP'!D98+'@MIN'!D98+RAMS!D98+'@STL'!D98+SFO!D98+ATL!D98</f>
        <v>67</v>
      </c>
      <c r="E98" s="12">
        <f t="shared" si="3"/>
        <v>22.333333333333332</v>
      </c>
      <c r="F98">
        <f>MAX(KCC!F98,'@DEN'!F98,TBB!F98,'@SFO'!F98,PHI!F98,'@LAR'!F98,'@ATL'!F98,'@RAMS'!F98,SEA!F98,'@GBP'!F98,'@MIN'!F98,RAMS!F98,'@STL'!F98,SFO!F98,ATL!F98,+NYG!F98)</f>
        <v>52</v>
      </c>
      <c r="G98">
        <f>+KCC!G98+'@DEN'!G98+TBB!G98+'@SFO'!G98+PHI!G98+'@LAR'!G98+'@ATL'!G98+NYG!G98+'@RAMS'!G98+SEA!G98+'@GBP'!G98+'@MIN'!G98+RAMS!G98+'@STL'!G98+SFO!G98+ATL!G98</f>
        <v>0</v>
      </c>
      <c r="H98">
        <f>+KCC!H98+'@DEN'!H98+TBB!H98+'@SFO'!H98+PHI!H98+'@LAR'!H98+'@ATL'!H98+NYG!H98+'@RAMS'!H98+SEA!H98+'@GBP'!H98+'@MIN'!H98+RAMS!H98+'@STL'!H98+SFO!H98+ATL!H98</f>
        <v>0</v>
      </c>
    </row>
    <row r="99" spans="1:8" ht="12.75">
      <c r="A99" t="s">
        <v>118</v>
      </c>
      <c r="C99">
        <f>+KCC!C99+'@DEN'!C99+TBB!C99+'@SFO'!C99+PHI!C99+'@LAR'!C99+'@ATL'!C99+NYG!C99+'@RAMS'!C99+SEA!C99+'@GBP'!C99+'@MIN'!C99+RAMS!C99+'@STL'!C99+SFO!C99+ATL!C99</f>
        <v>0</v>
      </c>
      <c r="D99">
        <f>+KCC!D99+'@DEN'!D99+TBB!D99+'@SFO'!D99+PHI!D99+'@LAR'!D99+'@ATL'!D99+NYG!D99+'@RAMS'!D99+SEA!D99+'@GBP'!D99+'@MIN'!D99+RAMS!D99+'@STL'!D99+SFO!D99+ATL!D99</f>
        <v>0</v>
      </c>
      <c r="E99" s="12" t="e">
        <f t="shared" si="3"/>
        <v>#DIV/0!</v>
      </c>
      <c r="F99">
        <f>MAX(KCC!F99,'@DEN'!F99,TBB!F99,'@SFO'!F99,PHI!F99,'@LAR'!F99,'@ATL'!F99,'@RAMS'!F99,SEA!F99,'@GBP'!F99,'@MIN'!F99,RAMS!F99,'@STL'!F99,SFO!F99,ATL!F99,+NYG!F99)</f>
        <v>0</v>
      </c>
      <c r="G99">
        <f>+KCC!G99+'@DEN'!G99+TBB!G99+'@SFO'!G99+PHI!G99+'@LAR'!G99+'@ATL'!G99+NYG!G99+'@RAMS'!G99+SEA!G99+'@GBP'!G99+'@MIN'!G99+RAMS!G99+'@STL'!G99+SFO!G99+ATL!G99</f>
        <v>0</v>
      </c>
      <c r="H99">
        <f>+KCC!H99+'@DEN'!H99+TBB!H99+'@SFO'!H99+PHI!H99+'@LAR'!H99+'@ATL'!H99+NYG!H99+'@RAMS'!H99+SEA!H99+'@GBP'!H99+'@MIN'!H99+RAMS!H99+'@STL'!H99+SFO!H99+ATL!H99</f>
        <v>0</v>
      </c>
    </row>
    <row r="100" spans="1:23" ht="12.75">
      <c r="A100" t="s">
        <v>124</v>
      </c>
      <c r="C100">
        <f>+KCC!C100+'@DEN'!C100+TBB!C100+'@SFO'!C100+PHI!C100+'@LAR'!C100+'@ATL'!C100+NYG!C100+'@RAMS'!C100+SEA!C100+'@GBP'!C100+'@MIN'!C100+RAMS!C100+'@STL'!C100+SFO!C100+ATL!C100</f>
        <v>0</v>
      </c>
      <c r="D100">
        <f>+KCC!D100+'@DEN'!D100+TBB!D100+'@SFO'!D100+PHI!D100+'@LAR'!D100+'@ATL'!D100+NYG!D100+'@RAMS'!D100+SEA!D100+'@GBP'!D100+'@MIN'!D100+RAMS!D100+'@STL'!D100+SFO!D100+ATL!D100</f>
        <v>0</v>
      </c>
      <c r="E100" s="12" t="e">
        <f t="shared" si="3"/>
        <v>#DIV/0!</v>
      </c>
      <c r="F100">
        <f>MAX(KCC!F100,'@DEN'!F100,TBB!F100,'@SFO'!F100,PHI!F100,'@LAR'!F100,'@ATL'!F100,'@RAMS'!F100,SEA!F100,'@GBP'!F100,'@MIN'!F100,RAMS!F100,'@STL'!F100,SFO!F100,ATL!F100,+NYG!F100)</f>
        <v>0</v>
      </c>
      <c r="G100">
        <f>+KCC!G100+'@DEN'!G100+TBB!G100+'@SFO'!G100+PHI!G100+'@LAR'!G100+'@ATL'!G100+NYG!G100+'@RAMS'!G100+SEA!G100+'@GBP'!G100+'@MIN'!G100+RAMS!G100+'@STL'!G100+SFO!G100+ATL!G100</f>
        <v>0</v>
      </c>
      <c r="H100">
        <f>+KCC!H100+'@DEN'!H100+TBB!H100+'@SFO'!H100+PHI!H100+'@LAR'!H100+'@ATL'!H100+NYG!H100+'@RAMS'!H100+SEA!H100+'@GBP'!H100+'@MIN'!H100+RAMS!H100+'@STL'!H100+SFO!H100+ATL!H100</f>
        <v>0</v>
      </c>
      <c r="U100" s="2"/>
      <c r="W100" s="25"/>
    </row>
    <row r="101" spans="1:23" ht="12.75">
      <c r="A101" t="s">
        <v>125</v>
      </c>
      <c r="C101">
        <f>+KCC!C101+'@DEN'!C101+TBB!C101+'@SFO'!C101+PHI!C101+'@LAR'!C101+'@ATL'!C101+NYG!C101+'@RAMS'!C101+SEA!C101+'@GBP'!C101+'@MIN'!C101+RAMS!C101+'@STL'!C101+SFO!C101+ATL!C101</f>
        <v>1</v>
      </c>
      <c r="D101">
        <f>+KCC!D101+'@DEN'!D101+TBB!D101+'@SFO'!D101+PHI!D101+'@LAR'!D101+'@ATL'!D101+NYG!D101+'@RAMS'!D101+SEA!D101+'@GBP'!D101+'@MIN'!D101+RAMS!D101+'@STL'!D101+SFO!D101+ATL!D101</f>
        <v>4</v>
      </c>
      <c r="E101" s="12">
        <f t="shared" si="3"/>
        <v>4</v>
      </c>
      <c r="F101">
        <f>MAX(KCC!F101,'@DEN'!F101,TBB!F101,'@SFO'!F101,PHI!F101,'@LAR'!F101,'@ATL'!F101,'@RAMS'!F101,SEA!F101,'@GBP'!F101,'@MIN'!F101,RAMS!F101,'@STL'!F101,SFO!F101,ATL!F101,+NYG!F101)</f>
        <v>4</v>
      </c>
      <c r="G101">
        <f>+KCC!G101+'@DEN'!G101+TBB!G101+'@SFO'!G101+PHI!G101+'@LAR'!G101+'@ATL'!G101+NYG!G101+'@RAMS'!G101+SEA!G101+'@GBP'!G101+'@MIN'!G101+RAMS!G101+'@STL'!G101+SFO!G101+ATL!G101</f>
        <v>0</v>
      </c>
      <c r="H101">
        <f>+KCC!H101+'@DEN'!H101+TBB!H101+'@SFO'!H101+PHI!H101+'@LAR'!H101+'@ATL'!H101+NYG!H101+'@RAMS'!H101+SEA!H101+'@GBP'!H101+'@MIN'!H101+RAMS!H101+'@STL'!H101+SFO!H101+ATL!H101</f>
        <v>0</v>
      </c>
      <c r="U101" s="24"/>
      <c r="W101" s="25"/>
    </row>
    <row r="102" spans="1:23" ht="12.75">
      <c r="A102" t="s">
        <v>114</v>
      </c>
      <c r="C102">
        <f>+KCC!C102+'@DEN'!C102+TBB!C102+'@SFO'!C102+PHI!C102+'@LAR'!C102+'@ATL'!C102+NYG!C102+'@RAMS'!C102+SEA!C102+'@GBP'!C102+'@MIN'!C102+RAMS!C102+'@STL'!C102+SFO!C102+ATL!C102</f>
        <v>0</v>
      </c>
      <c r="D102">
        <f>+KCC!D102+'@DEN'!D102+TBB!D102+'@SFO'!D102+PHI!D102+'@LAR'!D102+'@ATL'!D102+NYG!D102+'@RAMS'!D102+SEA!D102+'@GBP'!D102+'@MIN'!D102+RAMS!D102+'@STL'!D102+SFO!D102+ATL!D102</f>
        <v>0</v>
      </c>
      <c r="E102" s="12" t="e">
        <f t="shared" si="3"/>
        <v>#DIV/0!</v>
      </c>
      <c r="F102">
        <f>MAX(KCC!F102,'@DEN'!F102,TBB!F102,'@SFO'!F102,PHI!F102,'@LAR'!F102,'@ATL'!F102,'@RAMS'!F102,SEA!F102,'@GBP'!F102,'@MIN'!F102,RAMS!F102,'@STL'!F102,SFO!F102,ATL!F102,+NYG!F102)</f>
        <v>0</v>
      </c>
      <c r="G102">
        <f>+KCC!G102+'@DEN'!G102+TBB!G102+'@SFO'!G102+PHI!G102+'@LAR'!G102+'@ATL'!G102+NYG!G102+'@RAMS'!G102+SEA!G102+'@GBP'!G102+'@MIN'!G102+RAMS!G102+'@STL'!G102+SFO!G102+ATL!G102</f>
        <v>0</v>
      </c>
      <c r="H102">
        <f>+KCC!H102+'@DEN'!H102+TBB!H102+'@SFO'!H102+PHI!H102+'@LAR'!H102+'@ATL'!H102+NYG!H102+'@RAMS'!H102+SEA!H102+'@GBP'!H102+'@MIN'!H102+RAMS!H102+'@STL'!H102+SFO!H102+ATL!H102</f>
        <v>0</v>
      </c>
      <c r="U102" s="24"/>
      <c r="W102" s="25"/>
    </row>
    <row r="103" spans="5:23" ht="12.75">
      <c r="E103" s="8"/>
      <c r="W103" s="25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f>+KCC!C106+'@DEN'!C106+TBB!C106+'@SFO'!C106+PHI!C106+'@LAR'!C106+'@ATL'!C106+NYG!C106+'@RAMS'!C106+SEA!C106+'@GBP'!C106+'@MIN'!C106+RAMS!C106+'@STL'!C106+SFO!C106+ATL!C106</f>
        <v>289</v>
      </c>
      <c r="D106">
        <f>+KCC!D106+'@DEN'!D106+TBB!D106+'@SFO'!D106+PHI!D106+'@LAR'!D106+'@ATL'!D106+NYG!D106+'@RAMS'!D106+SEA!D106+'@GBP'!D106+'@MIN'!D106+RAMS!D106+'@STL'!D106+SFO!D106+ATL!D106</f>
        <v>138</v>
      </c>
      <c r="E106" s="12">
        <f>+D106/C106*100</f>
        <v>47.75086505190311</v>
      </c>
      <c r="F106">
        <f>+KCC!F106+'@DEN'!F106+TBB!F106+'@SFO'!F106+PHI!F106+'@LAR'!F106+'@ATL'!F106+NYG!F106+'@RAMS'!F106+SEA!F106+'@GBP'!F106+'@MIN'!F106+RAMS!F106+'@STL'!F106+SFO!F106+ATL!F106</f>
        <v>1696</v>
      </c>
      <c r="G106">
        <f>+KCC!G106+'@DEN'!G106+TBB!G106+'@SFO'!G106+PHI!G106+'@LAR'!G106+'@ATL'!G106+NYG!G106+'@RAMS'!G106+SEA!G106+'@GBP'!G106+'@MIN'!G106+RAMS!G106+'@STL'!G106+SFO!G106+ATL!G106</f>
        <v>4</v>
      </c>
      <c r="H106">
        <f>MAX(KCC!H106,'@DEN'!H106,TBB!H106,'@SFO'!H106,PHI!H106,'@LAR'!H106,'@ATL'!H106,'@RAMS'!H106,SEA!H106,'@GBP'!H106,'@MIN'!H106,RAMS!H106,'@STL'!H106,SFO!H106,ATL!H106,+NYG!H106)</f>
        <v>44</v>
      </c>
      <c r="I106">
        <f>+KCC!I106+'@DEN'!I106+TBB!I106+'@SFO'!I106+PHI!I106+'@LAR'!I106+'@ATL'!I106+NYG!I106+'@RAMS'!I106+SEA!I106+'@GBP'!I106+'@MIN'!I106+RAMS!I106+'@STL'!I106+SFO!I106+ATL!I106</f>
        <v>19</v>
      </c>
      <c r="J106" s="8">
        <f>+G106/C106*100</f>
        <v>1.384083044982699</v>
      </c>
      <c r="K106" s="12">
        <f>+I106/C106*100</f>
        <v>6.5743944636678195</v>
      </c>
      <c r="L106" s="12">
        <f>+F106/C106</f>
        <v>5.868512110726644</v>
      </c>
      <c r="M106" s="12">
        <f>100*(S106+U106+W106+Y106)/6</f>
        <v>43.54815455594002</v>
      </c>
      <c r="N106">
        <f>KCC!N106+'@DEN'!N106+TBB!N106+'@SFO'!N106+PHI!N106+'@LAR'!N106+'@ATL'!N106+NYG!N106+'@RAMS'!N106+SEA!N106+'@GBP'!N106+'@MIN'!N106+RAMS!N106+'@STL'!N106+SFO!N106+ATL!N106</f>
        <v>2</v>
      </c>
      <c r="R106">
        <f>+(E106-30)/20</f>
        <v>0.8875432525951557</v>
      </c>
      <c r="S106" s="2">
        <f>IF(R106&lt;0,0,IF(R106&gt;2.375,2.375,R106))</f>
        <v>0.8875432525951557</v>
      </c>
      <c r="T106" s="6">
        <f>+(L106-3)/4</f>
        <v>0.717128027681661</v>
      </c>
      <c r="U106" s="2">
        <f>IF(T106&lt;0,0,IF(T106&gt;2.375,2.375,T106))</f>
        <v>0.717128027681661</v>
      </c>
      <c r="V106">
        <f>+J106/5</f>
        <v>0.2768166089965398</v>
      </c>
      <c r="W106" s="2">
        <f>IF(V106&lt;0,0,IF(V106&gt;2.375,2.375,V106))</f>
        <v>0.2768166089965398</v>
      </c>
      <c r="X106">
        <f>(9.5-K106)/4</f>
        <v>0.7314013840830451</v>
      </c>
      <c r="Y106" s="2">
        <f>IF(X106&lt;0,0,X106)</f>
        <v>0.7314013840830451</v>
      </c>
    </row>
    <row r="107" spans="1:25" ht="12.75">
      <c r="A107" t="s">
        <v>114</v>
      </c>
      <c r="C107">
        <f>+KCC!C107+'@DEN'!C107+TBB!C107+'@SFO'!C107+PHI!C107+'@LAR'!C107+'@ATL'!C107+NYG!C107+'@RAMS'!C107+SEA!C107+'@GBP'!C107+'@MIN'!C107+RAMS!C107+'@STL'!C107+SFO!C107+ATL!C107</f>
        <v>195</v>
      </c>
      <c r="D107">
        <f>+KCC!D107+'@DEN'!D107+TBB!D107+'@SFO'!D107+PHI!D107+'@LAR'!D107+'@ATL'!D107+NYG!D107+'@RAMS'!D107+SEA!D107+'@GBP'!D107+'@MIN'!D107+RAMS!D107+'@STL'!D107+SFO!D107+ATL!D107</f>
        <v>92</v>
      </c>
      <c r="E107" s="12">
        <f>+D107/C107*100</f>
        <v>47.179487179487175</v>
      </c>
      <c r="F107">
        <f>+KCC!F107+'@DEN'!F107+TBB!F107+'@SFO'!F107+PHI!F107+'@LAR'!F107+'@ATL'!F107+NYG!F107+'@RAMS'!F107+SEA!F107+'@GBP'!F107+'@MIN'!F107+RAMS!F107+'@STL'!F107+SFO!F107+ATL!F107</f>
        <v>1056</v>
      </c>
      <c r="G107">
        <f>+KCC!G107+'@DEN'!G107+TBB!G107+'@SFO'!G107+PHI!G107+'@LAR'!G107+'@ATL'!G107+NYG!G107+'@RAMS'!G107+SEA!G107+'@GBP'!G107+'@MIN'!G107+RAMS!G107+'@STL'!G107+SFO!G107+ATL!G107</f>
        <v>2</v>
      </c>
      <c r="H107">
        <f>MAX(KCC!H107,'@DEN'!H107,TBB!H107,'@SFO'!H107,PHI!H107,'@LAR'!H107,'@ATL'!H107,'@RAMS'!H107,SEA!H107,'@GBP'!H107,'@MIN'!H107,RAMS!H107,'@STL'!H107,SFO!H107,ATL!H107,+NYG!H107)</f>
        <v>46</v>
      </c>
      <c r="I107">
        <f>+KCC!I107+'@DEN'!I107+TBB!I107+'@SFO'!I107+PHI!I107+'@LAR'!I107+'@ATL'!I107+NYG!I107+'@RAMS'!I107+SEA!I107+'@GBP'!I107+'@MIN'!I107+RAMS!I107+'@STL'!I107+SFO!I107+ATL!I107</f>
        <v>5</v>
      </c>
      <c r="J107" s="8">
        <f>+G107/C107*100</f>
        <v>1.0256410256410255</v>
      </c>
      <c r="K107" s="12">
        <f>+I107/C107*100</f>
        <v>2.564102564102564</v>
      </c>
      <c r="L107" s="12">
        <f>+F107/C107</f>
        <v>5.415384615384616</v>
      </c>
      <c r="M107" s="12">
        <f>100*(S107+U107+W107+Y107)/6</f>
        <v>56.69871794871795</v>
      </c>
      <c r="N107">
        <f>KCC!N107+'@DEN'!N107+TBB!N107+'@SFO'!N107+PHI!N107+'@LAR'!N107+'@ATL'!N107+NYG!N107+'@RAMS'!N107+SEA!N107+'@GBP'!N107+'@MIN'!N107+RAMS!N107+'@STL'!N107+SFO!N107+ATL!N107</f>
        <v>2</v>
      </c>
      <c r="R107">
        <f>+(E107-30)/20</f>
        <v>0.8589743589743588</v>
      </c>
      <c r="S107" s="2">
        <f>IF(R107&lt;0,0,IF(R107&gt;2.375,2.375,R107))</f>
        <v>0.8589743589743588</v>
      </c>
      <c r="T107" s="6">
        <f>+(L107-3)/4</f>
        <v>0.6038461538461539</v>
      </c>
      <c r="U107" s="2">
        <f>IF(T107&lt;0,0,IF(T107&gt;2.375,2.375,T107))</f>
        <v>0.6038461538461539</v>
      </c>
      <c r="V107">
        <f>+J107/5</f>
        <v>0.20512820512820512</v>
      </c>
      <c r="W107" s="2">
        <f>IF(V107&lt;0,0,IF(V107&gt;2.375,2.375,V107))</f>
        <v>0.20512820512820512</v>
      </c>
      <c r="X107">
        <f>(9.5-K107)/4</f>
        <v>1.733974358974359</v>
      </c>
      <c r="Y107" s="2">
        <f>IF(X107&lt;0,0,X107)</f>
        <v>1.733974358974359</v>
      </c>
    </row>
    <row r="108" spans="1:25" ht="12.75">
      <c r="A108" t="s">
        <v>126</v>
      </c>
      <c r="C108">
        <f>+KCC!C108+'@DEN'!C108+TBB!C108+'@SFO'!C108+PHI!C108+'@LAR'!C108+'@ATL'!C108+NYG!C108+'@RAMS'!C108+SEA!C108+'@GBP'!C108+'@MIN'!C108+RAMS!C108+'@STL'!C108+SFO!C108+ATL!C108</f>
        <v>26</v>
      </c>
      <c r="D108">
        <f>+KCC!D108+'@DEN'!D108+TBB!D108+'@SFO'!D108+PHI!D108+'@LAR'!D108+'@ATL'!D108+NYG!D108+'@RAMS'!D108+SEA!D108+'@GBP'!D108+'@MIN'!D108+RAMS!D108+'@STL'!D108+SFO!D108+ATL!D108</f>
        <v>14</v>
      </c>
      <c r="E108" s="12">
        <f>+D108/C108*100</f>
        <v>53.84615384615385</v>
      </c>
      <c r="F108">
        <f>+KCC!F108+'@DEN'!F108+TBB!F108+'@SFO'!F108+PHI!F108+'@LAR'!F108+'@ATL'!F108+NYG!F108+'@RAMS'!F108+SEA!F108+'@GBP'!F108+'@MIN'!F108+RAMS!F108+'@STL'!F108+SFO!F108+ATL!F108</f>
        <v>114</v>
      </c>
      <c r="G108">
        <f>+KCC!G108+'@DEN'!G108+TBB!G108+'@SFO'!G108+PHI!G108+'@LAR'!G108+'@ATL'!G108+NYG!G108+'@RAMS'!G108+SEA!G108+'@GBP'!G108+'@MIN'!G108+RAMS!G108+'@STL'!G108+SFO!G108+ATL!G108</f>
        <v>2</v>
      </c>
      <c r="H108">
        <f>MAX(KCC!H108,'@DEN'!H108,TBB!H108,'@SFO'!H108,PHI!H108,'@LAR'!H108,'@ATL'!H108,'@RAMS'!H108,SEA!H108,'@GBP'!H108,'@MIN'!H108,RAMS!H108,'@STL'!H108,SFO!H108,ATL!H108,+NYG!H108)</f>
        <v>28</v>
      </c>
      <c r="I108">
        <f>+KCC!I108+'@DEN'!I108+TBB!I108+'@SFO'!I108+PHI!I108+'@LAR'!I108+'@ATL'!I108+NYG!I108+'@RAMS'!I108+SEA!I108+'@GBP'!I108+'@MIN'!I108+RAMS!I108+'@STL'!I108+SFO!I108+ATL!I108</f>
        <v>3</v>
      </c>
      <c r="J108" s="8">
        <f>+G108/C108*100</f>
        <v>7.6923076923076925</v>
      </c>
      <c r="K108" s="12">
        <f>+I108/C108*100</f>
        <v>11.538461538461538</v>
      </c>
      <c r="L108" s="12">
        <f>+F108/C108</f>
        <v>4.384615384615385</v>
      </c>
      <c r="M108" s="12">
        <f>100*(S108+U108+W108+Y108)/6</f>
        <v>51.28205128205129</v>
      </c>
      <c r="N108">
        <f>KCC!N108+'@DEN'!N108+TBB!N108+'@SFO'!N108+PHI!N108+'@LAR'!N108+'@ATL'!N108+NYG!N108+'@RAMS'!N108+SEA!N108+'@GBP'!N108+'@MIN'!N108+RAMS!N108+'@STL'!N108+SFO!N108+ATL!N108</f>
        <v>1</v>
      </c>
      <c r="R108">
        <f>+(E108-30)/20</f>
        <v>1.1923076923076923</v>
      </c>
      <c r="S108" s="2">
        <f>IF(R108&lt;0,0,IF(R108&gt;2.375,2.375,R108))</f>
        <v>1.1923076923076923</v>
      </c>
      <c r="T108" s="6">
        <f>+(L108-3)/4</f>
        <v>0.34615384615384626</v>
      </c>
      <c r="U108" s="2">
        <f>IF(T108&lt;0,0,IF(T108&gt;2.375,2.375,T108))</f>
        <v>0.34615384615384626</v>
      </c>
      <c r="V108">
        <f>+J108/5</f>
        <v>1.5384615384615385</v>
      </c>
      <c r="W108" s="2">
        <f>IF(V108&lt;0,0,IF(V108&gt;2.375,2.375,V108))</f>
        <v>1.5384615384615385</v>
      </c>
      <c r="X108">
        <f>(9.5-K108)/4</f>
        <v>-0.5096153846153846</v>
      </c>
      <c r="Y108" s="2">
        <f>IF(X108&lt;0,0,X108)</f>
        <v>0</v>
      </c>
    </row>
    <row r="109" spans="1:25" ht="12.75">
      <c r="A109" t="s">
        <v>127</v>
      </c>
      <c r="C109">
        <f>+KCC!C109+'@DEN'!C109+TBB!C109+'@SFO'!C109+PHI!C109+'@LAR'!C109+'@ATL'!C109+NYG!C109+'@RAMS'!C109+SEA!C109+'@GBP'!C109+'@MIN'!C109+RAMS!C109+'@STL'!C109+SFO!C109+ATL!C109</f>
        <v>0</v>
      </c>
      <c r="D109">
        <f>+KCC!D109+'@DEN'!D109+TBB!D109+'@SFO'!D109+PHI!D109+'@LAR'!D109+'@ATL'!D109+NYG!D109+'@RAMS'!D109+SEA!D109+'@GBP'!D109+'@MIN'!D109+RAMS!D109+'@STL'!D109+SFO!D109+ATL!D109</f>
        <v>0</v>
      </c>
      <c r="E109" s="12" t="e">
        <f>+D109/C109*100</f>
        <v>#DIV/0!</v>
      </c>
      <c r="F109">
        <f>+KCC!F109+'@DEN'!F109+TBB!F109+'@SFO'!F109+PHI!F109+'@LAR'!F109+'@ATL'!F109+NYG!F109+'@RAMS'!F109+SEA!F109+'@GBP'!F109+'@MIN'!F109+RAMS!F109+'@STL'!F109+SFO!F109+ATL!F109</f>
        <v>0</v>
      </c>
      <c r="G109">
        <f>+KCC!G109+'@DEN'!G109+TBB!G109+'@SFO'!G109+PHI!G109+'@LAR'!G109+'@ATL'!G109+NYG!G109+'@RAMS'!G109+SEA!G109+'@GBP'!G109+'@MIN'!G109+RAMS!G109+'@STL'!G109+SFO!G109+ATL!G109</f>
        <v>0</v>
      </c>
      <c r="H109">
        <f>MAX(KCC!H109,'@DEN'!H109,TBB!H109,'@SFO'!H109,PHI!H109,'@LAR'!H109,'@ATL'!H109,'@RAMS'!H109,SEA!H109,'@GBP'!H109,'@MIN'!H109,RAMS!H109,'@STL'!H109,SFO!H109,ATL!H109,+NYG!H109)</f>
        <v>0</v>
      </c>
      <c r="I109">
        <f>+KCC!I109+'@DEN'!I109+TBB!I109+'@SFO'!I109+PHI!I109+'@LAR'!I109+'@ATL'!I109+NYG!I109+'@RAMS'!I109+SEA!I109+'@GBP'!I109+'@MIN'!I109+RAMS!I109+'@STL'!I109+SFO!I109+ATL!I109</f>
        <v>0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N109">
        <f>KCC!N109+'@DEN'!N109+TBB!N109+'@SFO'!N109+PHI!N109+'@LAR'!N109+'@ATL'!N109+NYG!N109+'@RAMS'!N109+SEA!N109+'@GBP'!N109+'@MIN'!N109+RAMS!N109+'@STL'!N109+SFO!N109+ATL!N109</f>
        <v>0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C110">
        <f>+KCC!C110+'@DEN'!C110+TBB!C110+'@SFO'!C110+PHI!C110+'@LAR'!C110+'@ATL'!C110+NYG!C110+'@RAMS'!C110+SEA!C110+'@GBP'!C110+'@MIN'!C110+RAMS!C110+'@STL'!C110+SFO!C110+ATL!C110</f>
        <v>1</v>
      </c>
      <c r="D110">
        <f>+KCC!D110+'@DEN'!D110+TBB!D110+'@SFO'!D110+PHI!D110+'@LAR'!D110+'@ATL'!D110+NYG!D110+'@RAMS'!D110+SEA!D110+'@GBP'!D110+'@MIN'!D110+RAMS!D110+'@STL'!D110+SFO!D110+ATL!D110</f>
        <v>1</v>
      </c>
      <c r="E110" s="12">
        <f>+D110/C110*100</f>
        <v>100</v>
      </c>
      <c r="F110">
        <f>+KCC!F110+'@DEN'!F110+TBB!F110+'@SFO'!F110+PHI!F110+'@LAR'!F110+'@ATL'!F110+NYG!F110+'@RAMS'!F110+SEA!F110+'@GBP'!F110+'@MIN'!F110+RAMS!F110+'@STL'!F110+SFO!F110+ATL!F110</f>
        <v>52</v>
      </c>
      <c r="G110">
        <f>+KCC!G110+'@DEN'!G110+TBB!G110+'@SFO'!G110+PHI!G110+'@LAR'!G110+'@ATL'!G110+NYG!G110+'@RAMS'!G110+SEA!G110+'@GBP'!G110+'@MIN'!G110+RAMS!G110+'@STL'!G110+SFO!G110+ATL!G110</f>
        <v>0</v>
      </c>
      <c r="H110">
        <f>MAX(KCC!H110,'@DEN'!H110,TBB!H110,'@SFO'!H110,PHI!H110,'@LAR'!H110,'@ATL'!H110,'@RAMS'!H110,SEA!H110,'@GBP'!H110,'@MIN'!H110,RAMS!H110,'@STL'!H110,SFO!H110,ATL!H110,+NYG!H110)</f>
        <v>52</v>
      </c>
      <c r="I110">
        <f>+KCC!I110+'@DEN'!I110+TBB!I110+'@SFO'!I110+PHI!I110+'@LAR'!I110+'@ATL'!I110+NYG!I110+'@RAMS'!I110+SEA!I110+'@GBP'!I110+'@MIN'!I110+RAMS!I110+'@STL'!I110+SFO!I110+ATL!I110</f>
        <v>0</v>
      </c>
      <c r="J110" s="8">
        <f>+G110/C110*100</f>
        <v>0</v>
      </c>
      <c r="K110" s="12">
        <f>+I110/C110*100</f>
        <v>0</v>
      </c>
      <c r="L110" s="12">
        <f>+F110/C110</f>
        <v>52</v>
      </c>
      <c r="M110" s="12">
        <f>100*(S110+U110+W110+Y110)/6</f>
        <v>118.75</v>
      </c>
      <c r="N110">
        <f>KCC!N110+'@DEN'!N110+TBB!N110+'@SFO'!N110+PHI!N110+'@LAR'!N110+'@ATL'!N110+NYG!N110+'@RAMS'!N110+SEA!N110+'@GBP'!N110+'@MIN'!N110+RAMS!N110+'@STL'!N110+SFO!N110+ATL!N110</f>
        <v>0</v>
      </c>
      <c r="R110">
        <f>+(E110-30)/20</f>
        <v>3.5</v>
      </c>
      <c r="S110" s="2">
        <f>IF(R110&lt;0,0,IF(R110&gt;2.375,2.375,R110))</f>
        <v>2.375</v>
      </c>
      <c r="T110" s="6">
        <f>+(L110-3)/4</f>
        <v>12.25</v>
      </c>
      <c r="U110" s="2">
        <f>IF(T110&lt;0,0,IF(T110&gt;2.375,2.375,T110))</f>
        <v>2.375</v>
      </c>
      <c r="V110">
        <f>+J110/5</f>
        <v>0</v>
      </c>
      <c r="W110" s="2">
        <f>IF(V110&lt;0,0,IF(V110&gt;2.375,2.375,V110))</f>
        <v>0</v>
      </c>
      <c r="X110">
        <f>(9.5-K110)/4</f>
        <v>2.375</v>
      </c>
      <c r="Y110" s="2">
        <f>IF(X110&lt;0,0,X110)</f>
        <v>2.375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f>+KCC!C114+'@DEN'!C114+TBB!C114+'@SFO'!C114+PHI!C114+'@LAR'!C114+'@ATL'!C114+NYG!C114+'@RAMS'!C114+SEA!C114+'@GBP'!C114+'@MIN'!C114+RAMS!C114+'@STL'!C114+SFO!C114+ATL!C114</f>
        <v>26</v>
      </c>
      <c r="D114">
        <f>+KCC!D114+'@DEN'!D114+TBB!D114+'@SFO'!D114+PHI!D114+'@LAR'!D114+'@ATL'!D114+NYG!D114+'@RAMS'!D114+SEA!D114+'@GBP'!D114+'@MIN'!D114+RAMS!D114+'@STL'!D114+SFO!D114+ATL!D114</f>
        <v>14</v>
      </c>
      <c r="E114">
        <f>+KCC!E114+'@DEN'!E114+TBB!E114+'@SFO'!E114+PHI!E114+'@LAR'!E114+'@ATL'!E114+NYG!E114+'@RAMS'!E114+SEA!E114+'@GBP'!E114+'@MIN'!E114+RAMS!E114+'@STL'!E114+SFO!E114+ATL!E114</f>
        <v>140</v>
      </c>
      <c r="F114" s="12">
        <f>+E114/C114</f>
        <v>5.384615384615385</v>
      </c>
      <c r="G114">
        <f>MAX(KCC!G114,'@DEN'!G114,TBB!G114,'@SFO'!G114,PHI!G114,'@LAR'!G114,'@ATL'!G114,'@RAMS'!G114,SEA!G114,'@GBP'!G114,'@MIN'!G114,RAMS!G114,'@STL'!G114,SFO!G114,ATL!G114,+NYG!G114)</f>
        <v>21</v>
      </c>
      <c r="H114">
        <f>+KCC!H114+'@DEN'!H114+TBB!H114+'@SFO'!H114+PHI!H114+'@LAR'!H114+'@ATL'!H114+NYG!H114+'@RAMS'!H114+SEA!H114+'@GBP'!H114+'@MIN'!H114+RAMS!H114+'@STL'!H114+SFO!H114+ATL!H114</f>
        <v>0</v>
      </c>
      <c r="I114">
        <f>KCC!I114+'@DEN'!I114+TBB!I114+'@SFO'!I114+PHI!I114+'@LAR'!I114+'@ATL'!I114+NYG!I114+'@RAMS'!I114+SEA!I114+'@GBP'!I114+'@MIN'!I114+RAMS!I114+'@STL'!I114+SFO!I114+ATL!I114</f>
        <v>0</v>
      </c>
    </row>
    <row r="115" spans="1:9" ht="12.75">
      <c r="A115" t="s">
        <v>117</v>
      </c>
      <c r="C115">
        <f>+KCC!C115+'@DEN'!C115+TBB!C115+'@SFO'!C115+PHI!C115+'@LAR'!C115+'@ATL'!C115+NYG!C115+'@RAMS'!C115+SEA!C115+'@GBP'!C115+'@MIN'!C115+RAMS!C115+'@STL'!C115+SFO!C115+ATL!C115</f>
        <v>4</v>
      </c>
      <c r="D115">
        <f>+KCC!D115+'@DEN'!D115+TBB!D115+'@SFO'!D115+PHI!D115+'@LAR'!D115+'@ATL'!D115+NYG!D115+'@RAMS'!D115+SEA!D115+'@GBP'!D115+'@MIN'!D115+RAMS!D115+'@STL'!D115+SFO!D115+ATL!D115</f>
        <v>5</v>
      </c>
      <c r="E115">
        <f>+KCC!E115+'@DEN'!E115+TBB!E115+'@SFO'!E115+PHI!E115+'@LAR'!E115+'@ATL'!E115+NYG!E115+'@RAMS'!E115+SEA!E115+'@GBP'!E115+'@MIN'!E115+RAMS!E115+'@STL'!E115+SFO!E115+ATL!E115</f>
        <v>16</v>
      </c>
      <c r="F115" s="12">
        <f>+E115/C115</f>
        <v>4</v>
      </c>
      <c r="G115">
        <f>MAX(KCC!G115,'@DEN'!G115,TBB!G115,'@SFO'!G115,PHI!G115,'@LAR'!G115,'@ATL'!G115,'@RAMS'!G115,SEA!G115,'@GBP'!G115,'@MIN'!G115,RAMS!G115,'@STL'!G115,SFO!G115,ATL!G115,+NYG!G115)</f>
        <v>9</v>
      </c>
      <c r="H115">
        <f>+KCC!H115+'@DEN'!H115+TBB!H115+'@SFO'!H115+PHI!H115+'@LAR'!H115+'@ATL'!H115+NYG!H115+'@RAMS'!H115+SEA!H115+'@GBP'!H115+'@MIN'!H115+RAMS!H115+'@STL'!H115+SFO!H115+ATL!H115</f>
        <v>0</v>
      </c>
      <c r="I115">
        <f>KCC!I115+'@DEN'!I115+TBB!I115+'@SFO'!I115+PHI!I115+'@LAR'!I115+'@ATL'!I115+NYG!I115+'@RAMS'!I115+SEA!I115+'@GBP'!I115+'@MIN'!I115+RAMS!I115+'@STL'!I115+SFO!I115+ATL!I115</f>
        <v>1</v>
      </c>
    </row>
    <row r="116" spans="1:9" ht="12.75">
      <c r="A116" t="s">
        <v>130</v>
      </c>
      <c r="C116">
        <f>+KCC!C116+'@DEN'!C116+TBB!C116+'@SFO'!C116+PHI!C116+'@LAR'!C116+'@ATL'!C116+NYG!C116+'@RAMS'!C116+SEA!C116+'@GBP'!C116+'@MIN'!C116+RAMS!C116+'@STL'!C116+SFO!C116+ATL!C116</f>
        <v>0</v>
      </c>
      <c r="D116">
        <f>+KCC!D116+'@DEN'!D116+TBB!D116+'@SFO'!D116+PHI!D116+'@LAR'!D116+'@ATL'!D116+NYG!D116+'@RAMS'!D116+SEA!D116+'@GBP'!D116+'@MIN'!D116+RAMS!D116+'@STL'!D116+SFO!D116+ATL!D116</f>
        <v>0</v>
      </c>
      <c r="E116">
        <f>+KCC!E116+'@DEN'!E116+TBB!E116+'@SFO'!E116+PHI!E116+'@LAR'!E116+'@ATL'!E116+NYG!E116+'@RAMS'!E116+SEA!E116+'@GBP'!E116+'@MIN'!E116+RAMS!E116+'@STL'!E116+SFO!E116+ATL!E116</f>
        <v>0</v>
      </c>
      <c r="F116" s="12" t="e">
        <f>+E116/C116</f>
        <v>#DIV/0!</v>
      </c>
      <c r="G116">
        <f>MAX(KCC!G116,'@DEN'!G116,TBB!G116,'@SFO'!G116,PHI!G116,'@LAR'!G116,'@ATL'!G116,'@RAMS'!G116,SEA!G116,'@GBP'!G116,'@MIN'!G116,RAMS!G116,'@STL'!G116,SFO!G116,ATL!G116,+NYG!G116)</f>
        <v>0</v>
      </c>
      <c r="H116">
        <f>+KCC!H116+'@DEN'!H116+TBB!H116+'@SFO'!H116+PHI!H116+'@LAR'!H116+'@ATL'!H116+NYG!H116+'@RAMS'!H116+SEA!H116+'@GBP'!H116+'@MIN'!H116+RAMS!H116+'@STL'!H116+SFO!H116+ATL!H116</f>
        <v>0</v>
      </c>
      <c r="I116">
        <f>KCC!I116+'@DEN'!I116+TBB!I116+'@SFO'!I116+PHI!I116+'@LAR'!I116+'@ATL'!I116+NYG!I116+'@RAMS'!I116+SEA!I116+'@GBP'!I116+'@MIN'!I116+RAMS!I116+'@STL'!I116+SFO!I116+ATL!I116</f>
        <v>0</v>
      </c>
    </row>
    <row r="117" spans="1:9" ht="12.75">
      <c r="A117" t="s">
        <v>121</v>
      </c>
      <c r="C117">
        <f>+KCC!C117+'@DEN'!C117+TBB!C117+'@SFO'!C117+PHI!C117+'@LAR'!C117+'@ATL'!C117+NYG!C117+'@RAMS'!C117+SEA!C117+'@GBP'!C117+'@MIN'!C117+RAMS!C117+'@STL'!C117+SFO!C117+ATL!C117</f>
        <v>0</v>
      </c>
      <c r="D117">
        <f>+KCC!D117+'@DEN'!D117+TBB!D117+'@SFO'!D117+PHI!D117+'@LAR'!D117+'@ATL'!D117+NYG!D117+'@RAMS'!D117+SEA!D117+'@GBP'!D117+'@MIN'!D117+RAMS!D117+'@STL'!D117+SFO!D117+ATL!D117</f>
        <v>0</v>
      </c>
      <c r="E117">
        <f>+KCC!E117+'@DEN'!E117+TBB!E117+'@SFO'!E117+PHI!E117+'@LAR'!E117+'@ATL'!E117+NYG!E117+'@RAMS'!E117+SEA!E117+'@GBP'!E117+'@MIN'!E117+RAMS!E117+'@STL'!E117+SFO!E117+ATL!E117</f>
        <v>0</v>
      </c>
      <c r="F117" s="12" t="e">
        <f>+E117/C117</f>
        <v>#DIV/0!</v>
      </c>
      <c r="G117">
        <f>MAX(KCC!G117,'@DEN'!G117,TBB!G117,'@SFO'!G117,PHI!G117,'@LAR'!G117,'@ATL'!G117,'@RAMS'!G117,SEA!G117,'@GBP'!G117,'@MIN'!G117,RAMS!G117,'@STL'!G117,SFO!G117,ATL!G117,+NYG!G117)</f>
        <v>0</v>
      </c>
      <c r="H117">
        <f>+KCC!H117+'@DEN'!H117+TBB!H117+'@SFO'!H117+PHI!H117+'@LAR'!H117+'@ATL'!H117+NYG!H117+'@RAMS'!H117+SEA!H117+'@GBP'!H117+'@MIN'!H117+RAMS!H117+'@STL'!H117+SFO!H117+ATL!H117</f>
        <v>0</v>
      </c>
      <c r="I117">
        <f>KCC!I117+'@DEN'!I117+TBB!I117+'@SFO'!I117+PHI!I117+'@LAR'!I117+'@ATL'!I117+NYG!I117+'@RAMS'!I117+SEA!I117+'@GBP'!I117+'@MIN'!I117+RAMS!I117+'@STL'!I117+SFO!I117+ATL!I117</f>
        <v>0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f>+KCC!C120+'@DEN'!C120+TBB!C120+'@SFO'!C120+PHI!C120+'@LAR'!C120+'@ATL'!C120+NYG!C120+'@RAMS'!C120+SEA!C120+'@GBP'!C120+'@MIN'!C120+RAMS!C120+'@STL'!C120+SFO!C120+ATL!C120</f>
        <v>54</v>
      </c>
      <c r="D120">
        <f>+KCC!D120+'@DEN'!D120+TBB!D120+'@SFO'!D120+PHI!D120+'@LAR'!D120+'@ATL'!D120+NYG!D120+'@RAMS'!D120+SEA!D120+'@GBP'!D120+'@MIN'!D120+RAMS!D120+'@STL'!D120+SFO!D120+ATL!D120</f>
        <v>1144</v>
      </c>
      <c r="E120" s="12">
        <f aca="true" t="shared" si="4" ref="E120:E126">+D120/C120</f>
        <v>21.185185185185187</v>
      </c>
      <c r="F120">
        <f>MAX(KCC!F120,'@DEN'!F120,TBB!F120,'@SFO'!F120,PHI!F120,'@LAR'!F120,'@ATL'!F120,'@RAMS'!F120,SEA!F120,'@GBP'!F120,'@MIN'!F120,RAMS!F120,'@STL'!F120,SFO!F120,ATL!F120,+NYG!F120)</f>
        <v>63</v>
      </c>
      <c r="G120">
        <f>+KCC!G120+'@DEN'!G120+TBB!G120+'@SFO'!G120+PHI!G120+'@LAR'!G120+'@ATL'!G120+NYG!G120+'@RAMS'!G120+SEA!G120+'@GBP'!G120+'@MIN'!G120+RAMS!G120+'@STL'!G120+SFO!G120+ATL!G120</f>
        <v>0</v>
      </c>
      <c r="H120">
        <f>KCC!H120+'@DEN'!H120+TBB!H120+'@SFO'!H120+PHI!H120+'@LAR'!H120+'@ATL'!H120+NYG!H120+'@RAMS'!H120+SEA!H120+'@GBP'!H120+'@MIN'!H120+RAMS!H120+'@STL'!H120+SFO!H120+ATL!H120</f>
        <v>2</v>
      </c>
    </row>
    <row r="121" spans="1:8" ht="12.75">
      <c r="A121" t="s">
        <v>129</v>
      </c>
      <c r="C121">
        <f>+KCC!C121+'@DEN'!C121+TBB!C121+'@SFO'!C121+PHI!C121+'@LAR'!C121+'@ATL'!C121+NYG!C121+'@RAMS'!C121+SEA!C121+'@GBP'!C121+'@MIN'!C121+RAMS!C121+'@STL'!C121+SFO!C121+ATL!C121</f>
        <v>11</v>
      </c>
      <c r="D121">
        <f>+KCC!D121+'@DEN'!D121+TBB!D121+'@SFO'!D121+PHI!D121+'@LAR'!D121+'@ATL'!D121+NYG!D121+'@RAMS'!D121+SEA!D121+'@GBP'!D121+'@MIN'!D121+RAMS!D121+'@STL'!D121+SFO!D121+ATL!D121</f>
        <v>208</v>
      </c>
      <c r="E121" s="12">
        <f t="shared" si="4"/>
        <v>18.90909090909091</v>
      </c>
      <c r="F121">
        <f>MAX(KCC!F121,'@DEN'!F121,TBB!F121,'@SFO'!F121,PHI!F121,'@LAR'!F121,'@ATL'!F121,'@RAMS'!F121,SEA!F121,'@GBP'!F121,'@MIN'!F121,RAMS!F121,'@STL'!F121,SFO!F121,ATL!F121,+NYG!F121)</f>
        <v>43</v>
      </c>
      <c r="G121">
        <f>+KCC!G121+'@DEN'!G121+TBB!G121+'@SFO'!G121+PHI!G121+'@LAR'!G121+'@ATL'!G121+NYG!G121+'@RAMS'!G121+SEA!G121+'@GBP'!G121+'@MIN'!G121+RAMS!G121+'@STL'!G121+SFO!G121+ATL!G121</f>
        <v>0</v>
      </c>
      <c r="H121">
        <f>KCC!H121+'@DEN'!H121+TBB!H121+'@SFO'!H121+PHI!H121+'@LAR'!H121+'@ATL'!H121+NYG!H121+'@RAMS'!H121+SEA!H121+'@GBP'!H121+'@MIN'!H121+RAMS!H121+'@STL'!H121+SFO!H121+ATL!H121</f>
        <v>0</v>
      </c>
    </row>
    <row r="122" spans="1:8" ht="12.75">
      <c r="A122" t="s">
        <v>117</v>
      </c>
      <c r="C122">
        <f>+KCC!C122+'@DEN'!C122+TBB!C122+'@SFO'!C122+PHI!C122+'@LAR'!C122+'@ATL'!C122+NYG!C122+'@RAMS'!C122+SEA!C122+'@GBP'!C122+'@MIN'!C122+RAMS!C122+'@STL'!C122+SFO!C122+ATL!C122</f>
        <v>4</v>
      </c>
      <c r="D122">
        <f>+KCC!D122+'@DEN'!D122+TBB!D122+'@SFO'!D122+PHI!D122+'@LAR'!D122+'@ATL'!D122+NYG!D122+'@RAMS'!D122+SEA!D122+'@GBP'!D122+'@MIN'!D122+RAMS!D122+'@STL'!D122+SFO!D122+ATL!D122</f>
        <v>81</v>
      </c>
      <c r="E122" s="12">
        <f t="shared" si="4"/>
        <v>20.25</v>
      </c>
      <c r="F122">
        <f>MAX(KCC!F122,'@DEN'!F122,TBB!F122,'@SFO'!F122,PHI!F122,'@LAR'!F122,'@ATL'!F122,'@RAMS'!F122,SEA!F122,'@GBP'!F122,'@MIN'!F122,RAMS!F122,'@STL'!F122,SFO!F122,ATL!F122,+NYG!F122)</f>
        <v>27</v>
      </c>
      <c r="G122">
        <f>+KCC!G122+'@DEN'!G122+TBB!G122+'@SFO'!G122+PHI!G122+'@LAR'!G122+'@ATL'!G122+NYG!G122+'@RAMS'!G122+SEA!G122+'@GBP'!G122+'@MIN'!G122+RAMS!G122+'@STL'!G122+SFO!G122+ATL!G122</f>
        <v>0</v>
      </c>
      <c r="H122">
        <f>KCC!H122+'@DEN'!H122+TBB!H122+'@SFO'!H122+PHI!H122+'@LAR'!H122+'@ATL'!H122+NYG!H122+'@RAMS'!H122+SEA!H122+'@GBP'!H122+'@MIN'!H122+RAMS!H122+'@STL'!H122+SFO!H122+ATL!H122</f>
        <v>0</v>
      </c>
    </row>
    <row r="123" spans="1:8" ht="12.75">
      <c r="A123" t="s">
        <v>115</v>
      </c>
      <c r="C123">
        <f>+KCC!C123+'@DEN'!C123+TBB!C123+'@SFO'!C123+PHI!C123+'@LAR'!C123+'@ATL'!C123+NYG!C123+'@RAMS'!C123+SEA!C123+'@GBP'!C123+'@MIN'!C123+RAMS!C123+'@STL'!C123</f>
        <v>0</v>
      </c>
      <c r="D123">
        <f>+KCC!D123+'@DEN'!D123+TBB!D123+'@SFO'!D123+PHI!D123+'@LAR'!D123+'@ATL'!D123+NYG!D123+'@RAMS'!D123+SEA!D123+'@GBP'!D123+'@MIN'!D123+RAMS!D123+'@STL'!D123</f>
        <v>0</v>
      </c>
      <c r="E123" s="12" t="e">
        <f t="shared" si="4"/>
        <v>#DIV/0!</v>
      </c>
      <c r="F123">
        <f>MAX(KCC!F123,'@DEN'!F123,TBB!F123,'@SFO'!F123,PHI!F123,'@LAR'!F123,'@ATL'!F123,'@RAMS'!F123,SEA!F123,'@GBP'!F123,'@MIN'!F123,RAMS!F123,'@STL'!F123,SFO!F123,ATL!F123,+NYG!F123)</f>
        <v>0</v>
      </c>
      <c r="G123">
        <f>+KCC!G123+'@DEN'!G123+TBB!G123+'@SFO'!G123+PHI!G123+'@LAR'!G123+'@ATL'!G123+NYG!G123+'@RAMS'!G123+SEA!G123+'@GBP'!G123+'@MIN'!G123+RAMS!G123+'@STL'!G123</f>
        <v>0</v>
      </c>
      <c r="H123">
        <f>KCC!H123+'@DEN'!H123+TBB!H123+'@SFO'!H123+PHI!H123+'@LAR'!H123+'@ATL'!H123+NYG!H123+'@RAMS'!H123+SEA!H123+'@GBP'!H123+'@MIN'!H123+RAMS!H123+'@STL'!H123+SFO!H123+ATL!H123</f>
        <v>0</v>
      </c>
    </row>
    <row r="124" spans="1:8" ht="12.75">
      <c r="A124" t="s">
        <v>130</v>
      </c>
      <c r="C124">
        <f>+KCC!C124+'@DEN'!C124+TBB!C124+'@SFO'!C124+PHI!C124+'@LAR'!C124+'@ATL'!C124+NYG!C124+'@RAMS'!C124+SEA!C124+'@GBP'!C124+'@MIN'!C124+RAMS!C124+'@STL'!C124</f>
        <v>0</v>
      </c>
      <c r="D124">
        <f>+KCC!D124+'@DEN'!D124+TBB!D124+'@SFO'!D124+PHI!D124+'@LAR'!D124+'@ATL'!D124+NYG!D124+'@RAMS'!D124+SEA!D124+'@GBP'!D124+'@MIN'!D124+RAMS!D124+'@STL'!D124</f>
        <v>0</v>
      </c>
      <c r="E124" s="12" t="e">
        <f t="shared" si="4"/>
        <v>#DIV/0!</v>
      </c>
      <c r="F124">
        <f>MAX(KCC!F124,'@DEN'!F124,TBB!F124,'@SFO'!F124,PHI!F124,'@LAR'!F124,'@ATL'!F124,'@RAMS'!F124,SEA!F124,'@GBP'!F124,'@MIN'!F124,RAMS!F124,'@STL'!F124,SFO!F124,ATL!F124,+NYG!F124)</f>
        <v>0</v>
      </c>
      <c r="G124">
        <f>+KCC!G124+'@DEN'!G124+TBB!G124+'@SFO'!G124+PHI!G124+'@LAR'!G124+'@ATL'!G124+NYG!G124+'@RAMS'!G124+SEA!G124+'@GBP'!G124+'@MIN'!G124+RAMS!G124+'@STL'!G124</f>
        <v>0</v>
      </c>
      <c r="H124">
        <f>KCC!H124+'@DEN'!H124+TBB!H124+'@SFO'!H124+PHI!H124+'@LAR'!H124+'@ATL'!H124+NYG!H124+'@RAMS'!H124+SEA!H124+'@GBP'!H124+'@MIN'!H124+RAMS!H124+'@STL'!H124+SFO!H124+ATL!H124</f>
        <v>0</v>
      </c>
    </row>
    <row r="125" spans="1:8" ht="12.75">
      <c r="A125" t="s">
        <v>128</v>
      </c>
      <c r="C125">
        <f>+KCC!C125+'@DEN'!C125+TBB!C125+'@SFO'!C125+PHI!C125+'@LAR'!C125+'@ATL'!C125+NYG!C125+'@RAMS'!C125+SEA!C125+'@GBP'!C125+'@MIN'!C125+RAMS!C125+'@STL'!C125</f>
        <v>0</v>
      </c>
      <c r="D125">
        <f>+KCC!D125+'@DEN'!D125+TBB!D125+'@SFO'!D125+PHI!D125+'@LAR'!D125+'@ATL'!D125+NYG!D125+'@RAMS'!D125+SEA!D125+'@GBP'!D125+'@MIN'!D125+RAMS!D125+'@STL'!D125</f>
        <v>0</v>
      </c>
      <c r="E125" s="12" t="e">
        <f t="shared" si="4"/>
        <v>#DIV/0!</v>
      </c>
      <c r="F125">
        <f>MAX(KCC!F125,'@DEN'!F125,TBB!F125,'@SFO'!F125,PHI!F125,'@LAR'!F125,'@ATL'!F125,'@RAMS'!F125,SEA!F125,'@GBP'!F125,'@MIN'!F125,RAMS!F125,'@STL'!F125,SFO!F125,ATL!F125,+NYG!F125)</f>
        <v>0</v>
      </c>
      <c r="G125">
        <f>+KCC!G125+'@DEN'!G125+TBB!G125+'@SFO'!G125+PHI!G125+'@LAR'!G125+'@ATL'!G125+NYG!G125+'@RAMS'!G125+SEA!G125+'@GBP'!G125+'@MIN'!G125+RAMS!G125+'@STL'!G125</f>
        <v>0</v>
      </c>
      <c r="H125">
        <f>KCC!H125+'@DEN'!H125+TBB!H125+'@SFO'!H125+PHI!H125+'@LAR'!H125+'@ATL'!H125+NYG!H125+'@RAMS'!H125+SEA!H125+'@GBP'!H125+'@MIN'!H125+RAMS!H125+'@STL'!H125+SFO!H125+ATL!H125</f>
        <v>0</v>
      </c>
    </row>
    <row r="126" spans="1:8" ht="12.75">
      <c r="A126" t="s">
        <v>131</v>
      </c>
      <c r="C126">
        <f>+KCC!C126+'@DEN'!C126+TBB!C126+'@SFO'!C126+PHI!C126+'@LAR'!C126+'@ATL'!C126+NYG!C126+'@RAMS'!C126+SEA!C126+'@GBP'!C126+'@MIN'!C126+RAMS!C126+'@STL'!C126</f>
        <v>1</v>
      </c>
      <c r="D126">
        <f>+KCC!D126+'@DEN'!D126+TBB!D126+'@SFO'!D126+PHI!D126+'@LAR'!D126+'@ATL'!D126+NYG!D126+'@RAMS'!D126+SEA!D126+'@GBP'!D126+'@MIN'!D126+RAMS!D126+'@STL'!D126</f>
        <v>56</v>
      </c>
      <c r="E126" s="12">
        <f t="shared" si="4"/>
        <v>56</v>
      </c>
      <c r="F126">
        <f>MAX(KCC!F126,'@DEN'!F126,TBB!F126,'@SFO'!F126,PHI!F126,'@LAR'!F126,'@ATL'!F126,'@RAMS'!F126,SEA!F126,'@GBP'!F126,'@MIN'!F126,RAMS!F126,'@STL'!F126,SFO!F126,ATL!F126,+NYG!F126)</f>
        <v>56</v>
      </c>
      <c r="G126">
        <f>+KCC!G126+'@DEN'!G126+TBB!G126+'@SFO'!G126+PHI!G126+'@LAR'!G126+'@ATL'!G126+NYG!G126+'@RAMS'!G126+SEA!G126+'@GBP'!G126+'@MIN'!G126+RAMS!G126+'@STL'!G126</f>
        <v>0</v>
      </c>
      <c r="H126">
        <f>KCC!H126+'@DEN'!H126+TBB!H126+'@SFO'!H126+PHI!H126+'@LAR'!H126+'@ATL'!H126+NYG!H126+'@RAMS'!H126+SEA!H126+'@GBP'!H126+'@MIN'!H126+RAMS!H126+'@STL'!H126+SFO!H126+ATL!H126</f>
        <v>0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f>+KCC!C129+'@DEN'!C129+TBB!C129+'@SFO'!C129+PHI!C129+'@LAR'!C129+'@ATL'!C129+NYG!C129+'@RAMS'!C129+SEA!C129+'@GBP'!C129+'@MIN'!C129+RAMS!C129+'@STL'!C129+SFO!C129+ATL!C129</f>
        <v>89</v>
      </c>
      <c r="D129">
        <f>+KCC!D129+'@DEN'!D129+TBB!D129+'@SFO'!D129+PHI!D129+'@LAR'!D129+'@ATL'!D129+NYG!D129+'@RAMS'!D129+SEA!D129+'@GBP'!D129+'@MIN'!D129+RAMS!D129+'@STL'!D129+SFO!D129+ATL!D129</f>
        <v>3826</v>
      </c>
      <c r="E129" s="12">
        <f>+D129/C129</f>
        <v>42.98876404494382</v>
      </c>
      <c r="F129">
        <f>MAX(KCC!F129,'@DEN'!F129,TBB!F129,'@SFO'!F129,PHI!F129,'@LAR'!F129,'@ATL'!F129,'@RAMS'!F129,SEA!F129,'@GBP'!F129,'@MIN'!F129,RAMS!F129,'@STL'!F129,SFO!F129,ATL!F129,+NYG!F129)</f>
        <v>62</v>
      </c>
      <c r="G129">
        <f>+KCC!G129+'@DEN'!G129+TBB!G129+'@SFO'!G129+PHI!G129+'@LAR'!G129+'@ATL'!G129+NYG!G129+'@RAMS'!G129+SEA!G129+'@GBP'!G129+'@MIN'!G129+RAMS!G129+'@STL'!G129+SFO!G129+ATL!G129</f>
        <v>1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f>+KCC!C132+'@DEN'!C132+TBB!C132+'@SFO'!C132+PHI!C132+'@LAR'!C132+'@ATL'!C132+NYG!C132+'@RAMS'!C132+SEA!C132+'@GBP'!C132+'@MIN'!C132+RAMS!C132+'@STL'!C132+SFO!C132+ATL!C132</f>
        <v>63</v>
      </c>
      <c r="D132">
        <f>+KCC!D132+'@DEN'!D132+TBB!D132+'@SFO'!D132+PHI!D132+'@LAR'!D132+'@ATL'!D132+NYG!D132+'@RAMS'!D132+SEA!D132+'@GBP'!D132+'@MIN'!D132+RAMS!D132+'@STL'!D132+SFO!D132+ATL!D132</f>
        <v>36</v>
      </c>
      <c r="E132">
        <f>+KCC!E132+'@DEN'!E132+TBB!E132+'@SFO'!E132+PHI!E132+'@LAR'!E132+'@ATL'!E132+NYG!E132+'@RAMS'!E132+SEA!E132+'@GBP'!E132+'@MIN'!E132+RAMS!E132+'@STL'!E132+SFO!E132+ATL!E132</f>
        <v>20</v>
      </c>
      <c r="F132">
        <f>+KCC!F132+'@DEN'!F132+TBB!F132+'@SFO'!F132+PHI!F132+'@LAR'!F132+'@ATL'!F132+NYG!F132+'@RAMS'!F132+SEA!F132+'@GBP'!F132+'@MIN'!F132+RAMS!F132+'@STL'!F132+SFO!F132+ATL!F132</f>
        <v>19</v>
      </c>
      <c r="G132">
        <f>+KCC!G132+'@DEN'!G132+TBB!G132+'@SFO'!G132+PHI!G132+'@LAR'!G132+'@ATL'!G132+NYG!G132+'@RAMS'!G132+SEA!G132+'@GBP'!G132+'@MIN'!G132+RAMS!G132+'@STL'!G132+SFO!G132+ATL!G132</f>
        <v>43</v>
      </c>
      <c r="H132">
        <f>+KCC!H132+'@DEN'!H132+TBB!H132+'@SFO'!H132+PHI!H132+'@LAR'!H132+'@ATL'!H132+NYG!H132+'@RAMS'!H132+SEA!H132+'@GBP'!H132+'@MIN'!H132+RAMS!H132+'@STL'!H132+SFO!H132+ATL!H132</f>
        <v>34</v>
      </c>
      <c r="I132" s="12">
        <f>+H132/G132*100</f>
        <v>79.06976744186046</v>
      </c>
      <c r="J132">
        <f>MAX(KCC!J132,'@DEN'!J132,TBB!J132,'@SFO'!J132,PHI!J132,'@LAR'!J132,'@ATL'!J132,'@RAMS'!J132,SEA!J132,'@GBP'!J132,'@MIN'!J132,RAMS!J132,'@STL'!J132,SFO!J132,ATL!J132,+NYG!J132)</f>
        <v>54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133</v>
      </c>
      <c r="C135">
        <f>+KCC!C135+'@DEN'!C135+TBB!C135+'@SFO'!C135+PHI!C135+'@LAR'!C135+'@ATL'!C135+NYG!C135+'@RAMS'!C135+SEA!C135+'@GBP'!C135+'@MIN'!C135+RAMS!C135+'@STL'!C135+SFO!C135+ATL!C135</f>
        <v>6</v>
      </c>
      <c r="D135">
        <f>+KCC!D135+'@DEN'!D135+TBB!D135+'@SFO'!D135+PHI!D135+'@LAR'!D135+'@ATL'!D135+NYG!D135+'@RAMS'!D135+SEA!D135+'@GBP'!D135+'@MIN'!D135+RAMS!D135+'@STL'!D135+SFO!D135+ATL!D135</f>
        <v>53</v>
      </c>
      <c r="E135" s="12">
        <f>+D135/C135</f>
        <v>8.833333333333334</v>
      </c>
      <c r="F135">
        <f>MAX(KCC!F135,'@DEN'!F135,TBB!F135,'@SFO'!F135,PHI!F135,'@LAR'!F135,'@ATL'!F135,'@RAMS'!F135,SEA!F135,'@GBP'!F135,'@MIN'!F135,RAMS!F135,'@STL'!F135,SFO!F135,ATL!F135,+NYG!F135)</f>
        <v>40</v>
      </c>
      <c r="G135">
        <f>+KCC!G135+'@DEN'!G135+TBB!G135+'@SFO'!G135+PHI!G135+'@LAR'!G135+'@ATL'!G135+NYG!G135+'@RAMS'!G135+SEA!G135+'@GBP'!G135+'@MIN'!G135+RAMS!G135+'@STL'!G135+SFO!G135+ATL!G135</f>
        <v>0</v>
      </c>
      <c r="H135">
        <f>KCC!H135+'@DEN'!H135+TBB!H135+'@SFO'!H135+PHI!H135+'@LAR'!H135+'@ATL'!H135+NYG!H135+'@RAMS'!H135+SEA!H135+'@GBP'!H135+'@MIN'!H135+RAMS!H135+'@STL'!H135+SFO!H135+ATL!H135</f>
        <v>2</v>
      </c>
    </row>
    <row r="136" spans="1:8" ht="12.75">
      <c r="A136" t="s">
        <v>134</v>
      </c>
      <c r="C136">
        <f>+KCC!C136+'@DEN'!C136+TBB!C136+'@SFO'!C136+PHI!C136+'@LAR'!C136+'@ATL'!C136+NYG!C136+'@RAMS'!C136+SEA!C136+'@GBP'!C136+'@MIN'!C136+RAMS!C136+'@STL'!C136+SFO!C136+ATL!C136</f>
        <v>1</v>
      </c>
      <c r="D136">
        <f>+KCC!D136+'@DEN'!D136+TBB!D136+'@SFO'!D136+PHI!D136+'@LAR'!D136+'@ATL'!D136+NYG!D136+'@RAMS'!D136+SEA!D136+'@GBP'!D136+'@MIN'!D136+RAMS!D136+'@STL'!D136+SFO!D136+SFO!D136</f>
        <v>26</v>
      </c>
      <c r="E136" s="12">
        <f aca="true" t="shared" si="5" ref="E136:E143">+D136/C136</f>
        <v>26</v>
      </c>
      <c r="F136">
        <f>MAX(KCC!F136,'@DEN'!F136,TBB!F136,'@SFO'!F136,PHI!F136,'@LAR'!F136,'@ATL'!F136,'@RAMS'!F136,SEA!F136,'@GBP'!F136,'@MIN'!F136,RAMS!F136,'@STL'!F136,SFO!F136,ATL!F136,+NYG!F136)</f>
        <v>26</v>
      </c>
      <c r="G136">
        <f>+KCC!G136+'@DEN'!G136+TBB!G136+'@SFO'!G136+PHI!G136+'@LAR'!G136+'@ATL'!G136+NYG!G136+'@RAMS'!G136+SEA!G136+'@GBP'!G136+'@MIN'!G136+RAMS!G136+'@STL'!G136+SFO!G136+ATL!G136</f>
        <v>1</v>
      </c>
      <c r="H136">
        <f>KCC!H136+'@DEN'!H136+TBB!H136+'@SFO'!H136+PHI!H136+'@LAR'!H136+'@ATL'!H136+NYG!H136+'@RAMS'!H136+SEA!H136+'@GBP'!H136+'@MIN'!H136+RAMS!H136+'@STL'!H136+SFO!H136+ATL!H136</f>
        <v>0</v>
      </c>
    </row>
    <row r="137" spans="1:8" ht="12.75">
      <c r="A137" t="s">
        <v>135</v>
      </c>
      <c r="C137">
        <f>+KCC!C137+'@DEN'!C137+TBB!C137+'@SFO'!C137+PHI!C137+'@LAR'!C137+'@ATL'!C137+NYG!C137+'@RAMS'!C137+SEA!C137+'@GBP'!C137+'@MIN'!C137+RAMS!C137+'@STL'!C137+SFO!C137+ATL!C137</f>
        <v>1</v>
      </c>
      <c r="D137">
        <f>+KCC!D137+'@DEN'!D137+TBB!D137+'@SFO'!D137+PHI!D137+'@LAR'!D137+'@ATL'!D137+NYG!D137+'@RAMS'!D137+SEA!D137+'@GBP'!D137+'@MIN'!D137+RAMS!D137+'@STL'!D137+SFO!D137+ATL!D137</f>
        <v>44</v>
      </c>
      <c r="E137" s="12">
        <f t="shared" si="5"/>
        <v>44</v>
      </c>
      <c r="F137">
        <f>MAX(KCC!F137,'@DEN'!F137,TBB!F137,'@SFO'!F137,PHI!F137,'@LAR'!F137,'@ATL'!F137,'@RAMS'!F137,SEA!F137,'@GBP'!F137,'@MIN'!F137,RAMS!F137,'@STL'!F137,SFO!F137,ATL!F137,+NYG!F137)</f>
        <v>44</v>
      </c>
      <c r="G137">
        <f>+KCC!G137+'@DEN'!G137+TBB!G137+'@SFO'!G137+PHI!G137+'@LAR'!G137+'@ATL'!G137+NYG!G137+'@RAMS'!G137+SEA!G137+'@GBP'!G137+'@MIN'!G137+RAMS!G137+'@STL'!G137+SFO!G137+ATL!G137</f>
        <v>0</v>
      </c>
      <c r="H137">
        <f>KCC!H137+'@DEN'!H137+TBB!H137+'@SFO'!H137+PHI!H137+'@LAR'!H137+'@ATL'!H137+NYG!H137+'@RAMS'!H137+SEA!H137+'@GBP'!H137+'@MIN'!H137+RAMS!H137+'@STL'!H137+SFO!H137+ATL!H137</f>
        <v>0</v>
      </c>
    </row>
    <row r="138" spans="1:8" ht="12.75">
      <c r="A138" t="s">
        <v>129</v>
      </c>
      <c r="C138">
        <f>+KCC!C138+'@DEN'!C138+TBB!C138+'@SFO'!C138+PHI!C138+'@LAR'!C138+'@ATL'!C138+NYG!C138+'@RAMS'!C138+SEA!C138+'@GBP'!C138+'@MIN'!C138+RAMS!C138+'@STL'!C138+SFO!C138+ATL!C138</f>
        <v>3</v>
      </c>
      <c r="D138">
        <f>+KCC!D138+'@DEN'!D138+TBB!D138+'@SFO'!D138+PHI!D138+'@LAR'!D138+'@ATL'!D138+NYG!D138+'@RAMS'!D138+SEA!D138+'@GBP'!D138+'@MIN'!D138+RAMS!D138+'@STL'!D138+SFO!D138+ATL!D138</f>
        <v>26</v>
      </c>
      <c r="E138" s="12">
        <f t="shared" si="5"/>
        <v>8.666666666666666</v>
      </c>
      <c r="F138">
        <f>MAX(KCC!F138,'@DEN'!F138,TBB!F138,'@SFO'!F138,PHI!F138,'@LAR'!F138,'@ATL'!F138,'@RAMS'!F138,SEA!F138,'@GBP'!F138,'@MIN'!F138,RAMS!F138,'@STL'!F138,SFO!F138,ATL!F138,+NYG!F138)</f>
        <v>21</v>
      </c>
      <c r="G138">
        <f>+KCC!G138+'@DEN'!G138+TBB!G138+'@SFO'!G138+PHI!G138+'@LAR'!G138+'@ATL'!G138+NYG!G138+'@RAMS'!G138+SEA!G138+'@GBP'!G138+'@MIN'!G138+RAMS!G138+'@STL'!G138+SFO!G138+ATL!G138</f>
        <v>0</v>
      </c>
      <c r="H138">
        <f>KCC!H138+'@DEN'!H138+TBB!H138+'@SFO'!H138+PHI!H138+'@LAR'!H138+'@ATL'!H138+NYG!H138+'@RAMS'!H138+SEA!H138+'@GBP'!H138+'@MIN'!H138+RAMS!H138+'@STL'!H138+SFO!H138+ATL!H138</f>
        <v>0</v>
      </c>
    </row>
    <row r="139" spans="1:8" ht="12.75">
      <c r="A139" t="s">
        <v>136</v>
      </c>
      <c r="C139">
        <f>+KCC!C139+'@DEN'!C139+TBB!C139+'@SFO'!C139+PHI!C139+'@LAR'!C139+'@ATL'!C139+NYG!C139+'@RAMS'!C139+SEA!C139+'@GBP'!C139+'@MIN'!C139+RAMS!C139+'@STL'!C139+SFO!C139+ATL!C139</f>
        <v>3</v>
      </c>
      <c r="D139">
        <f>+KCC!D139+'@DEN'!D139+TBB!D139+'@SFO'!D139+PHI!D139+'@LAR'!D139+'@ATL'!D139+NYG!D139+'@RAMS'!D139+SEA!D139+'@GBP'!D139+'@MIN'!D139+RAMS!D139+'@STL'!D139+SFO!D139+ATL!D139</f>
        <v>33</v>
      </c>
      <c r="E139" s="12">
        <f t="shared" si="5"/>
        <v>11</v>
      </c>
      <c r="F139">
        <f>MAX(KCC!F139,'@DEN'!F139,TBB!F139,'@SFO'!F139,PHI!F139,'@LAR'!F139,'@ATL'!F139,'@RAMS'!F139,SEA!F139,'@GBP'!F139,'@MIN'!F139,RAMS!F139,'@STL'!F139,SFO!F139,ATL!F139,+NYG!F139)</f>
        <v>24</v>
      </c>
      <c r="G139">
        <f>+KCC!G139+'@DEN'!G139+TBB!G139+'@SFO'!G139+PHI!G139+'@LAR'!G139+'@ATL'!G139+NYG!G139+'@RAMS'!G139+SEA!G139+'@GBP'!G139+'@MIN'!G139+RAMS!G139+'@STL'!G139+SFO!G139+ATL!G139</f>
        <v>1</v>
      </c>
      <c r="H139">
        <f>KCC!H139+'@DEN'!H139+TBB!H139+'@SFO'!H139+PHI!H139+'@LAR'!H139+'@ATL'!H139+NYG!H139+'@RAMS'!H139+SEA!H139+'@GBP'!H139+'@MIN'!H139+RAMS!H139+'@STL'!H139+SFO!H139+ATL!H139</f>
        <v>0</v>
      </c>
    </row>
    <row r="140" spans="1:8" ht="12.75">
      <c r="A140" t="s">
        <v>113</v>
      </c>
      <c r="C140">
        <f>+KCC!C140+'@DEN'!C140+TBB!C140+'@SFO'!C140+PHI!C140+'@LAR'!C140+'@ATL'!C140+NYG!C140+'@RAMS'!C140+SEA!C140+'@GBP'!C140+'@MIN'!C140+RAMS!C140+'@STL'!C140+SFO!C140+ATL!C140</f>
        <v>1</v>
      </c>
      <c r="D140">
        <f>+KCC!D140+'@DEN'!D140+TBB!D140+'@SFO'!D140+PHI!D140+'@LAR'!D140+'@ATL'!D140+NYG!D140+'@RAMS'!D140+SEA!D140+'@GBP'!D140+'@MIN'!D140+RAMS!D140+'@STL'!D140+SFO!D140+ATL!D140</f>
        <v>70</v>
      </c>
      <c r="E140" s="12">
        <f t="shared" si="5"/>
        <v>70</v>
      </c>
      <c r="F140">
        <f>MAX(KCC!F140,'@DEN'!F140,TBB!F140,'@SFO'!F140,PHI!F140,'@LAR'!F140,'@ATL'!F140,'@RAMS'!F140,SEA!F140,'@GBP'!F140,'@MIN'!F140,RAMS!F140,'@STL'!F140,SFO!F140,ATL!F140,+NYG!F140)</f>
        <v>70</v>
      </c>
      <c r="G140">
        <f>+KCC!G140+'@DEN'!G140+TBB!G140+'@SFO'!G140+PHI!G140+'@LAR'!G140+'@ATL'!G140+NYG!G140+'@RAMS'!G140+SEA!G140+'@GBP'!G140+'@MIN'!G140+RAMS!G140+'@STL'!G140+SFO!G140+ATL!G140</f>
        <v>1</v>
      </c>
      <c r="H140">
        <f>KCC!H140+'@DEN'!H140+TBB!H140+'@SFO'!H140+PHI!H140+'@LAR'!H140+'@ATL'!H140+NYG!H140+'@RAMS'!H140+SEA!H140+'@GBP'!H140+'@MIN'!H140+RAMS!H140+'@STL'!H140+SFO!H140+ATL!H140</f>
        <v>0</v>
      </c>
    </row>
    <row r="141" spans="1:8" ht="12.75">
      <c r="A141" t="s">
        <v>137</v>
      </c>
      <c r="C141">
        <f>+KCC!C141+'@DEN'!C141+TBB!C141+'@SFO'!C141+PHI!C141+'@LAR'!C141+'@ATL'!C141+NYG!C141+'@RAMS'!C141+SEA!C141+'@GBP'!C141+'@MIN'!C141+RAMS!C141+'@STL'!C141+SFO!C141+ATL!C141</f>
        <v>1</v>
      </c>
      <c r="D141">
        <f>+KCC!D141+'@DEN'!D141+TBB!D141+'@SFO'!D141+PHI!D141+'@LAR'!D141+'@ATL'!D141+NYG!D141+'@RAMS'!D141+SEA!D141+'@GBP'!D141+'@MIN'!D141+RAMS!D141+'@STL'!D141+SFO!D141+ATL!D141</f>
        <v>50</v>
      </c>
      <c r="E141" s="12">
        <f t="shared" si="5"/>
        <v>50</v>
      </c>
      <c r="F141">
        <f>MAX(KCC!F141,'@DEN'!F141,TBB!F141,'@SFO'!F141,PHI!F141,'@LAR'!F141,'@ATL'!F141,'@RAMS'!F141,SEA!F141,'@GBP'!F141,'@MIN'!F141,RAMS!F141,'@STL'!F141,SFO!F141,ATL!F141,+NYG!F141)</f>
        <v>50</v>
      </c>
      <c r="G141">
        <f>+KCC!G141+'@DEN'!G141+TBB!G141+'@SFO'!G141+PHI!G141+'@LAR'!G141+'@ATL'!G141+NYG!G141+'@RAMS'!G141+SEA!G141+'@GBP'!G141+'@MIN'!G141+RAMS!G141+'@STL'!G141+SFO!G141+ATL!G141</f>
        <v>1</v>
      </c>
      <c r="H141">
        <f>KCC!H141+'@DEN'!H141+TBB!H141+'@SFO'!H141+PHI!H141+'@LAR'!H141+'@ATL'!H141+NYG!H141+'@RAMS'!H141+SEA!H141+'@GBP'!H141+'@MIN'!H141+RAMS!H141+'@STL'!H141+SFO!H141+ATL!H141</f>
        <v>0</v>
      </c>
    </row>
    <row r="142" spans="1:8" ht="12.75">
      <c r="A142" t="s">
        <v>138</v>
      </c>
      <c r="C142">
        <f>+KCC!C142+'@DEN'!C142+TBB!C142+'@SFO'!C142+PHI!C142+'@LAR'!C142+'@ATL'!C142+NYG!C142+'@RAMS'!C142+SEA!C142+'@GBP'!C142+'@MIN'!C142+RAMS!C142+'@STL'!C142+SFO!C142+ATL!C142</f>
        <v>1</v>
      </c>
      <c r="D142">
        <f>+KCC!D142+'@DEN'!D142+TBB!D142+'@SFO'!D142+PHI!D142+'@LAR'!D142+'@ATL'!D142+NYG!D142+'@RAMS'!D142+SEA!D142+'@GBP'!D142+'@MIN'!D142+RAMS!D142+'@STL'!D142+SFO!D142+ATL!D142</f>
        <v>29</v>
      </c>
      <c r="E142" s="12">
        <f t="shared" si="5"/>
        <v>29</v>
      </c>
      <c r="F142">
        <f>MAX(KCC!F142,'@DEN'!F142,TBB!F142,'@SFO'!F142,PHI!F142,'@LAR'!F142,'@ATL'!F142,'@RAMS'!F142,SEA!F142,'@GBP'!F142,'@MIN'!F142,RAMS!F142,'@STL'!F142,SFO!F142,ATL!F142,+NYG!F142)</f>
        <v>29</v>
      </c>
      <c r="G142">
        <f>+KCC!G142+'@DEN'!G142+TBB!G142+'@SFO'!G142+PHI!G142+'@LAR'!G142+'@ATL'!G142+NYG!G142+'@RAMS'!G142+SEA!G142+'@GBP'!G142+'@MIN'!G142+RAMS!G142+'@STL'!G142+SFO!G142+ATL!G142</f>
        <v>0</v>
      </c>
      <c r="H142">
        <f>KCC!H142+'@DEN'!H142+TBB!H142+'@SFO'!H142+PHI!H142+'@LAR'!H142+'@ATL'!H142+NYG!H142+'@RAMS'!H142+SEA!H142+'@GBP'!H142+'@MIN'!H142+RAMS!H142+'@STL'!H142+SFO!H142+ATL!H142</f>
        <v>0</v>
      </c>
    </row>
    <row r="143" spans="1:8" ht="12.75">
      <c r="A143" t="s">
        <v>139</v>
      </c>
      <c r="C143">
        <f>+KCC!C143+'@DEN'!C143+TBB!C143+'@SFO'!C143+PHI!C143+'@LAR'!C143+'@ATL'!C143+NYG!C143+'@RAMS'!C143+SEA!C143+'@GBP'!C143+'@MIN'!C143+RAMS!C143+'@STL'!C143+SFO!C143+ATL!C143</f>
        <v>0</v>
      </c>
      <c r="D143">
        <f>+KCC!D143+'@DEN'!D143+TBB!D143+'@SFO'!D143+PHI!D143+'@LAR'!D143+'@ATL'!D143+NYG!D143+'@RAMS'!D143+SEA!D143+'@GBP'!D143+'@MIN'!D143+RAMS!D143+'@STL'!D143+SFO!D143+ATL!D143</f>
        <v>0</v>
      </c>
      <c r="E143" s="12" t="e">
        <f t="shared" si="5"/>
        <v>#DIV/0!</v>
      </c>
      <c r="F143">
        <f>MAX(KCC!F143,'@DEN'!F143,TBB!F143,'@SFO'!F143,PHI!F143,'@LAR'!F143,'@ATL'!F143,'@RAMS'!F143,SEA!F143,'@GBP'!F143,'@MIN'!F143,RAMS!F143,'@STL'!F143,SFO!F143,ATL!F143,+NYG!F143)</f>
        <v>0</v>
      </c>
      <c r="G143">
        <f>+KCC!G143+'@DEN'!G143+TBB!G143+'@SFO'!G143+PHI!G143+'@LAR'!G143+'@ATL'!G143+NYG!G143+'@RAMS'!G143+SEA!G143+'@GBP'!G143+'@MIN'!G143+RAMS!G143+'@STL'!G143+SFO!G143+ATL!G143</f>
        <v>0</v>
      </c>
      <c r="H143">
        <f>KCC!H143+'@DEN'!H143+TBB!H143+'@SFO'!H143+PHI!H143+'@LAR'!H143+'@ATL'!H143+NYG!H143+'@RAMS'!H143+SEA!H143+'@GBP'!H143+'@MIN'!H143+RAMS!H143+'@STL'!H143+SFO!H143+ATL!H143</f>
        <v>0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140</v>
      </c>
      <c r="C146">
        <f>KCC!C146+'@DEN'!C146+TBB!C146+'@SFO'!C146+PHI!C146+'@LAR'!C146+'@ATL'!C146+NYG!C146+'@RAMS'!C146+SEA!C146+'@GBP'!C146+'@MIN'!C146+RAMS!C146+'@STL'!C146+SFO!C146+ATL!C146</f>
        <v>8</v>
      </c>
    </row>
    <row r="147" spans="1:3" ht="12.75">
      <c r="A147" t="s">
        <v>141</v>
      </c>
      <c r="C147">
        <f>KCC!C147+'@DEN'!C147+TBB!C147+'@SFO'!C147+PHI!C147+'@LAR'!C147+'@ATL'!C147+NYG!C147+'@RAMS'!C147+SEA!C147+'@GBP'!C147+'@MIN'!C147+RAMS!C147+'@STL'!C147+SFO!C147+ATL!C147</f>
        <v>6.5</v>
      </c>
    </row>
    <row r="148" spans="1:3" ht="12.75">
      <c r="A148" t="s">
        <v>142</v>
      </c>
      <c r="C148">
        <f>KCC!C148+'@DEN'!C148+TBB!C148+'@SFO'!C148+PHI!C148+'@LAR'!C148+'@ATL'!C148+NYG!C148+'@RAMS'!C148+SEA!C148+'@GBP'!C148+'@MIN'!C148+RAMS!C148+'@STL'!C148+SFO!C148+ATL!C148</f>
        <v>3.5</v>
      </c>
    </row>
    <row r="149" spans="1:3" ht="12.75">
      <c r="A149" t="s">
        <v>143</v>
      </c>
      <c r="C149">
        <f>KCC!C149+'@DEN'!C149+TBB!C149+'@SFO'!C149+PHI!C149+'@LAR'!C149+'@ATL'!C149+NYG!C149+'@RAMS'!C149+SEA!C149+'@GBP'!C149+'@MIN'!C149+RAMS!C149+'@STL'!C149+SFO!C149+ATL!C149</f>
        <v>6</v>
      </c>
    </row>
    <row r="150" spans="1:3" ht="12.75">
      <c r="A150" t="s">
        <v>144</v>
      </c>
      <c r="C150">
        <f>KCC!C150+'@DEN'!C150+TBB!C150+'@SFO'!C150+PHI!C150+'@LAR'!C150+'@ATL'!C150+NYG!C150+'@RAMS'!C150+SEA!C150+'@GBP'!C150+'@MIN'!C150+RAMS!C150+'@STL'!C150+SFO!C150+ATL!C150</f>
        <v>2.5</v>
      </c>
    </row>
    <row r="151" spans="1:3" ht="12.75">
      <c r="A151" t="s">
        <v>145</v>
      </c>
      <c r="C151">
        <f>KCC!C151+'@DEN'!C151+TBB!C151+'@SFO'!C151+PHI!C151+'@LAR'!C151+'@ATL'!C151+NYG!C151+'@RAMS'!C151+SEA!C151+'@GBP'!C151+'@MIN'!C151+RAMS!C151+'@STL'!C151+SFO!C151+ATL!C151</f>
        <v>0.5</v>
      </c>
    </row>
    <row r="152" spans="1:3" ht="12.75">
      <c r="A152" t="s">
        <v>125</v>
      </c>
      <c r="C152">
        <f>KCC!C152+'@DEN'!C152+TBB!C152+'@SFO'!C152+PHI!C152+'@LAR'!C152+'@ATL'!C152+NYG!C152+'@RAMS'!C152+SEA!C152+'@GBP'!C152+'@MIN'!C152+RAMS!C152+'@STL'!C152+SFO!C152+ATL!C152</f>
        <v>1</v>
      </c>
    </row>
    <row r="153" spans="1:3" ht="12.75">
      <c r="A153" t="s">
        <v>134</v>
      </c>
      <c r="C153">
        <f>KCC!C153+'@DEN'!C153+TBB!C153+'@SFO'!C153+PHI!C153+'@LAR'!C153+'@ATL'!C153+NYG!C153+'@RAMS'!C153+SEA!C153+'@GBP'!C153+'@MIN'!C153+RAMS!C153+'@STL'!C153+SFO!C153+ATL!C153</f>
        <v>0</v>
      </c>
    </row>
    <row r="154" spans="1:3" ht="12.75">
      <c r="A154" t="s">
        <v>138</v>
      </c>
      <c r="C154">
        <f>KCC!C154+'@DEN'!C154+TBB!C154+'@SFO'!C154+PHI!C154+'@LAR'!C154+'@ATL'!C154+NYG!C154+'@RAMS'!C154+SEA!C154+'@GBP'!C154+'@MIN'!C154+RAMS!C154+'@STL'!C154+SFO!C154+ATL!C154</f>
        <v>2</v>
      </c>
    </row>
    <row r="155" spans="1:3" ht="12.75">
      <c r="A155" t="s">
        <v>113</v>
      </c>
      <c r="C155">
        <f>KCC!C155+'@DEN'!C155+TBB!C155+'@SFO'!C155+PHI!C155+'@LAR'!C155+'@ATL'!C155+NYG!C155+'@RAMS'!C155+SEA!C155+'@GBP'!C155+'@MIN'!C155+RAMS!C155+'@STL'!C155+SFO!C155+ATL!C155</f>
        <v>2</v>
      </c>
    </row>
    <row r="156" spans="1:3" ht="12.75">
      <c r="A156" t="s">
        <v>146</v>
      </c>
      <c r="C156">
        <f>KCC!C156+'@DEN'!C156+TBB!C156+'@SFO'!C156+PHI!C156+'@LAR'!C156+'@ATL'!C156+NYG!C156+'@RAMS'!C156+SEA!C156+'@GBP'!C156+'@MIN'!C156+RAMS!C156+'@STL'!C156+SFO!C156+ATL!C156</f>
        <v>1</v>
      </c>
    </row>
    <row r="157" spans="1:3" ht="12.75">
      <c r="A157" t="s">
        <v>137</v>
      </c>
      <c r="C157">
        <f>KCC!C157+'@DEN'!C157+TBB!C157+'@SFO'!C157+PHI!C157+'@LAR'!C157+'@ATL'!C157+NYG!C157+'@RAMS'!C157+SEA!C157+'@GBP'!C157+'@MIN'!C157+RAMS!C157+'@STL'!C157+SFO!C157+ATL!C157</f>
        <v>0</v>
      </c>
    </row>
    <row r="159" spans="4:15" ht="12.75">
      <c r="D159" s="2" t="s">
        <v>84</v>
      </c>
      <c r="E159" s="2" t="s">
        <v>85</v>
      </c>
      <c r="N159" s="2" t="s">
        <v>84</v>
      </c>
      <c r="O159" s="2" t="s">
        <v>85</v>
      </c>
    </row>
    <row r="160" spans="1:15" ht="12.75">
      <c r="A160" t="s">
        <v>93</v>
      </c>
      <c r="C160">
        <f>KCC!D160+'@DEN'!D160+TBB!D160+'@SFO'!D160+PHI!D160+'@LAR'!D160+'@ATL'!D160+NYG!D160+'@RAMS'!D160+SEA!D160+'@GBP'!D160+'@MIN'!D160+RAMS!D160+'@STL'!D160+SFO!D160+ATL!D160</f>
        <v>226</v>
      </c>
      <c r="D160">
        <f>+C160/$B$2</f>
        <v>14.125</v>
      </c>
      <c r="E160" s="21">
        <f>221/16</f>
        <v>13.8125</v>
      </c>
      <c r="H160" t="s">
        <v>93</v>
      </c>
      <c r="M160">
        <f>KCC!M160+'@DEN'!M160+TBB!M160+'@SFO'!M160+PHI!M160+'@LAR'!M160+'@ATL'!M160+NYG!M160+'@RAMS'!M160+SEA!M160+'@GBP'!M160+'@MIN'!M160+RAMS!M160+'@STL'!M160+SFO!M160+ATL!M160</f>
        <v>223</v>
      </c>
      <c r="N160">
        <f>+M160/$B$2</f>
        <v>13.9375</v>
      </c>
      <c r="O160" s="22">
        <f>228/16</f>
        <v>14.25</v>
      </c>
    </row>
    <row r="161" spans="1:15" ht="12.75">
      <c r="A161" t="s">
        <v>94</v>
      </c>
      <c r="C161">
        <f>KCC!D161+'@DEN'!D161+TBB!D161+'@SFO'!D161+PHI!D161+'@LAR'!D161+'@ATL'!D161+NYG!D161+'@RAMS'!D161+SEA!D161+'@GBP'!D161+'@MIN'!D161+RAMS!D161+'@STL'!D161+SFO!D161+ATL!D161</f>
        <v>69</v>
      </c>
      <c r="D161">
        <f>+C161/$B$2</f>
        <v>4.3125</v>
      </c>
      <c r="E161" s="21">
        <f>66/16</f>
        <v>4.125</v>
      </c>
      <c r="H161" t="s">
        <v>94</v>
      </c>
      <c r="M161">
        <f>KCC!M161+'@DEN'!M161+TBB!M161+'@SFO'!M161+PHI!M161+'@LAR'!M161+'@ATL'!M161+NYG!M161+'@RAMS'!M161+SEA!M161+'@GBP'!M161+'@MIN'!M161+RAMS!M161+'@STL'!M161+SFO!M161+ATL!M161</f>
        <v>84</v>
      </c>
      <c r="N161">
        <f>+M161/$B$2</f>
        <v>5.25</v>
      </c>
      <c r="O161" s="22">
        <f>96/16</f>
        <v>6</v>
      </c>
    </row>
    <row r="162" spans="1:15" ht="12.75">
      <c r="A162" t="s">
        <v>95</v>
      </c>
      <c r="C162">
        <f>C161/C160*100</f>
        <v>30.53097345132743</v>
      </c>
      <c r="D162">
        <f>C161/C160*100</f>
        <v>30.53097345132743</v>
      </c>
      <c r="E162" s="21">
        <f>E161/E160*100</f>
        <v>29.86425339366516</v>
      </c>
      <c r="H162" t="s">
        <v>95</v>
      </c>
      <c r="M162" s="8">
        <f>M161/M160*100</f>
        <v>37.66816143497758</v>
      </c>
      <c r="N162">
        <f>M161/M160*100</f>
        <v>37.66816143497758</v>
      </c>
      <c r="O162" s="21">
        <f>O161/O160*100</f>
        <v>42.10526315789473</v>
      </c>
    </row>
    <row r="164" spans="1:5" ht="12.75">
      <c r="A164" t="s">
        <v>98</v>
      </c>
      <c r="C164">
        <f>KCC!M34+KCC!M57+'@DEN'!M34+'@DEN'!M57+TBB!M34+TBB!M57+'@SFO'!M34+'@SFO'!M57+PHI!M34+PHI!M57+'@LAR'!M57+'@LAR'!M34+'@ATL'!M34+'@ATL'!M57+NYG!M34+NYG!M57+'@RAMS'!M34+'@RAMS'!M57+SEA!M34+SEA!M57+'@GBP'!M34+'@GBP'!M57+'@MIN'!M34+'@MIN'!M57+RAMS!M34+RAMS!M57+'@STL'!M34+'@STL'!M57+SFO!M34+SFO!M57+ATL!M34+ATL!M57</f>
        <v>31</v>
      </c>
      <c r="D164">
        <f>C164/$B$2</f>
        <v>1.9375</v>
      </c>
      <c r="E164">
        <v>31</v>
      </c>
    </row>
    <row r="165" spans="1:5" ht="12.75">
      <c r="A165" t="s">
        <v>99</v>
      </c>
      <c r="C165" t="e">
        <f>KCC!D34+KCC!#REF!+'@DEN'!D34+'@DEN'!#REF!+TBB!D34+TBB!#REF!+'@SFO'!D34+'@SFO'!#REF!+PHI!D34+PHI!#REF!+'@LAR'!D34+'@LAR'!#REF!+'@ATL'!D34+'@ATL'!#REF!+NYG!D34+NYG!#REF!+'@RAMS'!D34+'@RAMS'!#REF!+SEA!D34+SEA!#REF!+'@GBP'!D34+'@GBP'!#REF!+'@MIN'!D34+'@MIN'!#REF!+RAMS!D34+RAMS!#REF!+'@STL'!D34+'@STL'!#REF!+SFO!D34+SFO!#REF!+ATL!D34+ATL!#REF!</f>
        <v>#REF!</v>
      </c>
      <c r="D165" t="e">
        <f>C165/$B$2</f>
        <v>#REF!</v>
      </c>
      <c r="E165">
        <v>34</v>
      </c>
    </row>
    <row r="166" spans="1:5" ht="12.75">
      <c r="A166" t="s">
        <v>100</v>
      </c>
      <c r="C166" t="e">
        <f>C164-C165</f>
        <v>#REF!</v>
      </c>
      <c r="D166" t="e">
        <f>D164-D165</f>
        <v>#REF!</v>
      </c>
      <c r="E166">
        <f>E164-E165</f>
        <v>-3</v>
      </c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ht="12.75">
      <c r="B170" s="2"/>
    </row>
    <row r="171" spans="1:7" ht="12.75">
      <c r="A171" s="2"/>
      <c r="B171" s="3"/>
      <c r="C171" s="3"/>
      <c r="D171" s="3"/>
      <c r="E171" s="2"/>
      <c r="F171" s="3"/>
      <c r="G171" s="3"/>
    </row>
    <row r="172" spans="4:7" ht="12.75">
      <c r="D172" s="2"/>
      <c r="F172" s="12"/>
      <c r="G172" s="8"/>
    </row>
    <row r="173" spans="4:7" ht="12.75">
      <c r="D173" s="2"/>
      <c r="F173" s="12"/>
      <c r="G173" s="8"/>
    </row>
    <row r="174" spans="4:7" ht="12.75">
      <c r="D174" s="2"/>
      <c r="F174" s="12"/>
      <c r="G174" s="8"/>
    </row>
    <row r="175" spans="4:7" ht="12.75">
      <c r="D175" s="2"/>
      <c r="F175" s="12"/>
      <c r="G175" s="8"/>
    </row>
    <row r="176" spans="4:6" ht="12.75">
      <c r="D176" s="2"/>
      <c r="F176" s="12"/>
    </row>
    <row r="177" spans="1:7" ht="12.75">
      <c r="A177" s="2"/>
      <c r="B177" s="2"/>
      <c r="C177" s="2"/>
      <c r="D177" s="2"/>
      <c r="E177" s="2"/>
      <c r="F177" s="2"/>
      <c r="G177" s="2"/>
    </row>
    <row r="178" spans="3:6" ht="12.75">
      <c r="C178" s="2"/>
      <c r="E178" s="2"/>
      <c r="F178" s="8"/>
    </row>
    <row r="179" spans="3:6" ht="12.75">
      <c r="C179" s="2"/>
      <c r="E179" s="2"/>
      <c r="F179" s="8"/>
    </row>
    <row r="180" spans="3:6" ht="12.75">
      <c r="C180" s="2"/>
      <c r="E180" s="2"/>
      <c r="F180" s="8"/>
    </row>
    <row r="181" spans="3:6" ht="12.75">
      <c r="C181" s="2"/>
      <c r="E181" s="2"/>
      <c r="F181" s="8"/>
    </row>
    <row r="182" spans="3:6" ht="12.75">
      <c r="C182" s="2"/>
      <c r="E182" s="2"/>
      <c r="F182" s="8"/>
    </row>
    <row r="183" spans="3:6" ht="12.75">
      <c r="C183" s="2"/>
      <c r="E183" s="2"/>
      <c r="F183" s="8"/>
    </row>
    <row r="184" spans="3:6" ht="12.75">
      <c r="C184" s="2"/>
      <c r="E184" s="2"/>
      <c r="F184" s="8"/>
    </row>
    <row r="185" spans="3:6" ht="12.75">
      <c r="C185" s="2"/>
      <c r="E185" s="2"/>
      <c r="F185" s="8"/>
    </row>
    <row r="186" spans="3:6" ht="12.75">
      <c r="C186" s="2"/>
      <c r="E186" s="2"/>
      <c r="F186" s="8"/>
    </row>
    <row r="187" spans="3:5" ht="12.75">
      <c r="C187" s="2"/>
      <c r="E187" s="2"/>
    </row>
    <row r="192" spans="1:6" ht="12.75">
      <c r="A192" s="2"/>
      <c r="D192" s="2"/>
      <c r="F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5:13" ht="12.75">
      <c r="E194" s="12"/>
      <c r="G194" s="2"/>
      <c r="I194" s="2"/>
      <c r="K194" s="2"/>
      <c r="M194" s="12"/>
    </row>
    <row r="195" spans="5:13" ht="12.75">
      <c r="E195" s="12"/>
      <c r="G195" s="2"/>
      <c r="I195" s="2"/>
      <c r="K195" s="2"/>
      <c r="M195" s="12"/>
    </row>
    <row r="198" spans="1:11" ht="12.7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3:5" ht="12.75">
      <c r="C199" s="2"/>
      <c r="E199" s="12"/>
    </row>
    <row r="200" spans="3:5" ht="12.75">
      <c r="C200" s="2"/>
      <c r="E200" s="12"/>
    </row>
    <row r="201" spans="3:5" ht="12.75">
      <c r="C201" s="2"/>
      <c r="E201" s="12"/>
    </row>
    <row r="202" spans="3:5" ht="12.75">
      <c r="C202" s="2"/>
      <c r="E202" s="12"/>
    </row>
    <row r="203" spans="3:5" ht="12.75">
      <c r="C203" s="2"/>
      <c r="E203" s="12"/>
    </row>
    <row r="204" spans="3:5" ht="12.75">
      <c r="C204" s="2"/>
      <c r="E204" s="1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spans="1:11" ht="12.75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</row>
    <row r="211" spans="3:4" ht="12.75">
      <c r="C211" s="2"/>
      <c r="D211" s="12"/>
    </row>
    <row r="212" spans="3:4" ht="12.75">
      <c r="C212" s="2"/>
      <c r="D212" s="12"/>
    </row>
    <row r="213" spans="3:4" ht="12.75">
      <c r="C213" s="2"/>
      <c r="D213" s="12"/>
    </row>
    <row r="214" spans="3:4" ht="12.75">
      <c r="C214" s="2"/>
      <c r="D214" s="12"/>
    </row>
    <row r="215" spans="3:4" ht="12.75">
      <c r="C215" s="2"/>
      <c r="D215" s="12"/>
    </row>
    <row r="216" spans="3:4" ht="12.75">
      <c r="C216" s="2"/>
      <c r="D216" s="12"/>
    </row>
    <row r="217" ht="12.75">
      <c r="C217" s="2"/>
    </row>
    <row r="218" ht="12.75">
      <c r="C218" s="2"/>
    </row>
    <row r="219" ht="12.75">
      <c r="C219" s="2"/>
    </row>
    <row r="220" spans="2:9" ht="12.75">
      <c r="B220" s="3"/>
      <c r="C220" s="2"/>
      <c r="D220" s="3"/>
      <c r="E220" s="3"/>
      <c r="F220" s="3"/>
      <c r="G220" s="3"/>
      <c r="H220" s="3"/>
      <c r="I220" s="3"/>
    </row>
    <row r="221" spans="3:4" ht="12.75">
      <c r="C221" s="2"/>
      <c r="D221" s="12"/>
    </row>
    <row r="222" ht="12.75">
      <c r="C222" s="2"/>
    </row>
    <row r="223" spans="3:8" ht="12.75">
      <c r="C223" s="2"/>
      <c r="H223" s="5"/>
    </row>
    <row r="224" spans="2:9" ht="12.75">
      <c r="B224" s="3"/>
      <c r="C224" s="3"/>
      <c r="D224" s="3"/>
      <c r="E224" s="3"/>
      <c r="F224" s="3"/>
      <c r="G224" s="3"/>
      <c r="H224" s="3"/>
      <c r="I224" s="3"/>
    </row>
    <row r="225" ht="12.75">
      <c r="H225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Y162"/>
  <sheetViews>
    <sheetView zoomScalePageLayoutView="0" workbookViewId="0" topLeftCell="A3">
      <selection activeCell="A73" sqref="A73:M154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8</v>
      </c>
      <c r="H6" s="1" t="s">
        <v>29</v>
      </c>
      <c r="M6" s="2">
        <f>M7+M8+M9</f>
        <v>17</v>
      </c>
    </row>
    <row r="7" spans="1:13" ht="12.75">
      <c r="A7" s="1" t="s">
        <v>103</v>
      </c>
      <c r="D7" s="2">
        <v>2</v>
      </c>
      <c r="H7" s="1" t="s">
        <v>103</v>
      </c>
      <c r="M7" s="2">
        <v>10</v>
      </c>
    </row>
    <row r="8" spans="1:13" ht="12.75">
      <c r="A8" s="1" t="s">
        <v>105</v>
      </c>
      <c r="D8" s="2">
        <v>5</v>
      </c>
      <c r="H8" s="1" t="s">
        <v>105</v>
      </c>
      <c r="M8" s="2">
        <v>7</v>
      </c>
    </row>
    <row r="9" spans="1:13" ht="12.75">
      <c r="A9" s="1" t="s">
        <v>104</v>
      </c>
      <c r="D9" s="2">
        <v>1</v>
      </c>
      <c r="H9" s="1" t="s">
        <v>104</v>
      </c>
      <c r="M9" s="2">
        <v>0</v>
      </c>
    </row>
    <row r="11" spans="1:23" ht="12.75">
      <c r="A11" t="s">
        <v>1</v>
      </c>
      <c r="D11" s="2">
        <v>23</v>
      </c>
      <c r="H11" t="s">
        <v>1</v>
      </c>
      <c r="M11" s="2">
        <v>31</v>
      </c>
      <c r="V11">
        <f>+D11</f>
        <v>23</v>
      </c>
      <c r="W11">
        <f>+M11</f>
        <v>31</v>
      </c>
    </row>
    <row r="12" spans="1:23" ht="12.75">
      <c r="A12" t="s">
        <v>2</v>
      </c>
      <c r="D12" s="2">
        <v>62</v>
      </c>
      <c r="H12" t="s">
        <v>2</v>
      </c>
      <c r="M12" s="2">
        <v>144</v>
      </c>
      <c r="U12" s="13"/>
      <c r="V12">
        <f>+D16</f>
        <v>12</v>
      </c>
      <c r="W12">
        <f>+M16</f>
        <v>17</v>
      </c>
    </row>
    <row r="13" spans="1:23" ht="12.75">
      <c r="A13" s="1" t="s">
        <v>3</v>
      </c>
      <c r="D13" s="8">
        <f>+D12/D11</f>
        <v>2.6956521739130435</v>
      </c>
      <c r="H13" s="1" t="s">
        <v>3</v>
      </c>
      <c r="M13" s="8">
        <f>+M12/M11</f>
        <v>4.645161290322581</v>
      </c>
      <c r="V13">
        <f>+(D15-D16)/2</f>
        <v>11.5</v>
      </c>
      <c r="W13">
        <f>+(M15-M16)/2</f>
        <v>5</v>
      </c>
    </row>
    <row r="14" spans="22:23" ht="12.75">
      <c r="V14">
        <f>+D38/2</f>
        <v>5</v>
      </c>
      <c r="W14">
        <f>+M38/2</f>
        <v>4</v>
      </c>
    </row>
    <row r="15" spans="1:23" ht="12.75">
      <c r="A15" t="s">
        <v>4</v>
      </c>
      <c r="D15" s="2">
        <v>35</v>
      </c>
      <c r="H15" t="s">
        <v>4</v>
      </c>
      <c r="M15" s="2">
        <v>27</v>
      </c>
      <c r="V15">
        <f>+D42/2</f>
        <v>2</v>
      </c>
      <c r="W15">
        <f>+M42/2</f>
        <v>2.5</v>
      </c>
    </row>
    <row r="16" spans="1:23" ht="12.75">
      <c r="A16" t="s">
        <v>5</v>
      </c>
      <c r="D16" s="2">
        <v>12</v>
      </c>
      <c r="H16" t="s">
        <v>5</v>
      </c>
      <c r="M16" s="2">
        <v>17</v>
      </c>
      <c r="V16">
        <f>+D48/2</f>
        <v>4</v>
      </c>
      <c r="W16">
        <f>+M48/2</f>
        <v>0.5</v>
      </c>
    </row>
    <row r="17" spans="1:13" ht="12.75">
      <c r="A17" t="s">
        <v>6</v>
      </c>
      <c r="D17" s="8">
        <f>+D16/D15*100</f>
        <v>34.285714285714285</v>
      </c>
      <c r="H17" t="s">
        <v>6</v>
      </c>
      <c r="M17" s="8">
        <f>+M16/M15*100</f>
        <v>62.96296296296296</v>
      </c>
    </row>
    <row r="18" spans="1:24" ht="12.75">
      <c r="A18" t="s">
        <v>7</v>
      </c>
      <c r="D18" s="2">
        <v>138</v>
      </c>
      <c r="H18" t="s">
        <v>7</v>
      </c>
      <c r="M18" s="2">
        <v>163</v>
      </c>
      <c r="V18">
        <f>SUM(V11:V16)</f>
        <v>57.5</v>
      </c>
      <c r="W18">
        <f>SUM(W11:W16)</f>
        <v>60</v>
      </c>
      <c r="X18">
        <f>+W18+V18</f>
        <v>117.5</v>
      </c>
    </row>
    <row r="19" spans="1:23" ht="12.75">
      <c r="A19" t="s">
        <v>8</v>
      </c>
      <c r="D19" s="2">
        <v>3</v>
      </c>
      <c r="H19" t="s">
        <v>8</v>
      </c>
      <c r="M19" s="2">
        <v>5</v>
      </c>
      <c r="V19">
        <f>+V18/X18</f>
        <v>0.48936170212765956</v>
      </c>
      <c r="W19">
        <f>+W18/X18</f>
        <v>0.5106382978723404</v>
      </c>
    </row>
    <row r="20" spans="1:23" ht="12.75">
      <c r="A20" t="s">
        <v>9</v>
      </c>
      <c r="D20" s="2">
        <v>19</v>
      </c>
      <c r="H20" t="s">
        <v>9</v>
      </c>
      <c r="M20" s="2">
        <v>40</v>
      </c>
      <c r="V20">
        <f>+V19*60</f>
        <v>29.361702127659573</v>
      </c>
      <c r="W20">
        <f>+W19*60</f>
        <v>30.638297872340424</v>
      </c>
    </row>
    <row r="21" spans="1:23" ht="12.75">
      <c r="A21" t="s">
        <v>10</v>
      </c>
      <c r="D21">
        <f>+D18-D20</f>
        <v>119</v>
      </c>
      <c r="H21" t="s">
        <v>10</v>
      </c>
      <c r="M21">
        <f>+M18-M20</f>
        <v>123</v>
      </c>
      <c r="V21">
        <f>+V20-INT(V20)</f>
        <v>0.3617021276595729</v>
      </c>
      <c r="W21">
        <f>+W20-INT(W20)</f>
        <v>0.6382978723404236</v>
      </c>
    </row>
    <row r="22" spans="1:23" ht="12.75">
      <c r="A22" t="s">
        <v>11</v>
      </c>
      <c r="D22" s="7">
        <f>+D21/(D15+D19)</f>
        <v>3.1315789473684212</v>
      </c>
      <c r="H22" t="s">
        <v>11</v>
      </c>
      <c r="M22" s="7">
        <f>+M21/(M15+M19)</f>
        <v>3.84375</v>
      </c>
      <c r="V22">
        <f>+V21*60</f>
        <v>21.702127659574373</v>
      </c>
      <c r="W22">
        <f>+W21*60</f>
        <v>38.297872340425414</v>
      </c>
    </row>
    <row r="23" spans="1:23" ht="12.75">
      <c r="A23" t="s">
        <v>12</v>
      </c>
      <c r="D23" s="7">
        <f>+D18/D16</f>
        <v>11.5</v>
      </c>
      <c r="H23" t="s">
        <v>12</v>
      </c>
      <c r="M23" s="7">
        <f>+M18/M16</f>
        <v>9.588235294117647</v>
      </c>
      <c r="U23">
        <v>0</v>
      </c>
      <c r="V23" s="11">
        <f>ROUND(V22,0)</f>
        <v>22</v>
      </c>
      <c r="W23">
        <f>ROUND(W22,0)</f>
        <v>38</v>
      </c>
    </row>
    <row r="24" spans="22:23" ht="12.75">
      <c r="V24">
        <f>INT(V20)</f>
        <v>29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181</v>
      </c>
      <c r="H26" t="s">
        <v>14</v>
      </c>
      <c r="M26">
        <f>+M21+M12</f>
        <v>267</v>
      </c>
      <c r="V26" s="14" t="str">
        <f>+V24&amp;V25&amp;V23</f>
        <v>29:22</v>
      </c>
      <c r="W26" s="9" t="str">
        <f>+W24&amp;W25&amp;W23</f>
        <v>30:38</v>
      </c>
    </row>
    <row r="27" spans="1:23" ht="12.75">
      <c r="A27" t="s">
        <v>15</v>
      </c>
      <c r="D27" s="7">
        <f>+D12/D26*100</f>
        <v>34.25414364640884</v>
      </c>
      <c r="H27" t="s">
        <v>15</v>
      </c>
      <c r="M27" s="7">
        <f>+M12/M26*100</f>
        <v>53.93258426966292</v>
      </c>
      <c r="V27" s="9" t="str">
        <f>IF(V23&lt;10,+V24&amp;V25&amp;$U$23&amp;V23,+V24&amp;V25&amp;V23)</f>
        <v>29:22</v>
      </c>
      <c r="W27" s="9" t="str">
        <f>IF(W23&lt;10,+W24&amp;W25&amp;$U$23&amp;W23,+W24&amp;W25&amp;W23)</f>
        <v>30:38</v>
      </c>
    </row>
    <row r="28" spans="1:13" ht="12.75">
      <c r="A28" s="1" t="s">
        <v>86</v>
      </c>
      <c r="D28" s="7">
        <f>+D21/D26*100</f>
        <v>65.74585635359117</v>
      </c>
      <c r="H28" s="1" t="s">
        <v>86</v>
      </c>
      <c r="M28" s="7">
        <f>+M21/M26*100</f>
        <v>46.06741573033708</v>
      </c>
    </row>
    <row r="30" spans="1:13" ht="12.75">
      <c r="A30" t="s">
        <v>16</v>
      </c>
      <c r="D30">
        <f>+D11+D15+D19</f>
        <v>61</v>
      </c>
      <c r="H30" t="s">
        <v>16</v>
      </c>
      <c r="M30">
        <f>+M11+M15+M19</f>
        <v>63</v>
      </c>
    </row>
    <row r="31" spans="1:13" ht="12.75">
      <c r="A31" t="s">
        <v>17</v>
      </c>
      <c r="D31" s="8">
        <f>+D26/D30</f>
        <v>2.9672131147540983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4.238095238095238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5</v>
      </c>
      <c r="H34" t="s">
        <v>19</v>
      </c>
      <c r="M34" s="2">
        <v>0</v>
      </c>
    </row>
    <row r="35" spans="1:13" ht="12.75">
      <c r="A35" t="s">
        <v>20</v>
      </c>
      <c r="D35" s="2">
        <v>28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10</v>
      </c>
      <c r="H38" t="s">
        <v>22</v>
      </c>
      <c r="M38" s="2">
        <v>8</v>
      </c>
    </row>
    <row r="39" spans="1:13" ht="12.75">
      <c r="A39" t="s">
        <v>23</v>
      </c>
      <c r="D39" s="2">
        <v>401</v>
      </c>
      <c r="H39" t="s">
        <v>23</v>
      </c>
      <c r="M39" s="2">
        <v>351</v>
      </c>
    </row>
    <row r="40" spans="1:13" ht="12.75">
      <c r="A40" t="s">
        <v>24</v>
      </c>
      <c r="D40" s="8">
        <f>+D39/D38</f>
        <v>40.1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43.875</v>
      </c>
    </row>
    <row r="42" spans="1:13" ht="12.75">
      <c r="A42" t="s">
        <v>25</v>
      </c>
      <c r="D42" s="2">
        <v>4</v>
      </c>
      <c r="H42" t="s">
        <v>25</v>
      </c>
      <c r="M42" s="2">
        <v>5</v>
      </c>
    </row>
    <row r="43" spans="1:13" ht="12.75">
      <c r="A43" t="s">
        <v>26</v>
      </c>
      <c r="D43" s="2">
        <v>23</v>
      </c>
      <c r="H43" t="s">
        <v>26</v>
      </c>
      <c r="M43" s="2">
        <v>102</v>
      </c>
    </row>
    <row r="44" spans="1:13" ht="12.75">
      <c r="A44" t="s">
        <v>27</v>
      </c>
      <c r="D44" s="8">
        <v>0</v>
      </c>
      <c r="H44" t="s">
        <v>27</v>
      </c>
      <c r="M44" s="8">
        <f>+M43/M42</f>
        <v>20.4</v>
      </c>
    </row>
    <row r="45" spans="1:13" ht="12.75">
      <c r="A45" t="s">
        <v>106</v>
      </c>
      <c r="D45" s="2">
        <v>0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1</v>
      </c>
    </row>
    <row r="48" spans="1:13" ht="12.75">
      <c r="A48" t="s">
        <v>30</v>
      </c>
      <c r="D48" s="2">
        <v>8</v>
      </c>
      <c r="H48" t="s">
        <v>30</v>
      </c>
      <c r="M48" s="2">
        <v>1</v>
      </c>
    </row>
    <row r="49" spans="1:13" ht="12.75">
      <c r="A49" t="s">
        <v>26</v>
      </c>
      <c r="D49" s="2">
        <v>132</v>
      </c>
      <c r="H49" t="s">
        <v>26</v>
      </c>
      <c r="M49" s="2">
        <v>104</v>
      </c>
    </row>
    <row r="50" spans="1:13" ht="12.75">
      <c r="A50" t="s">
        <v>27</v>
      </c>
      <c r="D50" s="8">
        <f>+D49/D48</f>
        <v>16.5</v>
      </c>
      <c r="H50" t="s">
        <v>27</v>
      </c>
      <c r="M50" s="8">
        <f>+M49/M48</f>
        <v>104</v>
      </c>
    </row>
    <row r="51" spans="1:13" ht="12.75">
      <c r="A51" t="s">
        <v>28</v>
      </c>
      <c r="D51" s="2">
        <v>0</v>
      </c>
      <c r="H51" t="s">
        <v>28</v>
      </c>
      <c r="M51" s="2">
        <v>1</v>
      </c>
    </row>
    <row r="53" spans="1:13" ht="12.75">
      <c r="A53" t="s">
        <v>31</v>
      </c>
      <c r="D53" s="2">
        <v>5</v>
      </c>
      <c r="H53" t="s">
        <v>31</v>
      </c>
      <c r="M53" s="2">
        <v>10</v>
      </c>
    </row>
    <row r="54" spans="1:13" ht="12.75">
      <c r="A54" t="s">
        <v>32</v>
      </c>
      <c r="D54" s="2">
        <v>34</v>
      </c>
      <c r="H54" t="s">
        <v>32</v>
      </c>
      <c r="M54" s="2">
        <v>90</v>
      </c>
    </row>
    <row r="56" spans="1:13" ht="12.75">
      <c r="A56" t="s">
        <v>33</v>
      </c>
      <c r="D56" s="2">
        <v>1</v>
      </c>
      <c r="H56" t="s">
        <v>33</v>
      </c>
      <c r="M56" s="2">
        <v>2</v>
      </c>
    </row>
    <row r="57" spans="1:13" ht="12.75">
      <c r="A57" t="s">
        <v>101</v>
      </c>
      <c r="D57" s="2">
        <v>0</v>
      </c>
      <c r="H57" t="s">
        <v>101</v>
      </c>
      <c r="M57" s="2">
        <v>1</v>
      </c>
    </row>
    <row r="59" spans="1:13" ht="12.75">
      <c r="A59" t="s">
        <v>34</v>
      </c>
      <c r="D59" s="2">
        <v>3</v>
      </c>
      <c r="H59" t="s">
        <v>34</v>
      </c>
      <c r="M59" s="2">
        <v>43</v>
      </c>
    </row>
    <row r="60" spans="1:13" ht="12.75">
      <c r="A60" t="s">
        <v>35</v>
      </c>
      <c r="D60" s="2">
        <v>0</v>
      </c>
      <c r="H60" t="s">
        <v>35</v>
      </c>
      <c r="M60" s="2">
        <v>5</v>
      </c>
    </row>
    <row r="61" spans="1:13" ht="12.75">
      <c r="A61" t="s">
        <v>36</v>
      </c>
      <c r="D61" s="2">
        <v>0</v>
      </c>
      <c r="H61" t="s">
        <v>36</v>
      </c>
      <c r="M61" s="2">
        <v>2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2</v>
      </c>
    </row>
    <row r="64" spans="1:13" ht="12.75">
      <c r="A64" t="s">
        <v>39</v>
      </c>
      <c r="D64" s="2">
        <v>0</v>
      </c>
      <c r="H64" t="s">
        <v>39</v>
      </c>
      <c r="M64" s="2">
        <v>4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3</v>
      </c>
    </row>
    <row r="67" spans="1:13" ht="12.75">
      <c r="A67" t="s">
        <v>42</v>
      </c>
      <c r="D67" s="2">
        <v>1</v>
      </c>
      <c r="H67" t="s">
        <v>42</v>
      </c>
      <c r="M67" s="2">
        <v>3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29:22</v>
      </c>
      <c r="E69" s="8"/>
      <c r="F69" s="8"/>
      <c r="H69" t="s">
        <v>92</v>
      </c>
      <c r="M69" s="10" t="str">
        <f>IF(W23&lt;10,W27,W26)</f>
        <v>30:38</v>
      </c>
    </row>
    <row r="70" spans="1:13" ht="12.75">
      <c r="A70" t="s">
        <v>102</v>
      </c>
      <c r="D70" s="23">
        <f>D162</f>
        <v>26.666666666666668</v>
      </c>
      <c r="E70" s="8"/>
      <c r="F70" s="8"/>
      <c r="H70" t="s">
        <v>102</v>
      </c>
      <c r="M70" s="23">
        <f>M162</f>
        <v>28.57142857142857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11</v>
      </c>
      <c r="D74">
        <v>33</v>
      </c>
      <c r="E74" s="12">
        <f aca="true" t="shared" si="0" ref="E74:E84">+D74/C74</f>
        <v>3</v>
      </c>
      <c r="F74">
        <v>12</v>
      </c>
      <c r="G74">
        <v>0</v>
      </c>
      <c r="H74">
        <v>0</v>
      </c>
    </row>
    <row r="75" spans="1:8" ht="12.75">
      <c r="A75" t="s">
        <v>110</v>
      </c>
      <c r="C75">
        <v>12</v>
      </c>
      <c r="D75">
        <v>29</v>
      </c>
      <c r="E75" s="12">
        <f t="shared" si="0"/>
        <v>2.4166666666666665</v>
      </c>
      <c r="F75">
        <v>8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107</v>
      </c>
      <c r="E80" s="12" t="e">
        <f t="shared" si="0"/>
        <v>#DIV/0!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1</v>
      </c>
      <c r="D87">
        <v>23</v>
      </c>
      <c r="E87" s="12">
        <f aca="true" t="shared" si="1" ref="E87:E102">+D87/C87</f>
        <v>23</v>
      </c>
      <c r="F87">
        <v>23</v>
      </c>
      <c r="G87">
        <v>0</v>
      </c>
      <c r="H87">
        <v>0</v>
      </c>
    </row>
    <row r="88" spans="1:8" ht="12.75">
      <c r="A88" t="s">
        <v>109</v>
      </c>
      <c r="C88">
        <v>2</v>
      </c>
      <c r="D88">
        <v>8</v>
      </c>
      <c r="E88" s="12">
        <f t="shared" si="1"/>
        <v>4</v>
      </c>
      <c r="F88">
        <v>5</v>
      </c>
      <c r="G88">
        <v>0</v>
      </c>
      <c r="H88">
        <v>0</v>
      </c>
    </row>
    <row r="89" spans="1:8" ht="12.75">
      <c r="A89" t="s">
        <v>117</v>
      </c>
      <c r="C89">
        <v>4</v>
      </c>
      <c r="D89">
        <v>62</v>
      </c>
      <c r="E89" s="12">
        <f t="shared" si="1"/>
        <v>15.5</v>
      </c>
      <c r="F89">
        <v>32</v>
      </c>
      <c r="G89">
        <v>0</v>
      </c>
      <c r="H89">
        <v>0</v>
      </c>
    </row>
    <row r="90" spans="1:5" ht="12.75">
      <c r="A90" t="s">
        <v>116</v>
      </c>
      <c r="E90" s="12" t="e">
        <f t="shared" si="1"/>
        <v>#DIV/0!</v>
      </c>
    </row>
    <row r="91" spans="1:8" ht="12.75">
      <c r="A91" t="s">
        <v>112</v>
      </c>
      <c r="C91">
        <v>2</v>
      </c>
      <c r="D91">
        <v>12</v>
      </c>
      <c r="E91" s="12">
        <f t="shared" si="1"/>
        <v>6</v>
      </c>
      <c r="F91">
        <v>10</v>
      </c>
      <c r="G91">
        <v>0</v>
      </c>
      <c r="H91">
        <v>0</v>
      </c>
    </row>
    <row r="92" spans="1:8" ht="12.75">
      <c r="A92" t="s">
        <v>120</v>
      </c>
      <c r="C92">
        <v>1</v>
      </c>
      <c r="D92">
        <v>11</v>
      </c>
      <c r="E92" s="12">
        <f t="shared" si="1"/>
        <v>11</v>
      </c>
      <c r="F92">
        <v>11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8" ht="12.75">
      <c r="A94" t="s">
        <v>122</v>
      </c>
      <c r="C94">
        <v>1</v>
      </c>
      <c r="D94">
        <v>19</v>
      </c>
      <c r="E94" s="12">
        <f t="shared" si="1"/>
        <v>19</v>
      </c>
      <c r="F94">
        <v>19</v>
      </c>
      <c r="G94">
        <v>0</v>
      </c>
      <c r="H94">
        <v>0</v>
      </c>
    </row>
    <row r="95" spans="1:5" ht="12.75">
      <c r="A95" t="s">
        <v>111</v>
      </c>
      <c r="E95" s="12" t="e">
        <f t="shared" si="1"/>
        <v>#DIV/0!</v>
      </c>
    </row>
    <row r="96" spans="1:8" ht="12.75">
      <c r="A96" t="s">
        <v>123</v>
      </c>
      <c r="C96">
        <v>1</v>
      </c>
      <c r="D96">
        <v>3</v>
      </c>
      <c r="E96" s="12">
        <f t="shared" si="1"/>
        <v>3</v>
      </c>
      <c r="F96">
        <v>3</v>
      </c>
      <c r="G96">
        <v>0</v>
      </c>
      <c r="H96">
        <v>0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32</v>
      </c>
      <c r="D106">
        <v>11</v>
      </c>
      <c r="E106" s="12">
        <f>+D106/C106*100</f>
        <v>34.375</v>
      </c>
      <c r="F106">
        <v>134</v>
      </c>
      <c r="G106">
        <v>0</v>
      </c>
      <c r="H106">
        <v>32</v>
      </c>
      <c r="I106">
        <v>3</v>
      </c>
      <c r="J106" s="8">
        <f>+G106/C106*100</f>
        <v>0</v>
      </c>
      <c r="K106" s="12">
        <f>+I106/C106*100</f>
        <v>9.375</v>
      </c>
      <c r="L106" s="12">
        <f>+F106/C106</f>
        <v>4.1875</v>
      </c>
      <c r="M106" s="12">
        <f>100*(S106+U106+W106+Y106)/6</f>
        <v>9.114583333333334</v>
      </c>
      <c r="R106">
        <f>+(E106-30)/20</f>
        <v>0.21875</v>
      </c>
      <c r="S106" s="2">
        <f>IF(R106&lt;0,0,IF(R106&gt;2.375,2.375,R106))</f>
        <v>0.21875</v>
      </c>
      <c r="T106" s="6">
        <f>+(L106-3)/4</f>
        <v>0.296875</v>
      </c>
      <c r="U106" s="2">
        <f>IF(T106&lt;0,0,IF(T106&gt;2.375,2.375,T106))</f>
        <v>0.296875</v>
      </c>
      <c r="V106">
        <f>+J106/5</f>
        <v>0</v>
      </c>
      <c r="W106" s="2">
        <f>IF(V106&lt;0,0,IF(V106&gt;2.375,2.375,V106))</f>
        <v>0</v>
      </c>
      <c r="X106">
        <f>(9.5-K106)/4</f>
        <v>0.03125</v>
      </c>
      <c r="Y106" s="2">
        <f>IF(X106&lt;0,0,X106)</f>
        <v>0.03125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C108">
        <v>3</v>
      </c>
      <c r="D108">
        <v>1</v>
      </c>
      <c r="E108" s="12">
        <f>+D108/C108*100</f>
        <v>33.33333333333333</v>
      </c>
      <c r="F108">
        <v>4</v>
      </c>
      <c r="G108">
        <v>0</v>
      </c>
      <c r="H108">
        <v>4</v>
      </c>
      <c r="I108">
        <v>2</v>
      </c>
      <c r="J108" s="8">
        <f>+G108/C108*100</f>
        <v>0</v>
      </c>
      <c r="K108" s="12">
        <f>+I108/C108*100</f>
        <v>66.66666666666666</v>
      </c>
      <c r="L108" s="12">
        <f>+F108/C108</f>
        <v>1.3333333333333333</v>
      </c>
      <c r="M108" s="12">
        <f>100*(S108+U108+W108+Y108)/6</f>
        <v>2.7777777777777737</v>
      </c>
      <c r="R108">
        <f>+(E108-30)/20</f>
        <v>0.16666666666666644</v>
      </c>
      <c r="S108" s="2">
        <f>IF(R108&lt;0,0,IF(R108&gt;2.375,2.375,R108))</f>
        <v>0.16666666666666644</v>
      </c>
      <c r="T108" s="6">
        <f>+(L108-3)/4</f>
        <v>-0.4166666666666667</v>
      </c>
      <c r="U108" s="2">
        <f>IF(T108&lt;0,0,IF(T108&gt;2.375,2.375,T108))</f>
        <v>0</v>
      </c>
      <c r="V108">
        <f>+J108/5</f>
        <v>0</v>
      </c>
      <c r="W108" s="2">
        <f>IF(V108&lt;0,0,IF(V108&gt;2.375,2.375,V108))</f>
        <v>0</v>
      </c>
      <c r="X108">
        <f>(9.5-K108)/4</f>
        <v>-14.291666666666664</v>
      </c>
      <c r="Y108" s="2">
        <f>IF(X108&lt;0,0,X108)</f>
        <v>0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3</v>
      </c>
      <c r="D114">
        <v>0</v>
      </c>
      <c r="E114">
        <v>16</v>
      </c>
      <c r="F114" s="12">
        <v>0</v>
      </c>
      <c r="G114">
        <v>15</v>
      </c>
      <c r="H114">
        <v>0</v>
      </c>
      <c r="I114">
        <v>0</v>
      </c>
    </row>
    <row r="115" spans="1:9" ht="12.75">
      <c r="A115" t="s">
        <v>117</v>
      </c>
      <c r="C115">
        <v>1</v>
      </c>
      <c r="D115">
        <v>0</v>
      </c>
      <c r="E115">
        <v>7</v>
      </c>
      <c r="F115" s="12">
        <f>+E115/C115</f>
        <v>7</v>
      </c>
      <c r="G115">
        <v>7</v>
      </c>
      <c r="H115">
        <v>0</v>
      </c>
      <c r="I115">
        <v>0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8</v>
      </c>
      <c r="D120">
        <v>132</v>
      </c>
      <c r="E120" s="12">
        <f aca="true" t="shared" si="2" ref="E120:E126">+D120/C120</f>
        <v>16.5</v>
      </c>
      <c r="F120">
        <v>30</v>
      </c>
      <c r="G120">
        <v>0</v>
      </c>
      <c r="H120">
        <v>1</v>
      </c>
    </row>
    <row r="121" spans="1:5" ht="12.75">
      <c r="A121" t="s">
        <v>129</v>
      </c>
      <c r="E121" s="12" t="e">
        <f t="shared" si="2"/>
        <v>#DIV/0!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10</v>
      </c>
      <c r="D129">
        <v>401</v>
      </c>
      <c r="E129" s="12">
        <f>+D129/C129</f>
        <v>40.1</v>
      </c>
      <c r="F129">
        <v>55</v>
      </c>
      <c r="G129">
        <v>1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1</v>
      </c>
      <c r="D132">
        <v>0</v>
      </c>
      <c r="E132">
        <v>0</v>
      </c>
      <c r="F132">
        <v>0</v>
      </c>
      <c r="G132">
        <v>1</v>
      </c>
      <c r="H132">
        <v>1</v>
      </c>
      <c r="I132" s="12">
        <f>+H132/G132*100</f>
        <v>100</v>
      </c>
      <c r="J132">
        <v>42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140</v>
      </c>
      <c r="C146">
        <v>1.5</v>
      </c>
    </row>
    <row r="147" spans="1:3" ht="12.75">
      <c r="A147" t="s">
        <v>141</v>
      </c>
      <c r="C147">
        <v>0.5</v>
      </c>
    </row>
    <row r="148" spans="1:3" ht="12.75">
      <c r="A148" t="s">
        <v>142</v>
      </c>
      <c r="C148">
        <v>1</v>
      </c>
    </row>
    <row r="149" ht="12.75">
      <c r="A149" t="s">
        <v>143</v>
      </c>
    </row>
    <row r="150" spans="1:3" ht="12.75">
      <c r="A150" t="s">
        <v>144</v>
      </c>
      <c r="C150">
        <v>1.5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spans="1:3" ht="12.75">
      <c r="A154" t="s">
        <v>138</v>
      </c>
      <c r="C154">
        <v>0.5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15</v>
      </c>
      <c r="H160" t="s">
        <v>93</v>
      </c>
      <c r="M160">
        <v>14</v>
      </c>
    </row>
    <row r="161" spans="1:13" ht="12.75">
      <c r="A161" t="s">
        <v>94</v>
      </c>
      <c r="D161">
        <v>4</v>
      </c>
      <c r="H161" t="s">
        <v>94</v>
      </c>
      <c r="M161">
        <v>4</v>
      </c>
    </row>
    <row r="162" spans="1:13" ht="12.75">
      <c r="A162" t="s">
        <v>95</v>
      </c>
      <c r="D162" s="8">
        <f>D161/D160*100</f>
        <v>26.666666666666668</v>
      </c>
      <c r="H162" t="s">
        <v>95</v>
      </c>
      <c r="M162">
        <f>+M161/M160*100</f>
        <v>28.57142857142857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3"/>
  </sheetPr>
  <dimension ref="A1:Y162"/>
  <sheetViews>
    <sheetView zoomScalePageLayoutView="0" workbookViewId="0" topLeftCell="A81">
      <selection activeCell="T95" sqref="T9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19</v>
      </c>
      <c r="H6" s="1" t="s">
        <v>29</v>
      </c>
      <c r="M6" s="2">
        <f>M7+M8+M9</f>
        <v>22</v>
      </c>
    </row>
    <row r="7" spans="1:13" ht="12.75">
      <c r="A7" s="1" t="s">
        <v>103</v>
      </c>
      <c r="D7" s="2">
        <v>5</v>
      </c>
      <c r="H7" s="1" t="s">
        <v>103</v>
      </c>
      <c r="M7" s="2">
        <v>7</v>
      </c>
    </row>
    <row r="8" spans="1:13" ht="12.75">
      <c r="A8" s="1" t="s">
        <v>105</v>
      </c>
      <c r="D8" s="2">
        <v>10</v>
      </c>
      <c r="H8" s="1" t="s">
        <v>105</v>
      </c>
      <c r="M8" s="2">
        <v>15</v>
      </c>
    </row>
    <row r="9" spans="1:13" ht="12.75">
      <c r="A9" s="1" t="s">
        <v>104</v>
      </c>
      <c r="D9" s="2">
        <v>4</v>
      </c>
      <c r="H9" s="1" t="s">
        <v>104</v>
      </c>
      <c r="M9" s="2">
        <v>0</v>
      </c>
    </row>
    <row r="11" spans="1:23" ht="12.75">
      <c r="A11" t="s">
        <v>1</v>
      </c>
      <c r="D11" s="2">
        <v>26</v>
      </c>
      <c r="H11" t="s">
        <v>1</v>
      </c>
      <c r="M11" s="2">
        <v>31</v>
      </c>
      <c r="V11">
        <f>+D11</f>
        <v>26</v>
      </c>
      <c r="W11">
        <f>+M11</f>
        <v>31</v>
      </c>
    </row>
    <row r="12" spans="1:23" ht="12.75">
      <c r="A12" t="s">
        <v>2</v>
      </c>
      <c r="D12" s="2">
        <v>77</v>
      </c>
      <c r="H12" t="s">
        <v>2</v>
      </c>
      <c r="M12" s="2">
        <v>83</v>
      </c>
      <c r="U12" s="13"/>
      <c r="V12">
        <f>+D16</f>
        <v>15</v>
      </c>
      <c r="W12">
        <f>+M16</f>
        <v>27</v>
      </c>
    </row>
    <row r="13" spans="1:23" ht="12.75">
      <c r="A13" s="1" t="s">
        <v>3</v>
      </c>
      <c r="D13" s="8">
        <f>+D12/D11</f>
        <v>2.9615384615384617</v>
      </c>
      <c r="H13" s="1" t="s">
        <v>3</v>
      </c>
      <c r="M13" s="8">
        <f>M12/M11</f>
        <v>2.6774193548387095</v>
      </c>
      <c r="V13">
        <f>+(D15-D16)/2</f>
        <v>10.5</v>
      </c>
      <c r="W13">
        <f>+(M15-M16)/2</f>
        <v>5.5</v>
      </c>
    </row>
    <row r="14" spans="22:23" ht="12.75">
      <c r="V14">
        <f>+D38/2</f>
        <v>2.5</v>
      </c>
      <c r="W14">
        <f>+M38/2</f>
        <v>3</v>
      </c>
    </row>
    <row r="15" spans="1:23" ht="12.75">
      <c r="A15" t="s">
        <v>4</v>
      </c>
      <c r="D15" s="2">
        <v>36</v>
      </c>
      <c r="H15" t="s">
        <v>4</v>
      </c>
      <c r="M15" s="2">
        <v>38</v>
      </c>
      <c r="V15">
        <f>+D42/2</f>
        <v>1</v>
      </c>
      <c r="W15">
        <f>+M42/2</f>
        <v>1</v>
      </c>
    </row>
    <row r="16" spans="1:23" ht="12.75">
      <c r="A16" t="s">
        <v>5</v>
      </c>
      <c r="D16" s="2">
        <v>15</v>
      </c>
      <c r="H16" t="s">
        <v>5</v>
      </c>
      <c r="M16" s="2">
        <v>27</v>
      </c>
      <c r="V16">
        <f>+D48/2</f>
        <v>0</v>
      </c>
      <c r="W16">
        <f>+M48/2</f>
        <v>1</v>
      </c>
    </row>
    <row r="17" spans="1:13" ht="12.75">
      <c r="A17" t="s">
        <v>6</v>
      </c>
      <c r="D17" s="8">
        <f>+D16/D15*100</f>
        <v>41.66666666666667</v>
      </c>
      <c r="H17" t="s">
        <v>6</v>
      </c>
      <c r="M17" s="8">
        <f>+M16/M15*100</f>
        <v>71.05263157894737</v>
      </c>
    </row>
    <row r="18" spans="1:24" ht="12.75">
      <c r="A18" t="s">
        <v>7</v>
      </c>
      <c r="D18" s="2">
        <v>223</v>
      </c>
      <c r="H18" t="s">
        <v>7</v>
      </c>
      <c r="M18" s="2">
        <v>326</v>
      </c>
      <c r="V18">
        <f>SUM(V11:V16)</f>
        <v>55</v>
      </c>
      <c r="W18">
        <f>SUM(W11:W16)</f>
        <v>68.5</v>
      </c>
      <c r="X18">
        <f>+W18+V18</f>
        <v>123.5</v>
      </c>
    </row>
    <row r="19" spans="1:23" ht="12.75">
      <c r="A19" t="s">
        <v>8</v>
      </c>
      <c r="D19" s="2">
        <v>5</v>
      </c>
      <c r="H19" t="s">
        <v>8</v>
      </c>
      <c r="M19" s="2">
        <v>3</v>
      </c>
      <c r="V19">
        <f>+V18/X18</f>
        <v>0.44534412955465585</v>
      </c>
      <c r="W19">
        <f>+W18/X18</f>
        <v>0.5546558704453441</v>
      </c>
    </row>
    <row r="20" spans="1:23" ht="12.75">
      <c r="A20" t="s">
        <v>9</v>
      </c>
      <c r="D20" s="2">
        <v>24</v>
      </c>
      <c r="H20" t="s">
        <v>9</v>
      </c>
      <c r="M20" s="2">
        <v>29</v>
      </c>
      <c r="V20">
        <f>+V19*60</f>
        <v>26.720647773279353</v>
      </c>
      <c r="W20">
        <f>+W19*60</f>
        <v>33.27935222672065</v>
      </c>
    </row>
    <row r="21" spans="1:23" ht="12.75">
      <c r="A21" t="s">
        <v>10</v>
      </c>
      <c r="D21">
        <f>+D18-D20</f>
        <v>199</v>
      </c>
      <c r="H21" t="s">
        <v>10</v>
      </c>
      <c r="M21">
        <f>+M18-M20</f>
        <v>297</v>
      </c>
      <c r="V21">
        <f>+V20-INT(V20)</f>
        <v>0.720647773279353</v>
      </c>
      <c r="W21">
        <f>+W20-INT(W20)</f>
        <v>0.27935222672064697</v>
      </c>
    </row>
    <row r="22" spans="1:23" ht="12.75">
      <c r="A22" t="s">
        <v>11</v>
      </c>
      <c r="D22" s="7">
        <f>+D21/(D15+D19)</f>
        <v>4.853658536585366</v>
      </c>
      <c r="H22" t="s">
        <v>11</v>
      </c>
      <c r="M22" s="7">
        <f>+M21/(M15+M19)</f>
        <v>7.2439024390243905</v>
      </c>
      <c r="V22">
        <f>+V21*60</f>
        <v>43.23886639676118</v>
      </c>
      <c r="W22">
        <f>+W21*60</f>
        <v>16.761133603238818</v>
      </c>
    </row>
    <row r="23" spans="1:23" ht="12.75">
      <c r="A23" t="s">
        <v>12</v>
      </c>
      <c r="D23" s="7">
        <f>+D18/D16</f>
        <v>14.866666666666667</v>
      </c>
      <c r="H23" t="s">
        <v>12</v>
      </c>
      <c r="M23" s="7">
        <f>+M18/M16</f>
        <v>12.074074074074074</v>
      </c>
      <c r="U23">
        <v>0</v>
      </c>
      <c r="V23" s="11">
        <f>ROUND(V22,0)</f>
        <v>43</v>
      </c>
      <c r="W23">
        <f>ROUND(W22,0)</f>
        <v>17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276</v>
      </c>
      <c r="H26" t="s">
        <v>14</v>
      </c>
      <c r="M26">
        <f>+M21+M12</f>
        <v>380</v>
      </c>
      <c r="V26" s="14" t="str">
        <f>+V24&amp;V25&amp;V23</f>
        <v>26:43</v>
      </c>
      <c r="W26" s="9" t="str">
        <f>+W24&amp;W25&amp;W23</f>
        <v>33:17</v>
      </c>
    </row>
    <row r="27" spans="1:23" ht="12.75">
      <c r="A27" t="s">
        <v>15</v>
      </c>
      <c r="D27" s="7">
        <f>+D12/D26*100</f>
        <v>27.898550724637683</v>
      </c>
      <c r="H27" t="s">
        <v>15</v>
      </c>
      <c r="M27" s="7">
        <f>+M12/M26*100</f>
        <v>21.842105263157897</v>
      </c>
      <c r="V27" s="9" t="str">
        <f>IF(V23&lt;10,+V24&amp;V25&amp;$U$23&amp;V23,+V24&amp;V25&amp;V23)</f>
        <v>26:43</v>
      </c>
      <c r="W27" s="9" t="str">
        <f>IF(W23&lt;10,+W24&amp;W25&amp;$U$23&amp;W23,+W24&amp;W25&amp;W23)</f>
        <v>33:17</v>
      </c>
    </row>
    <row r="28" spans="1:13" ht="12.75">
      <c r="A28" s="1" t="s">
        <v>86</v>
      </c>
      <c r="D28" s="7">
        <f>+D21/D26*100</f>
        <v>72.10144927536231</v>
      </c>
      <c r="H28" s="1" t="s">
        <v>86</v>
      </c>
      <c r="M28" s="7">
        <f>+M21/M26*100</f>
        <v>78.15789473684211</v>
      </c>
    </row>
    <row r="30" spans="1:13" ht="12.75">
      <c r="A30" t="s">
        <v>16</v>
      </c>
      <c r="D30">
        <f>+D11+D15+D19</f>
        <v>67</v>
      </c>
      <c r="H30" t="s">
        <v>16</v>
      </c>
      <c r="M30">
        <f>+M11+M15+M19</f>
        <v>72</v>
      </c>
    </row>
    <row r="31" spans="1:13" ht="12.75">
      <c r="A31" t="s">
        <v>17</v>
      </c>
      <c r="D31" s="8">
        <f>+D26/D30</f>
        <v>4.119402985074627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5.277777777777778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5</v>
      </c>
      <c r="H34" t="s">
        <v>19</v>
      </c>
      <c r="M34" s="2">
        <v>2</v>
      </c>
    </row>
    <row r="35" spans="1:13" ht="12.75">
      <c r="A35" t="s">
        <v>20</v>
      </c>
      <c r="D35" s="2">
        <v>8</v>
      </c>
      <c r="H35" t="s">
        <v>20</v>
      </c>
      <c r="M35" s="2">
        <v>50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6</v>
      </c>
    </row>
    <row r="39" spans="1:13" ht="12.75">
      <c r="A39" t="s">
        <v>23</v>
      </c>
      <c r="D39" s="2">
        <v>218</v>
      </c>
      <c r="H39" t="s">
        <v>23</v>
      </c>
      <c r="M39" s="2">
        <v>230</v>
      </c>
    </row>
    <row r="40" spans="1:13" ht="12.75">
      <c r="A40" t="s">
        <v>24</v>
      </c>
      <c r="D40" s="8">
        <f>+D39/D38</f>
        <v>43.6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38.333333333333336</v>
      </c>
    </row>
    <row r="42" spans="1:13" ht="12.75">
      <c r="A42" t="s">
        <v>25</v>
      </c>
      <c r="D42" s="2">
        <v>2</v>
      </c>
      <c r="H42" t="s">
        <v>25</v>
      </c>
      <c r="M42" s="2">
        <v>2</v>
      </c>
    </row>
    <row r="43" spans="1:13" ht="12.75">
      <c r="A43" t="s">
        <v>26</v>
      </c>
      <c r="D43" s="2">
        <v>12</v>
      </c>
      <c r="H43" t="s">
        <v>26</v>
      </c>
      <c r="M43" s="2">
        <v>28</v>
      </c>
    </row>
    <row r="44" spans="1:13" ht="12.75">
      <c r="A44" t="s">
        <v>27</v>
      </c>
      <c r="D44" s="8">
        <f>+D43/D42</f>
        <v>6</v>
      </c>
      <c r="H44" t="s">
        <v>27</v>
      </c>
      <c r="M44" s="8">
        <v>0</v>
      </c>
    </row>
    <row r="45" spans="1:13" ht="12.75">
      <c r="A45" t="s">
        <v>106</v>
      </c>
      <c r="D45" s="2">
        <v>3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0</v>
      </c>
      <c r="H48" t="s">
        <v>30</v>
      </c>
      <c r="M48" s="2">
        <v>2</v>
      </c>
    </row>
    <row r="49" spans="1:13" ht="12.75">
      <c r="A49" t="s">
        <v>26</v>
      </c>
      <c r="D49" s="2">
        <v>0</v>
      </c>
      <c r="H49" t="s">
        <v>26</v>
      </c>
      <c r="M49" s="2">
        <v>40</v>
      </c>
    </row>
    <row r="50" spans="1:13" ht="12.75">
      <c r="A50" t="s">
        <v>27</v>
      </c>
      <c r="D50" s="8">
        <v>0</v>
      </c>
      <c r="H50" t="s">
        <v>27</v>
      </c>
      <c r="M50" s="8">
        <f>+M49/M48</f>
        <v>20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3</v>
      </c>
      <c r="H53" t="s">
        <v>31</v>
      </c>
      <c r="M53" s="2">
        <v>8</v>
      </c>
    </row>
    <row r="54" spans="1:13" ht="12.75">
      <c r="A54" t="s">
        <v>32</v>
      </c>
      <c r="D54" s="2">
        <v>25</v>
      </c>
      <c r="H54" t="s">
        <v>32</v>
      </c>
      <c r="M54" s="2">
        <v>96</v>
      </c>
    </row>
    <row r="56" spans="1:13" ht="12.75">
      <c r="A56" t="s">
        <v>33</v>
      </c>
      <c r="D56" s="2">
        <v>0</v>
      </c>
      <c r="H56" t="s">
        <v>33</v>
      </c>
      <c r="M56" s="2">
        <v>3</v>
      </c>
    </row>
    <row r="57" spans="1:13" ht="12.75">
      <c r="A57" t="s">
        <v>101</v>
      </c>
      <c r="D57" s="2">
        <v>0</v>
      </c>
      <c r="H57" t="s">
        <v>101</v>
      </c>
      <c r="M57" s="2">
        <v>3</v>
      </c>
    </row>
    <row r="59" spans="1:13" ht="12.75">
      <c r="A59" t="s">
        <v>34</v>
      </c>
      <c r="D59" s="2">
        <v>34</v>
      </c>
      <c r="H59" t="s">
        <v>34</v>
      </c>
      <c r="M59" s="2">
        <v>17</v>
      </c>
    </row>
    <row r="60" spans="1:13" ht="12.75">
      <c r="A60" t="s">
        <v>35</v>
      </c>
      <c r="D60" s="2">
        <v>4</v>
      </c>
      <c r="H60" t="s">
        <v>35</v>
      </c>
      <c r="M60" s="2">
        <v>2</v>
      </c>
    </row>
    <row r="61" spans="1:13" ht="12.75">
      <c r="A61" t="s">
        <v>36</v>
      </c>
      <c r="D61" s="2">
        <v>1</v>
      </c>
      <c r="H61" t="s">
        <v>36</v>
      </c>
      <c r="M61" s="2">
        <v>1</v>
      </c>
    </row>
    <row r="62" spans="1:13" ht="12.75">
      <c r="A62" t="s">
        <v>37</v>
      </c>
      <c r="D62" s="2">
        <v>3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4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1</v>
      </c>
    </row>
    <row r="67" spans="1:13" ht="12.75">
      <c r="A67" t="s">
        <v>42</v>
      </c>
      <c r="D67" s="2">
        <v>2</v>
      </c>
      <c r="H67" t="s">
        <v>42</v>
      </c>
      <c r="M67" s="2">
        <v>3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33.33333333333333</v>
      </c>
    </row>
    <row r="69" spans="1:13" ht="12.75">
      <c r="A69" t="s">
        <v>89</v>
      </c>
      <c r="D69" s="10" t="str">
        <f>IF(V23&lt;10,V27,V26)</f>
        <v>26:43</v>
      </c>
      <c r="E69" s="8"/>
      <c r="F69" s="8"/>
      <c r="H69" t="s">
        <v>89</v>
      </c>
      <c r="M69" s="10" t="str">
        <f>IF(W23&lt;10,W27,W26)</f>
        <v>33:17</v>
      </c>
    </row>
    <row r="70" spans="1:13" ht="12.75">
      <c r="A70" t="s">
        <v>102</v>
      </c>
      <c r="D70" s="23">
        <f>D162</f>
        <v>35.714285714285715</v>
      </c>
      <c r="E70" s="8"/>
      <c r="F70" s="8"/>
      <c r="H70" t="s">
        <v>102</v>
      </c>
      <c r="M70" s="23">
        <f>M162</f>
        <v>35.714285714285715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11</v>
      </c>
      <c r="D74">
        <v>30</v>
      </c>
      <c r="E74" s="12">
        <f aca="true" t="shared" si="0" ref="E74:E84">+D74/C74</f>
        <v>2.727272727272727</v>
      </c>
      <c r="F74">
        <v>6</v>
      </c>
      <c r="G74">
        <v>0</v>
      </c>
      <c r="H74">
        <v>0</v>
      </c>
    </row>
    <row r="75" spans="1:8" ht="12.75">
      <c r="A75" t="s">
        <v>110</v>
      </c>
      <c r="C75">
        <v>12</v>
      </c>
      <c r="D75">
        <v>43</v>
      </c>
      <c r="E75" s="12">
        <f t="shared" si="0"/>
        <v>3.5833333333333335</v>
      </c>
      <c r="F75">
        <v>8</v>
      </c>
      <c r="G75">
        <v>1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1</v>
      </c>
      <c r="D77">
        <v>2</v>
      </c>
      <c r="E77" s="12">
        <f t="shared" si="0"/>
        <v>2</v>
      </c>
      <c r="F77">
        <v>2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107</v>
      </c>
      <c r="C80">
        <v>2</v>
      </c>
      <c r="D80">
        <v>2</v>
      </c>
      <c r="E80" s="12">
        <f t="shared" si="0"/>
        <v>1</v>
      </c>
      <c r="F80">
        <v>1</v>
      </c>
      <c r="G80">
        <v>0</v>
      </c>
      <c r="H80">
        <v>0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4</v>
      </c>
      <c r="D87">
        <v>86</v>
      </c>
      <c r="E87" s="12">
        <f aca="true" t="shared" si="1" ref="E87:E102">+D87/C87</f>
        <v>21.5</v>
      </c>
      <c r="F87">
        <v>32</v>
      </c>
      <c r="G87">
        <v>0</v>
      </c>
      <c r="H87">
        <v>0</v>
      </c>
    </row>
    <row r="88" spans="1:8" ht="12.75">
      <c r="A88" t="s">
        <v>109</v>
      </c>
      <c r="C88">
        <v>3</v>
      </c>
      <c r="D88">
        <v>10</v>
      </c>
      <c r="E88" s="12">
        <f t="shared" si="1"/>
        <v>3.3333333333333335</v>
      </c>
      <c r="F88">
        <v>8</v>
      </c>
      <c r="G88">
        <v>0</v>
      </c>
      <c r="H88">
        <v>0</v>
      </c>
    </row>
    <row r="89" spans="1:5" ht="12.75">
      <c r="A89" t="s">
        <v>117</v>
      </c>
      <c r="E89" s="12" t="e">
        <f t="shared" si="1"/>
        <v>#DIV/0!</v>
      </c>
    </row>
    <row r="90" spans="1:8" ht="12.75">
      <c r="A90" t="s">
        <v>116</v>
      </c>
      <c r="C90">
        <v>2</v>
      </c>
      <c r="D90">
        <v>25</v>
      </c>
      <c r="E90" s="12">
        <f t="shared" si="1"/>
        <v>12.5</v>
      </c>
      <c r="F90">
        <v>17</v>
      </c>
      <c r="G90">
        <v>1</v>
      </c>
      <c r="H90">
        <v>0</v>
      </c>
    </row>
    <row r="91" spans="1:8" ht="12.75">
      <c r="A91" t="s">
        <v>112</v>
      </c>
      <c r="C91">
        <v>2</v>
      </c>
      <c r="D91">
        <v>15</v>
      </c>
      <c r="E91" s="12">
        <f t="shared" si="1"/>
        <v>7.5</v>
      </c>
      <c r="F91">
        <v>13</v>
      </c>
      <c r="G91">
        <v>0</v>
      </c>
      <c r="H91">
        <v>0</v>
      </c>
    </row>
    <row r="92" spans="1:8" ht="12.75">
      <c r="A92" t="s">
        <v>120</v>
      </c>
      <c r="C92">
        <v>2</v>
      </c>
      <c r="D92">
        <v>42</v>
      </c>
      <c r="E92" s="12">
        <f t="shared" si="1"/>
        <v>21</v>
      </c>
      <c r="F92">
        <v>31</v>
      </c>
      <c r="G92">
        <v>1</v>
      </c>
      <c r="H92">
        <v>0</v>
      </c>
    </row>
    <row r="93" spans="1:8" ht="12.75">
      <c r="A93" t="s">
        <v>121</v>
      </c>
      <c r="C93">
        <v>1</v>
      </c>
      <c r="D93">
        <v>27</v>
      </c>
      <c r="E93" s="12">
        <f t="shared" si="1"/>
        <v>27</v>
      </c>
      <c r="F93">
        <v>27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111</v>
      </c>
      <c r="E95" s="12" t="e">
        <f t="shared" si="1"/>
        <v>#DIV/0!</v>
      </c>
    </row>
    <row r="96" spans="1:8" ht="12.75">
      <c r="A96" t="s">
        <v>123</v>
      </c>
      <c r="C96">
        <v>1</v>
      </c>
      <c r="D96">
        <v>18</v>
      </c>
      <c r="E96" s="12">
        <f t="shared" si="1"/>
        <v>18</v>
      </c>
      <c r="F96">
        <v>18</v>
      </c>
      <c r="G96">
        <v>0</v>
      </c>
      <c r="H96">
        <v>0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36</v>
      </c>
      <c r="D106">
        <v>15</v>
      </c>
      <c r="E106" s="12">
        <f>+D106/C106*100</f>
        <v>41.66666666666667</v>
      </c>
      <c r="F106">
        <v>223</v>
      </c>
      <c r="G106">
        <v>3</v>
      </c>
      <c r="H106">
        <v>32</v>
      </c>
      <c r="I106">
        <v>5</v>
      </c>
      <c r="J106" s="8">
        <f>+G106/C106*100</f>
        <v>8.333333333333332</v>
      </c>
      <c r="K106" s="12">
        <f>+I106/C106*100</f>
        <v>13.88888888888889</v>
      </c>
      <c r="L106" s="12">
        <f>+F106/C106</f>
        <v>6.194444444444445</v>
      </c>
      <c r="M106" s="12">
        <f>100*(S106+U106+W106+Y106)/6</f>
        <v>50.81018518518519</v>
      </c>
      <c r="R106">
        <f>+(E106-30)/20</f>
        <v>0.5833333333333336</v>
      </c>
      <c r="S106" s="2">
        <f>IF(R106&lt;0,0,IF(R106&gt;2.375,2.375,R106))</f>
        <v>0.5833333333333336</v>
      </c>
      <c r="T106" s="6">
        <f>+(L106-3)/4</f>
        <v>0.7986111111111112</v>
      </c>
      <c r="U106" s="2">
        <f>IF(T106&lt;0,0,IF(T106&gt;2.375,2.375,T106))</f>
        <v>0.7986111111111112</v>
      </c>
      <c r="V106">
        <f>+J106/5</f>
        <v>1.6666666666666665</v>
      </c>
      <c r="W106" s="2">
        <f>IF(V106&lt;0,0,IF(V106&gt;2.375,2.375,V106))</f>
        <v>1.6666666666666665</v>
      </c>
      <c r="X106">
        <f>(9.5-K106)/4</f>
        <v>-1.0972222222222223</v>
      </c>
      <c r="Y106" s="2">
        <f>IF(X106&lt;0,0,X106)</f>
        <v>0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2</v>
      </c>
      <c r="D114">
        <v>3</v>
      </c>
      <c r="E114">
        <v>12</v>
      </c>
      <c r="F114" s="12">
        <f>+E114/C114</f>
        <v>6</v>
      </c>
      <c r="G114">
        <v>12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5" ht="12.75">
      <c r="A120" t="s">
        <v>112</v>
      </c>
      <c r="E120" s="12" t="e">
        <f aca="true" t="shared" si="2" ref="E120:E126">+D120/C120</f>
        <v>#DIV/0!</v>
      </c>
    </row>
    <row r="121" spans="1:5" ht="12.75">
      <c r="A121" t="s">
        <v>129</v>
      </c>
      <c r="E121" s="12" t="e">
        <f t="shared" si="2"/>
        <v>#DIV/0!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5</v>
      </c>
      <c r="D129">
        <v>218</v>
      </c>
      <c r="E129" s="12">
        <f>+D129/C129</f>
        <v>43.6</v>
      </c>
      <c r="F129">
        <v>46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7</v>
      </c>
      <c r="D132">
        <v>5</v>
      </c>
      <c r="E132">
        <v>4</v>
      </c>
      <c r="F132">
        <v>4</v>
      </c>
      <c r="G132">
        <v>2</v>
      </c>
      <c r="H132">
        <v>2</v>
      </c>
      <c r="I132" s="12">
        <f>+H132/G132*100</f>
        <v>100</v>
      </c>
      <c r="J132">
        <v>51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8" ht="12.75">
      <c r="A138" t="s">
        <v>129</v>
      </c>
      <c r="C138">
        <v>1</v>
      </c>
      <c r="D138">
        <v>21</v>
      </c>
      <c r="E138" s="12">
        <f t="shared" si="3"/>
        <v>21</v>
      </c>
      <c r="F138">
        <v>21</v>
      </c>
      <c r="G138">
        <v>0</v>
      </c>
      <c r="H138">
        <v>0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8" ht="12.75">
      <c r="A142" t="s">
        <v>138</v>
      </c>
      <c r="C142">
        <v>1</v>
      </c>
      <c r="D142">
        <v>29</v>
      </c>
      <c r="E142" s="12">
        <f t="shared" si="3"/>
        <v>29</v>
      </c>
      <c r="F142">
        <v>29</v>
      </c>
      <c r="G142">
        <v>0</v>
      </c>
      <c r="H142">
        <v>0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140</v>
      </c>
      <c r="C146">
        <v>1</v>
      </c>
    </row>
    <row r="147" spans="1:3" ht="12.75">
      <c r="A147" t="s">
        <v>141</v>
      </c>
      <c r="C147">
        <v>1</v>
      </c>
    </row>
    <row r="148" spans="1:3" ht="12.75">
      <c r="A148" t="s">
        <v>142</v>
      </c>
      <c r="C148">
        <v>1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14</v>
      </c>
      <c r="H160" t="s">
        <v>93</v>
      </c>
      <c r="M160">
        <v>14</v>
      </c>
    </row>
    <row r="161" spans="1:13" ht="12.75">
      <c r="A161" t="s">
        <v>94</v>
      </c>
      <c r="D161">
        <v>5</v>
      </c>
      <c r="H161" t="s">
        <v>94</v>
      </c>
      <c r="M161">
        <v>5</v>
      </c>
    </row>
    <row r="162" spans="1:13" ht="12.75">
      <c r="A162" t="s">
        <v>95</v>
      </c>
      <c r="D162">
        <f>D161/D160*100</f>
        <v>35.714285714285715</v>
      </c>
      <c r="H162" t="s">
        <v>95</v>
      </c>
      <c r="M162">
        <f>+M161/M160*100</f>
        <v>35.714285714285715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Y162"/>
  <sheetViews>
    <sheetView zoomScalePageLayoutView="0" workbookViewId="0" topLeftCell="A60">
      <selection activeCell="A73" sqref="A73:M152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17</v>
      </c>
      <c r="H6" s="1" t="s">
        <v>29</v>
      </c>
      <c r="M6" s="2">
        <f>M7+M8+M9</f>
        <v>28</v>
      </c>
    </row>
    <row r="7" spans="1:13" ht="12.75">
      <c r="A7" s="1" t="s">
        <v>103</v>
      </c>
      <c r="D7" s="2">
        <v>4</v>
      </c>
      <c r="H7" s="1" t="s">
        <v>103</v>
      </c>
      <c r="M7" s="2">
        <v>15</v>
      </c>
    </row>
    <row r="8" spans="1:13" ht="12.75">
      <c r="A8" s="1" t="s">
        <v>105</v>
      </c>
      <c r="D8" s="2">
        <v>11</v>
      </c>
      <c r="H8" s="1" t="s">
        <v>105</v>
      </c>
      <c r="M8" s="2">
        <v>11</v>
      </c>
    </row>
    <row r="9" spans="1:13" ht="12.75">
      <c r="A9" s="1" t="s">
        <v>104</v>
      </c>
      <c r="D9" s="2">
        <v>2</v>
      </c>
      <c r="H9" s="1" t="s">
        <v>104</v>
      </c>
      <c r="M9" s="2">
        <v>2</v>
      </c>
    </row>
    <row r="11" spans="1:23" ht="12.75">
      <c r="A11" t="s">
        <v>1</v>
      </c>
      <c r="D11" s="2">
        <v>26</v>
      </c>
      <c r="H11" t="s">
        <v>1</v>
      </c>
      <c r="M11" s="2">
        <v>29</v>
      </c>
      <c r="V11">
        <f>+D11</f>
        <v>26</v>
      </c>
      <c r="W11">
        <f>+M11</f>
        <v>29</v>
      </c>
    </row>
    <row r="12" spans="1:23" ht="12.75">
      <c r="A12" t="s">
        <v>2</v>
      </c>
      <c r="D12" s="2">
        <v>90</v>
      </c>
      <c r="H12" t="s">
        <v>2</v>
      </c>
      <c r="M12" s="2">
        <v>172</v>
      </c>
      <c r="U12" s="13"/>
      <c r="V12">
        <f>+D16</f>
        <v>13</v>
      </c>
      <c r="W12">
        <f>+M16</f>
        <v>18</v>
      </c>
    </row>
    <row r="13" spans="1:23" ht="12.75">
      <c r="A13" s="1" t="s">
        <v>3</v>
      </c>
      <c r="D13" s="8">
        <f>+D12/D11</f>
        <v>3.4615384615384617</v>
      </c>
      <c r="H13" s="1" t="s">
        <v>3</v>
      </c>
      <c r="M13" s="8">
        <f>M12/M11</f>
        <v>5.931034482758621</v>
      </c>
      <c r="V13">
        <f>+(D15-D16)/2</f>
        <v>14</v>
      </c>
      <c r="W13">
        <f>+(M15-M16)/2</f>
        <v>5.5</v>
      </c>
    </row>
    <row r="14" spans="22:23" ht="12.75">
      <c r="V14">
        <f>+D38/2</f>
        <v>2.5</v>
      </c>
      <c r="W14">
        <f>+M38/2</f>
        <v>1</v>
      </c>
    </row>
    <row r="15" spans="1:23" ht="12.75">
      <c r="A15" t="s">
        <v>4</v>
      </c>
      <c r="D15" s="2">
        <v>41</v>
      </c>
      <c r="H15" t="s">
        <v>4</v>
      </c>
      <c r="M15" s="2">
        <v>29</v>
      </c>
      <c r="V15">
        <f>+D42/2</f>
        <v>0</v>
      </c>
      <c r="W15">
        <f>+M42/2</f>
        <v>1.5</v>
      </c>
    </row>
    <row r="16" spans="1:23" ht="12.75">
      <c r="A16" t="s">
        <v>5</v>
      </c>
      <c r="D16" s="2">
        <v>13</v>
      </c>
      <c r="H16" t="s">
        <v>5</v>
      </c>
      <c r="M16" s="2">
        <v>18</v>
      </c>
      <c r="V16">
        <f>+D48/2</f>
        <v>0.5</v>
      </c>
      <c r="W16">
        <f>+M48/2</f>
        <v>1</v>
      </c>
    </row>
    <row r="17" spans="1:13" ht="12.75">
      <c r="A17" t="s">
        <v>6</v>
      </c>
      <c r="D17" s="8">
        <f>+D16/D15*100</f>
        <v>31.70731707317073</v>
      </c>
      <c r="H17" t="s">
        <v>6</v>
      </c>
      <c r="M17" s="8">
        <f>+M16/M15*100</f>
        <v>62.06896551724138</v>
      </c>
    </row>
    <row r="18" spans="1:24" ht="12.75">
      <c r="A18" t="s">
        <v>7</v>
      </c>
      <c r="D18" s="2">
        <v>211</v>
      </c>
      <c r="H18" t="s">
        <v>7</v>
      </c>
      <c r="M18" s="2">
        <v>274</v>
      </c>
      <c r="V18">
        <f>SUM(V11:V16)</f>
        <v>56</v>
      </c>
      <c r="W18">
        <f>SUM(W11:W16)</f>
        <v>56</v>
      </c>
      <c r="X18">
        <f>+W18+V18</f>
        <v>112</v>
      </c>
    </row>
    <row r="19" spans="1:23" ht="12.75">
      <c r="A19" t="s">
        <v>8</v>
      </c>
      <c r="D19" s="2">
        <v>2</v>
      </c>
      <c r="H19" t="s">
        <v>8</v>
      </c>
      <c r="M19" s="2">
        <v>3</v>
      </c>
      <c r="V19">
        <f>+V18/X18</f>
        <v>0.5</v>
      </c>
      <c r="W19">
        <f>+W18/X18</f>
        <v>0.5</v>
      </c>
    </row>
    <row r="20" spans="1:23" ht="12.75">
      <c r="A20" t="s">
        <v>9</v>
      </c>
      <c r="D20" s="2">
        <v>16</v>
      </c>
      <c r="H20" t="s">
        <v>9</v>
      </c>
      <c r="M20" s="2">
        <v>31</v>
      </c>
      <c r="V20">
        <f>+V19*60</f>
        <v>30</v>
      </c>
      <c r="W20">
        <f>+W19*60</f>
        <v>30</v>
      </c>
    </row>
    <row r="21" spans="1:23" ht="12.75">
      <c r="A21" t="s">
        <v>10</v>
      </c>
      <c r="D21">
        <f>+D18-D20</f>
        <v>195</v>
      </c>
      <c r="H21" t="s">
        <v>10</v>
      </c>
      <c r="M21">
        <f>+M18-M20</f>
        <v>243</v>
      </c>
      <c r="V21">
        <f>+V20-INT(V20)</f>
        <v>0</v>
      </c>
      <c r="W21">
        <f>+W20-INT(W20)</f>
        <v>0</v>
      </c>
    </row>
    <row r="22" spans="1:23" ht="12.75">
      <c r="A22" t="s">
        <v>11</v>
      </c>
      <c r="D22" s="7">
        <f>+D21/(D15+D19)</f>
        <v>4.534883720930233</v>
      </c>
      <c r="H22" t="s">
        <v>11</v>
      </c>
      <c r="M22" s="7">
        <f>+M21/(M15+M19)</f>
        <v>7.59375</v>
      </c>
      <c r="V22">
        <f>+V21*60</f>
        <v>0</v>
      </c>
      <c r="W22">
        <f>+W21*60</f>
        <v>0</v>
      </c>
    </row>
    <row r="23" spans="1:23" ht="12.75">
      <c r="A23" t="s">
        <v>12</v>
      </c>
      <c r="D23" s="7">
        <f>+D18/D16</f>
        <v>16.23076923076923</v>
      </c>
      <c r="H23" t="s">
        <v>12</v>
      </c>
      <c r="M23" s="7">
        <f>+M18/M16</f>
        <v>15.222222222222221</v>
      </c>
      <c r="U23">
        <v>0</v>
      </c>
      <c r="V23" s="11">
        <f>ROUND(V22,0)</f>
        <v>0</v>
      </c>
      <c r="W23">
        <f>ROUND(W22,0)</f>
        <v>0</v>
      </c>
    </row>
    <row r="24" spans="22:23" ht="12.75">
      <c r="V24">
        <f>INT(V20)</f>
        <v>30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285</v>
      </c>
      <c r="H26" t="s">
        <v>14</v>
      </c>
      <c r="M26">
        <f>+M21+M12</f>
        <v>415</v>
      </c>
      <c r="V26" s="14" t="str">
        <f>+V24&amp;V25&amp;V23</f>
        <v>30:0</v>
      </c>
      <c r="W26" s="9" t="str">
        <f>+W24&amp;W25&amp;W23</f>
        <v>30:0</v>
      </c>
    </row>
    <row r="27" spans="1:23" ht="12.75">
      <c r="A27" t="s">
        <v>15</v>
      </c>
      <c r="D27" s="7">
        <f>+D12/D26*100</f>
        <v>31.57894736842105</v>
      </c>
      <c r="H27" t="s">
        <v>15</v>
      </c>
      <c r="M27" s="7">
        <f>+M12/M26*100</f>
        <v>41.445783132530124</v>
      </c>
      <c r="V27" s="9" t="str">
        <f>IF(V23&lt;10,+V24&amp;V25&amp;$U$23&amp;V23,+V24&amp;V25&amp;V23)</f>
        <v>30:00</v>
      </c>
      <c r="W27" s="9" t="str">
        <f>IF(W23&lt;10,+W24&amp;W25&amp;$U$23&amp;W23,+W24&amp;W25&amp;W23)</f>
        <v>30:00</v>
      </c>
    </row>
    <row r="28" spans="1:13" ht="12.75">
      <c r="A28" s="1" t="s">
        <v>86</v>
      </c>
      <c r="D28" s="7">
        <f>+D21/D26*100</f>
        <v>68.42105263157895</v>
      </c>
      <c r="H28" s="1" t="s">
        <v>86</v>
      </c>
      <c r="M28" s="7">
        <f>+M21/M26*100</f>
        <v>58.554216867469876</v>
      </c>
    </row>
    <row r="30" spans="1:13" ht="12.75">
      <c r="A30" t="s">
        <v>16</v>
      </c>
      <c r="D30">
        <f>+D11+D15+D19</f>
        <v>69</v>
      </c>
      <c r="H30" t="s">
        <v>16</v>
      </c>
      <c r="M30">
        <f>+M11+M15+M19</f>
        <v>61</v>
      </c>
    </row>
    <row r="31" spans="1:13" ht="12.75">
      <c r="A31" t="s">
        <v>17</v>
      </c>
      <c r="D31" s="8">
        <f>+D26/D30</f>
        <v>4.130434782608695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6.80327868852459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3</v>
      </c>
    </row>
    <row r="35" spans="1:13" ht="12.75">
      <c r="A35" t="s">
        <v>20</v>
      </c>
      <c r="D35" s="2">
        <v>56</v>
      </c>
      <c r="H35" t="s">
        <v>20</v>
      </c>
      <c r="M35" s="2">
        <v>9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2</v>
      </c>
    </row>
    <row r="39" spans="1:13" ht="12.75">
      <c r="A39" t="s">
        <v>23</v>
      </c>
      <c r="D39" s="2">
        <v>205</v>
      </c>
      <c r="H39" t="s">
        <v>23</v>
      </c>
      <c r="M39" s="2">
        <v>75</v>
      </c>
    </row>
    <row r="40" spans="1:13" ht="12.75">
      <c r="A40" t="s">
        <v>24</v>
      </c>
      <c r="D40" s="8">
        <f>+D39/D38</f>
        <v>41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37.5</v>
      </c>
    </row>
    <row r="42" spans="1:13" ht="12.75">
      <c r="A42" t="s">
        <v>25</v>
      </c>
      <c r="D42" s="2">
        <v>0</v>
      </c>
      <c r="H42" t="s">
        <v>25</v>
      </c>
      <c r="M42" s="2">
        <v>3</v>
      </c>
    </row>
    <row r="43" spans="1:13" ht="12.75">
      <c r="A43" t="s">
        <v>26</v>
      </c>
      <c r="D43" s="2">
        <v>0</v>
      </c>
      <c r="H43" t="s">
        <v>26</v>
      </c>
      <c r="M43" s="2">
        <v>14</v>
      </c>
    </row>
    <row r="44" spans="1:13" ht="12.75">
      <c r="A44" t="s">
        <v>27</v>
      </c>
      <c r="D44" s="8">
        <v>0</v>
      </c>
      <c r="H44" t="s">
        <v>27</v>
      </c>
      <c r="M44" s="8">
        <f>+M43/M42</f>
        <v>4.666666666666667</v>
      </c>
    </row>
    <row r="45" spans="1:13" ht="12.75">
      <c r="A45" t="s">
        <v>106</v>
      </c>
      <c r="D45" s="2">
        <v>0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1</v>
      </c>
      <c r="H48" t="s">
        <v>30</v>
      </c>
      <c r="M48" s="2">
        <v>2</v>
      </c>
    </row>
    <row r="49" spans="1:13" ht="12.75">
      <c r="A49" t="s">
        <v>26</v>
      </c>
      <c r="D49" s="2">
        <v>123</v>
      </c>
      <c r="H49" t="s">
        <v>26</v>
      </c>
      <c r="M49" s="2">
        <v>19</v>
      </c>
    </row>
    <row r="50" spans="1:13" ht="12.75">
      <c r="A50" t="s">
        <v>27</v>
      </c>
      <c r="D50" s="8">
        <f>+D49/D48</f>
        <v>123</v>
      </c>
      <c r="H50" t="s">
        <v>27</v>
      </c>
      <c r="M50" s="8">
        <f>+M49/M48</f>
        <v>9.5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6</v>
      </c>
      <c r="H53" t="s">
        <v>31</v>
      </c>
      <c r="M53" s="2">
        <v>5</v>
      </c>
    </row>
    <row r="54" spans="1:13" ht="12.75">
      <c r="A54" t="s">
        <v>32</v>
      </c>
      <c r="D54" s="2">
        <v>45</v>
      </c>
      <c r="H54" t="s">
        <v>32</v>
      </c>
      <c r="M54" s="2">
        <v>58</v>
      </c>
    </row>
    <row r="56" spans="1:13" ht="12.75">
      <c r="A56" t="s">
        <v>33</v>
      </c>
      <c r="D56" s="2">
        <v>1</v>
      </c>
      <c r="H56" t="s">
        <v>33</v>
      </c>
      <c r="M56" s="2">
        <v>1</v>
      </c>
    </row>
    <row r="57" spans="1:13" ht="12.75">
      <c r="A57" t="s">
        <v>101</v>
      </c>
      <c r="D57" s="2">
        <v>1</v>
      </c>
      <c r="H57" t="s">
        <v>101</v>
      </c>
      <c r="M57" s="2">
        <v>1</v>
      </c>
    </row>
    <row r="59" spans="1:13" ht="12.75">
      <c r="A59" t="s">
        <v>34</v>
      </c>
      <c r="D59" s="2">
        <v>16</v>
      </c>
      <c r="H59" t="s">
        <v>34</v>
      </c>
      <c r="M59" s="2">
        <v>34</v>
      </c>
    </row>
    <row r="60" spans="1:13" ht="12.75">
      <c r="A60" t="s">
        <v>35</v>
      </c>
      <c r="D60" s="2">
        <v>1</v>
      </c>
      <c r="H60" t="s">
        <v>35</v>
      </c>
      <c r="M60" s="2">
        <v>4</v>
      </c>
    </row>
    <row r="61" spans="1:13" ht="12.75">
      <c r="A61" t="s">
        <v>36</v>
      </c>
      <c r="D61" s="2">
        <v>0</v>
      </c>
      <c r="H61" t="s">
        <v>36</v>
      </c>
      <c r="M61" s="2">
        <v>3</v>
      </c>
    </row>
    <row r="62" spans="1:13" ht="12.75">
      <c r="A62" t="s">
        <v>37</v>
      </c>
      <c r="D62" s="2">
        <v>1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4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2</v>
      </c>
    </row>
    <row r="67" spans="1:13" ht="12.75">
      <c r="A67" t="s">
        <v>42</v>
      </c>
      <c r="D67" s="2">
        <v>2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150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30:00</v>
      </c>
      <c r="E69" s="8"/>
      <c r="F69" s="8"/>
      <c r="H69" t="s">
        <v>92</v>
      </c>
      <c r="M69" s="10" t="str">
        <f>IF(W23&lt;10,W27,W26)</f>
        <v>30:00</v>
      </c>
    </row>
    <row r="70" spans="1:13" ht="12.75">
      <c r="A70" t="s">
        <v>102</v>
      </c>
      <c r="D70" s="23">
        <f>D162</f>
        <v>38.88888888888889</v>
      </c>
      <c r="E70" s="8"/>
      <c r="F70" s="8"/>
      <c r="H70" t="s">
        <v>102</v>
      </c>
      <c r="M70" s="23">
        <f>M162</f>
        <v>33.33333333333333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11</v>
      </c>
      <c r="D74">
        <v>62</v>
      </c>
      <c r="E74" s="12">
        <f aca="true" t="shared" si="0" ref="E74:E84">+D74/C74</f>
        <v>5.636363636363637</v>
      </c>
      <c r="F74">
        <v>22</v>
      </c>
      <c r="G74">
        <v>0</v>
      </c>
      <c r="H74">
        <v>0</v>
      </c>
    </row>
    <row r="75" spans="1:8" ht="12.75">
      <c r="A75" t="s">
        <v>110</v>
      </c>
      <c r="C75">
        <v>12</v>
      </c>
      <c r="D75">
        <v>16</v>
      </c>
      <c r="E75" s="12">
        <f t="shared" si="0"/>
        <v>1.3333333333333333</v>
      </c>
      <c r="F75">
        <v>4</v>
      </c>
      <c r="G75">
        <v>0</v>
      </c>
      <c r="H75">
        <v>0</v>
      </c>
    </row>
    <row r="76" spans="1:8" ht="12.75">
      <c r="A76" t="s">
        <v>111</v>
      </c>
      <c r="C76">
        <v>1</v>
      </c>
      <c r="D76">
        <v>3</v>
      </c>
      <c r="E76" s="12">
        <f t="shared" si="0"/>
        <v>3</v>
      </c>
      <c r="F76">
        <v>3</v>
      </c>
      <c r="G76">
        <v>0</v>
      </c>
      <c r="H76">
        <v>0</v>
      </c>
    </row>
    <row r="77" spans="1:8" ht="12.75">
      <c r="A77" t="s">
        <v>112</v>
      </c>
      <c r="C77">
        <v>2</v>
      </c>
      <c r="D77">
        <v>9</v>
      </c>
      <c r="E77" s="12">
        <f t="shared" si="0"/>
        <v>4.5</v>
      </c>
      <c r="F77">
        <v>9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107</v>
      </c>
      <c r="E80" s="12" t="e">
        <f t="shared" si="0"/>
        <v>#DIV/0!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2</v>
      </c>
      <c r="D87">
        <v>24</v>
      </c>
      <c r="E87" s="12">
        <f aca="true" t="shared" si="1" ref="E87:E102">+D87/C87</f>
        <v>12</v>
      </c>
      <c r="F87">
        <v>21</v>
      </c>
      <c r="G87">
        <v>1</v>
      </c>
      <c r="H87">
        <v>0</v>
      </c>
    </row>
    <row r="88" spans="1:8" ht="12.75">
      <c r="A88" t="s">
        <v>109</v>
      </c>
      <c r="C88">
        <v>2</v>
      </c>
      <c r="D88">
        <v>13</v>
      </c>
      <c r="E88" s="12">
        <f t="shared" si="1"/>
        <v>6.5</v>
      </c>
      <c r="F88">
        <v>11</v>
      </c>
      <c r="G88">
        <v>0</v>
      </c>
      <c r="H88">
        <v>0</v>
      </c>
    </row>
    <row r="89" spans="1:8" ht="12.75">
      <c r="A89" t="s">
        <v>117</v>
      </c>
      <c r="C89">
        <v>1</v>
      </c>
      <c r="D89">
        <v>8</v>
      </c>
      <c r="E89" s="12">
        <f t="shared" si="1"/>
        <v>8</v>
      </c>
      <c r="F89">
        <v>8</v>
      </c>
      <c r="G89">
        <v>0</v>
      </c>
      <c r="H89">
        <v>0</v>
      </c>
    </row>
    <row r="90" spans="1:8" ht="12.75">
      <c r="A90" t="s">
        <v>116</v>
      </c>
      <c r="C90">
        <v>1</v>
      </c>
      <c r="D90">
        <v>30</v>
      </c>
      <c r="E90" s="12">
        <f t="shared" si="1"/>
        <v>30</v>
      </c>
      <c r="F90">
        <v>30</v>
      </c>
      <c r="G90">
        <v>0</v>
      </c>
      <c r="H90">
        <v>0</v>
      </c>
    </row>
    <row r="91" spans="1:8" ht="12.75">
      <c r="A91" t="s">
        <v>112</v>
      </c>
      <c r="C91">
        <v>1</v>
      </c>
      <c r="D91">
        <v>21</v>
      </c>
      <c r="E91" s="12">
        <f t="shared" si="1"/>
        <v>21</v>
      </c>
      <c r="F91">
        <v>21</v>
      </c>
      <c r="G91">
        <v>0</v>
      </c>
      <c r="H91">
        <v>0</v>
      </c>
    </row>
    <row r="92" spans="1:8" ht="12.75">
      <c r="A92" t="s">
        <v>120</v>
      </c>
      <c r="C92">
        <v>2</v>
      </c>
      <c r="D92">
        <v>14</v>
      </c>
      <c r="E92" s="12">
        <f t="shared" si="1"/>
        <v>7</v>
      </c>
      <c r="F92">
        <v>12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7</v>
      </c>
      <c r="E93" s="12">
        <f t="shared" si="1"/>
        <v>7</v>
      </c>
      <c r="F93">
        <v>7</v>
      </c>
      <c r="G93">
        <v>0</v>
      </c>
      <c r="H93">
        <v>0</v>
      </c>
    </row>
    <row r="94" spans="1:8" ht="12.75">
      <c r="A94" t="s">
        <v>122</v>
      </c>
      <c r="C94">
        <v>1</v>
      </c>
      <c r="D94">
        <v>14</v>
      </c>
      <c r="E94" s="12">
        <f t="shared" si="1"/>
        <v>14</v>
      </c>
      <c r="F94">
        <v>14</v>
      </c>
      <c r="G94">
        <v>0</v>
      </c>
      <c r="H94">
        <v>0</v>
      </c>
    </row>
    <row r="95" spans="1:5" ht="12.75">
      <c r="A95" t="s">
        <v>111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8" ht="12.75">
      <c r="A97" t="s">
        <v>110</v>
      </c>
      <c r="C97">
        <v>1</v>
      </c>
      <c r="D97">
        <v>28</v>
      </c>
      <c r="E97" s="12">
        <f t="shared" si="1"/>
        <v>28</v>
      </c>
      <c r="F97">
        <v>28</v>
      </c>
      <c r="G97">
        <v>0</v>
      </c>
      <c r="H97">
        <v>0</v>
      </c>
    </row>
    <row r="98" spans="1:8" ht="12.75">
      <c r="A98" t="s">
        <v>115</v>
      </c>
      <c r="C98">
        <v>1</v>
      </c>
      <c r="D98">
        <v>52</v>
      </c>
      <c r="E98" s="12">
        <f t="shared" si="1"/>
        <v>52</v>
      </c>
      <c r="F98">
        <v>52</v>
      </c>
      <c r="G98">
        <v>0</v>
      </c>
      <c r="H98">
        <v>0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114</v>
      </c>
      <c r="C107">
        <v>40</v>
      </c>
      <c r="D107">
        <v>12</v>
      </c>
      <c r="E107" s="12">
        <f>+D107/C107*100</f>
        <v>30</v>
      </c>
      <c r="F107">
        <v>159</v>
      </c>
      <c r="G107">
        <v>1</v>
      </c>
      <c r="H107">
        <v>30</v>
      </c>
      <c r="I107">
        <v>3</v>
      </c>
      <c r="J107" s="8">
        <f>+G107/C107*100</f>
        <v>2.5</v>
      </c>
      <c r="K107" s="12">
        <f>+I107/C107*100</f>
        <v>7.5</v>
      </c>
      <c r="L107" s="12">
        <f>+F107/C107</f>
        <v>3.975</v>
      </c>
      <c r="M107" s="12">
        <f>100*(S107+U107+W107+Y107)/6</f>
        <v>20.729166666666664</v>
      </c>
      <c r="R107">
        <f>+(E107-30)/20</f>
        <v>0</v>
      </c>
      <c r="S107" s="2">
        <f>IF(R107&lt;0,0,IF(R107&gt;2.375,2.375,R107))</f>
        <v>0</v>
      </c>
      <c r="T107" s="6">
        <f>+(L107-3)/4</f>
        <v>0.24375000000000002</v>
      </c>
      <c r="U107" s="2">
        <f>IF(T107&lt;0,0,IF(T107&gt;2.375,2.375,T107))</f>
        <v>0.24375000000000002</v>
      </c>
      <c r="V107">
        <f>+J107/5</f>
        <v>0.5</v>
      </c>
      <c r="W107" s="2">
        <f>IF(V107&lt;0,0,IF(V107&gt;2.375,2.375,V107))</f>
        <v>0.5</v>
      </c>
      <c r="X107">
        <f>(9.5-K107)/4</f>
        <v>0.5</v>
      </c>
      <c r="Y107" s="2">
        <f>IF(X107&lt;0,0,X107)</f>
        <v>0.5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C110">
        <v>1</v>
      </c>
      <c r="D110">
        <v>1</v>
      </c>
      <c r="E110" s="12">
        <f>+D110/C110*100</f>
        <v>100</v>
      </c>
      <c r="F110">
        <v>52</v>
      </c>
      <c r="G110">
        <v>0</v>
      </c>
      <c r="H110">
        <v>52</v>
      </c>
      <c r="I110">
        <v>0</v>
      </c>
      <c r="J110" s="8">
        <f>+G110/C110*100</f>
        <v>0</v>
      </c>
      <c r="K110" s="12">
        <f>+I110/C110*100</f>
        <v>0</v>
      </c>
      <c r="L110" s="12">
        <f>+F110/C110</f>
        <v>52</v>
      </c>
      <c r="M110" s="12">
        <f>100*(S110+U110+W110+Y110)/6</f>
        <v>118.75</v>
      </c>
      <c r="R110">
        <f>+(E110-30)/20</f>
        <v>3.5</v>
      </c>
      <c r="S110" s="2">
        <f>IF(R110&lt;0,0,IF(R110&gt;2.375,2.375,R110))</f>
        <v>2.375</v>
      </c>
      <c r="T110" s="6">
        <f>+(L110-3)/4</f>
        <v>12.25</v>
      </c>
      <c r="U110" s="2">
        <f>IF(T110&lt;0,0,IF(T110&gt;2.375,2.375,T110))</f>
        <v>2.375</v>
      </c>
      <c r="V110">
        <f>+J110/5</f>
        <v>0</v>
      </c>
      <c r="W110" s="2">
        <f>IF(V110&lt;0,0,IF(V110&gt;2.375,2.375,V110))</f>
        <v>0</v>
      </c>
      <c r="X110">
        <f>(9.5-K110)/4</f>
        <v>2.375</v>
      </c>
      <c r="Y110" s="2">
        <f>IF(X110&lt;0,0,X110)</f>
        <v>2.375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6" ht="12.75">
      <c r="A114" t="s">
        <v>129</v>
      </c>
      <c r="F114" s="12" t="e">
        <f>+E114/C114</f>
        <v>#DIV/0!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4</v>
      </c>
      <c r="D120">
        <v>123</v>
      </c>
      <c r="E120" s="12">
        <f aca="true" t="shared" si="2" ref="E120:E126">+D120/C120</f>
        <v>30.75</v>
      </c>
      <c r="F120">
        <v>43</v>
      </c>
      <c r="G120">
        <v>0</v>
      </c>
      <c r="H120">
        <v>0</v>
      </c>
    </row>
    <row r="121" spans="1:5" ht="12.75">
      <c r="A121" t="s">
        <v>129</v>
      </c>
      <c r="E121" s="12" t="e">
        <f t="shared" si="2"/>
        <v>#DIV/0!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5</v>
      </c>
      <c r="D129">
        <v>205</v>
      </c>
      <c r="E129" s="12">
        <f>+D129/C129</f>
        <v>41</v>
      </c>
      <c r="F129">
        <v>54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2</v>
      </c>
      <c r="D132">
        <v>2</v>
      </c>
      <c r="E132">
        <v>1</v>
      </c>
      <c r="F132">
        <v>1</v>
      </c>
      <c r="G132">
        <v>3</v>
      </c>
      <c r="H132">
        <v>3</v>
      </c>
      <c r="I132" s="12">
        <f>+H132/G132*100</f>
        <v>100</v>
      </c>
      <c r="J132">
        <v>41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133</v>
      </c>
      <c r="C135">
        <v>1</v>
      </c>
      <c r="D135">
        <v>9</v>
      </c>
      <c r="E135" s="12">
        <f>+D135/C135</f>
        <v>9</v>
      </c>
      <c r="F135">
        <v>9</v>
      </c>
      <c r="G135">
        <v>0</v>
      </c>
      <c r="H135">
        <v>1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8" ht="12.75">
      <c r="A138" t="s">
        <v>129</v>
      </c>
      <c r="C138">
        <v>1</v>
      </c>
      <c r="D138">
        <v>0</v>
      </c>
      <c r="E138" s="12">
        <f t="shared" si="3"/>
        <v>0</v>
      </c>
      <c r="F138">
        <v>0</v>
      </c>
      <c r="G138">
        <v>0</v>
      </c>
      <c r="H138">
        <v>0</v>
      </c>
    </row>
    <row r="139" spans="1:8" ht="12.75">
      <c r="A139" t="s">
        <v>136</v>
      </c>
      <c r="C139">
        <v>1</v>
      </c>
      <c r="D139">
        <v>0</v>
      </c>
      <c r="E139" s="12">
        <f t="shared" si="3"/>
        <v>0</v>
      </c>
      <c r="F139">
        <v>0</v>
      </c>
      <c r="G139">
        <v>0</v>
      </c>
      <c r="H139">
        <v>0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140</v>
      </c>
      <c r="C146">
        <v>1</v>
      </c>
    </row>
    <row r="147" spans="1:3" ht="12.75">
      <c r="A147" t="s">
        <v>141</v>
      </c>
      <c r="C147">
        <v>0.5</v>
      </c>
    </row>
    <row r="148" ht="12.75">
      <c r="A148" t="s">
        <v>142</v>
      </c>
    </row>
    <row r="149" spans="1:3" ht="12.75">
      <c r="A149" t="s">
        <v>143</v>
      </c>
      <c r="C149">
        <v>0.5</v>
      </c>
    </row>
    <row r="150" ht="12.75">
      <c r="A150" t="s">
        <v>144</v>
      </c>
    </row>
    <row r="151" ht="12.75">
      <c r="A151" t="s">
        <v>145</v>
      </c>
    </row>
    <row r="152" spans="1:3" ht="12.75">
      <c r="A152" t="s">
        <v>125</v>
      </c>
      <c r="C152">
        <v>1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18</v>
      </c>
      <c r="H160" t="s">
        <v>93</v>
      </c>
      <c r="M160">
        <v>9</v>
      </c>
    </row>
    <row r="161" spans="1:13" ht="12.75">
      <c r="A161" t="s">
        <v>94</v>
      </c>
      <c r="D161">
        <v>7</v>
      </c>
      <c r="H161" t="s">
        <v>94</v>
      </c>
      <c r="M161">
        <v>3</v>
      </c>
    </row>
    <row r="162" spans="1:13" ht="12.75">
      <c r="A162" t="s">
        <v>95</v>
      </c>
      <c r="D162" s="8">
        <f>D161/D160*100</f>
        <v>38.88888888888889</v>
      </c>
      <c r="H162" t="s">
        <v>95</v>
      </c>
      <c r="M162">
        <f>+M161/M160*100</f>
        <v>33.33333333333333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Y162"/>
  <sheetViews>
    <sheetView zoomScalePageLayoutView="0" workbookViewId="0" topLeftCell="A60">
      <selection activeCell="A73" sqref="A73:M13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17</v>
      </c>
      <c r="H6" s="1" t="s">
        <v>29</v>
      </c>
      <c r="M6" s="2">
        <f>M7+M8+M9</f>
        <v>23</v>
      </c>
    </row>
    <row r="7" spans="1:13" ht="12.75">
      <c r="A7" s="1" t="s">
        <v>103</v>
      </c>
      <c r="D7" s="2">
        <v>9</v>
      </c>
      <c r="H7" s="1" t="s">
        <v>103</v>
      </c>
      <c r="M7" s="2">
        <v>7</v>
      </c>
    </row>
    <row r="8" spans="1:13" ht="12.75">
      <c r="A8" s="1" t="s">
        <v>105</v>
      </c>
      <c r="D8" s="2">
        <v>8</v>
      </c>
      <c r="H8" s="1" t="s">
        <v>105</v>
      </c>
      <c r="M8" s="2">
        <v>14</v>
      </c>
    </row>
    <row r="9" spans="1:13" ht="12.75">
      <c r="A9" s="1" t="s">
        <v>104</v>
      </c>
      <c r="D9" s="2">
        <v>0</v>
      </c>
      <c r="H9" s="1" t="s">
        <v>104</v>
      </c>
      <c r="M9" s="2">
        <v>2</v>
      </c>
    </row>
    <row r="11" spans="1:23" ht="12.75">
      <c r="A11" t="s">
        <v>1</v>
      </c>
      <c r="D11" s="2">
        <v>29</v>
      </c>
      <c r="H11" t="s">
        <v>1</v>
      </c>
      <c r="M11" s="2">
        <v>28</v>
      </c>
      <c r="V11">
        <f>+D11</f>
        <v>29</v>
      </c>
      <c r="W11">
        <f>+M11</f>
        <v>28</v>
      </c>
    </row>
    <row r="12" spans="1:23" ht="12.75">
      <c r="A12" t="s">
        <v>2</v>
      </c>
      <c r="D12" s="2">
        <v>86</v>
      </c>
      <c r="H12" t="s">
        <v>2</v>
      </c>
      <c r="M12" s="2">
        <v>152</v>
      </c>
      <c r="U12" s="13"/>
      <c r="V12">
        <f>+D16</f>
        <v>21</v>
      </c>
      <c r="W12">
        <f>+M16</f>
        <v>28</v>
      </c>
    </row>
    <row r="13" spans="1:23" ht="12.75">
      <c r="A13" s="1" t="s">
        <v>3</v>
      </c>
      <c r="D13" s="8">
        <f>+D12/D11</f>
        <v>2.9655172413793105</v>
      </c>
      <c r="H13" s="1" t="s">
        <v>3</v>
      </c>
      <c r="M13" s="8">
        <f>+M12/M11</f>
        <v>5.428571428571429</v>
      </c>
      <c r="V13">
        <f>+(D15-D16)/2</f>
        <v>7.5</v>
      </c>
      <c r="W13">
        <f>+(M15-M16)/2</f>
        <v>6</v>
      </c>
    </row>
    <row r="14" spans="22:23" ht="12.75">
      <c r="V14">
        <f>+D38/2</f>
        <v>4</v>
      </c>
      <c r="W14">
        <f>+M38/2</f>
        <v>3.5</v>
      </c>
    </row>
    <row r="15" spans="1:23" ht="12.75">
      <c r="A15" t="s">
        <v>4</v>
      </c>
      <c r="D15" s="2">
        <v>36</v>
      </c>
      <c r="H15" t="s">
        <v>4</v>
      </c>
      <c r="M15" s="2">
        <v>40</v>
      </c>
      <c r="V15">
        <f>+D42/2</f>
        <v>0.5</v>
      </c>
      <c r="W15">
        <f>+M42/2</f>
        <v>2.5</v>
      </c>
    </row>
    <row r="16" spans="1:23" ht="12.75">
      <c r="A16" t="s">
        <v>5</v>
      </c>
      <c r="D16" s="2">
        <v>21</v>
      </c>
      <c r="H16" t="s">
        <v>5</v>
      </c>
      <c r="M16" s="2">
        <v>28</v>
      </c>
      <c r="V16">
        <f>+D48/2</f>
        <v>2</v>
      </c>
      <c r="W16">
        <f>+M48/2</f>
        <v>1</v>
      </c>
    </row>
    <row r="17" spans="1:13" ht="12.75">
      <c r="A17" t="s">
        <v>6</v>
      </c>
      <c r="D17" s="8">
        <f>+D16/D15*100</f>
        <v>58.333333333333336</v>
      </c>
      <c r="H17" t="s">
        <v>6</v>
      </c>
      <c r="M17" s="8">
        <f>+M16/M15*100</f>
        <v>70</v>
      </c>
    </row>
    <row r="18" spans="1:24" ht="12.75">
      <c r="A18" t="s">
        <v>7</v>
      </c>
      <c r="D18" s="2">
        <v>212</v>
      </c>
      <c r="H18" t="s">
        <v>7</v>
      </c>
      <c r="M18" s="2">
        <v>320</v>
      </c>
      <c r="V18">
        <f>SUM(V11:V16)</f>
        <v>64</v>
      </c>
      <c r="W18">
        <f>SUM(W11:W16)</f>
        <v>69</v>
      </c>
      <c r="X18">
        <f>+W18+V18</f>
        <v>133</v>
      </c>
    </row>
    <row r="19" spans="1:23" ht="12.75">
      <c r="A19" t="s">
        <v>8</v>
      </c>
      <c r="D19" s="2">
        <v>4</v>
      </c>
      <c r="H19" t="s">
        <v>8</v>
      </c>
      <c r="M19" s="2">
        <v>0</v>
      </c>
      <c r="V19">
        <f>+V18/X18</f>
        <v>0.48120300751879697</v>
      </c>
      <c r="W19">
        <f>+W18/X18</f>
        <v>0.518796992481203</v>
      </c>
    </row>
    <row r="20" spans="1:23" ht="12.75">
      <c r="A20" t="s">
        <v>9</v>
      </c>
      <c r="D20" s="2">
        <v>42</v>
      </c>
      <c r="H20" t="s">
        <v>9</v>
      </c>
      <c r="M20" s="2">
        <v>0</v>
      </c>
      <c r="V20">
        <f>+V19*60</f>
        <v>28.872180451127818</v>
      </c>
      <c r="W20">
        <f>+W19*60</f>
        <v>31.127819548872182</v>
      </c>
    </row>
    <row r="21" spans="1:23" ht="12.75">
      <c r="A21" t="s">
        <v>10</v>
      </c>
      <c r="D21">
        <f>+D18-D20</f>
        <v>170</v>
      </c>
      <c r="H21" t="s">
        <v>10</v>
      </c>
      <c r="M21">
        <f>+M18-M20</f>
        <v>320</v>
      </c>
      <c r="V21">
        <f>+V20-INT(V20)</f>
        <v>0.872180451127818</v>
      </c>
      <c r="W21">
        <f>+W20-INT(W20)</f>
        <v>0.12781954887218205</v>
      </c>
    </row>
    <row r="22" spans="1:23" ht="12.75">
      <c r="A22" t="s">
        <v>11</v>
      </c>
      <c r="D22" s="7">
        <f>+D21/(D15+D19)</f>
        <v>4.25</v>
      </c>
      <c r="H22" t="s">
        <v>11</v>
      </c>
      <c r="M22" s="7">
        <f>+M21/(M15+M19)</f>
        <v>8</v>
      </c>
      <c r="V22">
        <f>+V21*60</f>
        <v>52.33082706766908</v>
      </c>
      <c r="W22">
        <f>+W21*60</f>
        <v>7.669172932330923</v>
      </c>
    </row>
    <row r="23" spans="1:23" ht="12.75">
      <c r="A23" t="s">
        <v>12</v>
      </c>
      <c r="D23" s="7">
        <f>+D18/D16</f>
        <v>10.095238095238095</v>
      </c>
      <c r="H23" t="s">
        <v>12</v>
      </c>
      <c r="M23" s="7">
        <f>+M18/M16</f>
        <v>11.428571428571429</v>
      </c>
      <c r="U23">
        <v>0</v>
      </c>
      <c r="V23" s="11">
        <f>ROUND(V22,0)</f>
        <v>52</v>
      </c>
      <c r="W23">
        <f>ROUND(W22,0)</f>
        <v>8</v>
      </c>
    </row>
    <row r="24" spans="22:23" ht="12.75">
      <c r="V24">
        <f>INT(V20)</f>
        <v>28</v>
      </c>
      <c r="W24">
        <f>INT(W20)</f>
        <v>31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256</v>
      </c>
      <c r="H26" t="s">
        <v>14</v>
      </c>
      <c r="M26">
        <f>+M21+M12</f>
        <v>472</v>
      </c>
      <c r="V26" s="14" t="str">
        <f>+V24&amp;V25&amp;V23</f>
        <v>28:52</v>
      </c>
      <c r="W26" s="9" t="str">
        <f>+W24&amp;W25&amp;W23</f>
        <v>31:8</v>
      </c>
    </row>
    <row r="27" spans="1:23" ht="12.75">
      <c r="A27" t="s">
        <v>15</v>
      </c>
      <c r="D27" s="7">
        <f>+D12/D26*100</f>
        <v>33.59375</v>
      </c>
      <c r="H27" t="s">
        <v>15</v>
      </c>
      <c r="M27" s="7">
        <f>+M12/M26*100</f>
        <v>32.20338983050847</v>
      </c>
      <c r="V27" s="9" t="str">
        <f>IF(V23&lt;10,+V24&amp;V25&amp;$U$23&amp;V23,+V24&amp;V25&amp;V23)</f>
        <v>28:52</v>
      </c>
      <c r="W27" s="9" t="str">
        <f>IF(W23&lt;10,+W24&amp;W25&amp;$U$23&amp;W23,+W24&amp;W25&amp;W23)</f>
        <v>31:08</v>
      </c>
    </row>
    <row r="28" spans="1:13" ht="12.75">
      <c r="A28" s="1" t="s">
        <v>86</v>
      </c>
      <c r="D28" s="7">
        <f>+D21/D26*100</f>
        <v>66.40625</v>
      </c>
      <c r="H28" s="1" t="s">
        <v>86</v>
      </c>
      <c r="M28" s="7">
        <f>+M21/M26*100</f>
        <v>67.79661016949152</v>
      </c>
    </row>
    <row r="30" spans="1:13" ht="12.75">
      <c r="A30" t="s">
        <v>16</v>
      </c>
      <c r="D30">
        <f>+D11+D15+D19</f>
        <v>69</v>
      </c>
      <c r="H30" t="s">
        <v>16</v>
      </c>
      <c r="M30">
        <f>+M11+M15+M19</f>
        <v>68</v>
      </c>
    </row>
    <row r="31" spans="1:13" ht="12.75">
      <c r="A31" t="s">
        <v>17</v>
      </c>
      <c r="D31" s="8">
        <f>+D26/D30</f>
        <v>3.710144927536232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6.9411764705882355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2</v>
      </c>
    </row>
    <row r="35" spans="1:13" ht="12.75">
      <c r="A35" t="s">
        <v>20</v>
      </c>
      <c r="D35" s="2">
        <v>-2</v>
      </c>
      <c r="H35" t="s">
        <v>20</v>
      </c>
      <c r="M35" s="2">
        <v>4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8</v>
      </c>
      <c r="H38" t="s">
        <v>22</v>
      </c>
      <c r="M38" s="2">
        <v>7</v>
      </c>
    </row>
    <row r="39" spans="1:13" ht="12.75">
      <c r="A39" t="s">
        <v>23</v>
      </c>
      <c r="D39" s="2">
        <v>365</v>
      </c>
      <c r="H39" t="s">
        <v>23</v>
      </c>
      <c r="M39" s="2">
        <v>312</v>
      </c>
    </row>
    <row r="40" spans="1:13" ht="12.75">
      <c r="A40" t="s">
        <v>24</v>
      </c>
      <c r="D40" s="8">
        <f>+D39/D38</f>
        <v>45.625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44.57142857142857</v>
      </c>
    </row>
    <row r="42" spans="1:13" ht="12.75">
      <c r="A42" t="s">
        <v>25</v>
      </c>
      <c r="D42" s="2">
        <v>1</v>
      </c>
      <c r="H42" t="s">
        <v>25</v>
      </c>
      <c r="M42" s="2">
        <v>5</v>
      </c>
    </row>
    <row r="43" spans="1:13" ht="12.75">
      <c r="A43" t="s">
        <v>26</v>
      </c>
      <c r="D43" s="2">
        <v>6</v>
      </c>
      <c r="H43" t="s">
        <v>26</v>
      </c>
      <c r="M43" s="2">
        <v>29</v>
      </c>
    </row>
    <row r="44" spans="1:13" ht="12.75">
      <c r="A44" t="s">
        <v>27</v>
      </c>
      <c r="D44" s="8">
        <f>+D43/D42</f>
        <v>6</v>
      </c>
      <c r="H44" t="s">
        <v>27</v>
      </c>
      <c r="M44" s="8">
        <f>+M43/M42</f>
        <v>5.8</v>
      </c>
    </row>
    <row r="45" spans="1:13" ht="12.75">
      <c r="A45" t="s">
        <v>106</v>
      </c>
      <c r="D45" s="2">
        <v>2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2</v>
      </c>
    </row>
    <row r="49" spans="1:13" ht="12.75">
      <c r="A49" t="s">
        <v>26</v>
      </c>
      <c r="D49" s="2">
        <v>125</v>
      </c>
      <c r="H49" t="s">
        <v>26</v>
      </c>
      <c r="M49" s="2">
        <v>38</v>
      </c>
    </row>
    <row r="50" spans="1:13" ht="12.75">
      <c r="A50" t="s">
        <v>27</v>
      </c>
      <c r="D50" s="8">
        <f>+D49/D48</f>
        <v>31.25</v>
      </c>
      <c r="H50" t="s">
        <v>27</v>
      </c>
      <c r="M50" s="8">
        <f>+M49/M48</f>
        <v>19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4</v>
      </c>
      <c r="H53" t="s">
        <v>31</v>
      </c>
      <c r="M53" s="2">
        <v>5</v>
      </c>
    </row>
    <row r="54" spans="1:13" ht="12.75">
      <c r="A54" t="s">
        <v>32</v>
      </c>
      <c r="D54" s="2">
        <v>40</v>
      </c>
      <c r="H54" t="s">
        <v>32</v>
      </c>
      <c r="M54" s="2">
        <v>40</v>
      </c>
    </row>
    <row r="56" spans="1:13" ht="12.75">
      <c r="A56" t="s">
        <v>33</v>
      </c>
      <c r="D56" s="2">
        <v>0</v>
      </c>
      <c r="H56" t="s">
        <v>33</v>
      </c>
      <c r="M56" s="2">
        <v>2</v>
      </c>
    </row>
    <row r="57" spans="1:13" ht="12.75">
      <c r="A57" t="s">
        <v>101</v>
      </c>
      <c r="D57" s="2">
        <v>0</v>
      </c>
      <c r="H57" t="s">
        <v>101</v>
      </c>
      <c r="M57" s="2">
        <v>1</v>
      </c>
    </row>
    <row r="59" spans="1:13" ht="12.75">
      <c r="A59" t="s">
        <v>34</v>
      </c>
      <c r="D59" s="2">
        <v>13</v>
      </c>
      <c r="H59" t="s">
        <v>34</v>
      </c>
      <c r="M59" s="2">
        <v>24</v>
      </c>
    </row>
    <row r="60" spans="1:13" ht="12.75">
      <c r="A60" t="s">
        <v>35</v>
      </c>
      <c r="D60" s="2">
        <v>1</v>
      </c>
      <c r="H60" t="s">
        <v>35</v>
      </c>
      <c r="M60" s="2">
        <v>3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1</v>
      </c>
    </row>
    <row r="67" spans="1:13" ht="12.75">
      <c r="A67" t="s">
        <v>42</v>
      </c>
      <c r="D67" s="2">
        <v>3</v>
      </c>
      <c r="H67" t="s">
        <v>42</v>
      </c>
      <c r="M67" s="2">
        <v>1</v>
      </c>
    </row>
    <row r="68" spans="1:13" ht="12.75">
      <c r="A68" t="s">
        <v>43</v>
      </c>
      <c r="D68" s="8">
        <f>+D66/D67*100</f>
        <v>66.66666666666666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28:52</v>
      </c>
      <c r="E69" s="8"/>
      <c r="F69" s="8"/>
      <c r="H69" t="s">
        <v>89</v>
      </c>
      <c r="M69" s="10" t="str">
        <f>IF(W23&lt;10,W27,W26)</f>
        <v>31:08</v>
      </c>
    </row>
    <row r="70" spans="1:13" ht="12.75">
      <c r="A70" t="s">
        <v>102</v>
      </c>
      <c r="D70" s="23">
        <f>D162</f>
        <v>14.285714285714285</v>
      </c>
      <c r="E70" s="8"/>
      <c r="F70" s="8"/>
      <c r="H70" t="s">
        <v>102</v>
      </c>
      <c r="M70" s="23">
        <f>M162</f>
        <v>27.27272727272727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13</v>
      </c>
      <c r="D74">
        <v>29</v>
      </c>
      <c r="E74" s="12">
        <f aca="true" t="shared" si="0" ref="E74:E84">+D74/C74</f>
        <v>2.230769230769231</v>
      </c>
      <c r="F74">
        <v>12</v>
      </c>
      <c r="G74">
        <v>0</v>
      </c>
      <c r="H74">
        <v>0</v>
      </c>
    </row>
    <row r="75" spans="1:8" ht="12.75">
      <c r="A75" t="s">
        <v>110</v>
      </c>
      <c r="C75">
        <v>13</v>
      </c>
      <c r="D75">
        <v>52</v>
      </c>
      <c r="E75" s="12">
        <f t="shared" si="0"/>
        <v>4</v>
      </c>
      <c r="F75">
        <v>8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1</v>
      </c>
      <c r="D77">
        <v>2</v>
      </c>
      <c r="E77" s="12">
        <f t="shared" si="0"/>
        <v>2</v>
      </c>
      <c r="F77">
        <v>2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2</v>
      </c>
      <c r="D79">
        <v>3</v>
      </c>
      <c r="E79" s="12">
        <f t="shared" si="0"/>
        <v>1.5</v>
      </c>
      <c r="F79">
        <v>2</v>
      </c>
      <c r="G79">
        <v>0</v>
      </c>
      <c r="H79">
        <v>0</v>
      </c>
    </row>
    <row r="80" spans="1:5" ht="12.75">
      <c r="A80" t="s">
        <v>107</v>
      </c>
      <c r="E80" s="12" t="e">
        <f t="shared" si="0"/>
        <v>#DIV/0!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1</v>
      </c>
      <c r="D87">
        <v>24</v>
      </c>
      <c r="E87" s="12">
        <f aca="true" t="shared" si="1" ref="E87:E102">+D87/C87</f>
        <v>24</v>
      </c>
      <c r="F87">
        <v>24</v>
      </c>
      <c r="G87">
        <v>0</v>
      </c>
      <c r="H87">
        <v>0</v>
      </c>
    </row>
    <row r="88" spans="1:8" ht="12.75">
      <c r="A88" t="s">
        <v>109</v>
      </c>
      <c r="C88">
        <v>4</v>
      </c>
      <c r="D88">
        <v>58</v>
      </c>
      <c r="E88" s="12">
        <f t="shared" si="1"/>
        <v>14.5</v>
      </c>
      <c r="F88">
        <v>46</v>
      </c>
      <c r="G88">
        <v>0</v>
      </c>
      <c r="H88">
        <v>0</v>
      </c>
    </row>
    <row r="89" spans="1:8" ht="12.75">
      <c r="A89" t="s">
        <v>117</v>
      </c>
      <c r="C89">
        <v>7</v>
      </c>
      <c r="D89">
        <v>58</v>
      </c>
      <c r="E89" s="12">
        <f t="shared" si="1"/>
        <v>8.285714285714286</v>
      </c>
      <c r="F89">
        <v>28</v>
      </c>
      <c r="G89">
        <v>0</v>
      </c>
      <c r="H89">
        <v>0</v>
      </c>
    </row>
    <row r="90" spans="1:8" ht="12.75">
      <c r="A90" t="s">
        <v>116</v>
      </c>
      <c r="C90">
        <v>3</v>
      </c>
      <c r="D90">
        <v>20</v>
      </c>
      <c r="E90" s="12">
        <f t="shared" si="1"/>
        <v>6.666666666666667</v>
      </c>
      <c r="F90">
        <v>9</v>
      </c>
      <c r="G90">
        <v>0</v>
      </c>
      <c r="H90">
        <v>0</v>
      </c>
    </row>
    <row r="91" spans="1:8" ht="12.75">
      <c r="A91" t="s">
        <v>112</v>
      </c>
      <c r="C91">
        <v>2</v>
      </c>
      <c r="D91">
        <v>1</v>
      </c>
      <c r="E91" s="12">
        <f t="shared" si="1"/>
        <v>0.5</v>
      </c>
      <c r="F91">
        <v>1</v>
      </c>
      <c r="G91">
        <v>0</v>
      </c>
      <c r="H91">
        <v>0</v>
      </c>
    </row>
    <row r="92" spans="1:8" ht="12.75">
      <c r="A92" t="s">
        <v>120</v>
      </c>
      <c r="C92">
        <v>1</v>
      </c>
      <c r="D92">
        <v>10</v>
      </c>
      <c r="E92" s="12">
        <f t="shared" si="1"/>
        <v>10</v>
      </c>
      <c r="F92">
        <v>10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13</v>
      </c>
      <c r="E93" s="12">
        <f t="shared" si="1"/>
        <v>13</v>
      </c>
      <c r="F93">
        <v>13</v>
      </c>
      <c r="G93">
        <v>0</v>
      </c>
      <c r="H93">
        <v>0</v>
      </c>
    </row>
    <row r="94" spans="1:8" ht="12.75">
      <c r="A94" t="s">
        <v>122</v>
      </c>
      <c r="C94">
        <v>2</v>
      </c>
      <c r="D94">
        <v>28</v>
      </c>
      <c r="E94" s="12">
        <f t="shared" si="1"/>
        <v>14</v>
      </c>
      <c r="F94">
        <v>18</v>
      </c>
      <c r="G94">
        <v>1</v>
      </c>
      <c r="H94">
        <v>0</v>
      </c>
    </row>
    <row r="95" spans="1:5" ht="12.75">
      <c r="A95" t="s">
        <v>111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114</v>
      </c>
      <c r="C107">
        <v>30</v>
      </c>
      <c r="D107">
        <v>17</v>
      </c>
      <c r="E107" s="12">
        <f>+D107/C107*100</f>
        <v>56.666666666666664</v>
      </c>
      <c r="F107">
        <v>175</v>
      </c>
      <c r="G107">
        <v>0</v>
      </c>
      <c r="H107">
        <v>46</v>
      </c>
      <c r="I107">
        <v>1</v>
      </c>
      <c r="J107" s="8">
        <f>+G107/C107*100</f>
        <v>0</v>
      </c>
      <c r="K107" s="12">
        <f>+I107/C107*100</f>
        <v>3.3333333333333335</v>
      </c>
      <c r="L107" s="12">
        <f>+F107/C107</f>
        <v>5.833333333333333</v>
      </c>
      <c r="M107" s="12">
        <f>100*(S107+U107+W107+Y107)/6</f>
        <v>59.72222222222222</v>
      </c>
      <c r="R107">
        <f>+(E107-30)/20</f>
        <v>1.3333333333333333</v>
      </c>
      <c r="S107" s="2">
        <f>IF(R107&lt;0,0,IF(R107&gt;2.375,2.375,R107))</f>
        <v>1.3333333333333333</v>
      </c>
      <c r="T107" s="6">
        <f>+(L107-3)/4</f>
        <v>0.7083333333333333</v>
      </c>
      <c r="U107" s="2">
        <f>IF(T107&lt;0,0,IF(T107&gt;2.375,2.375,T107))</f>
        <v>0.7083333333333333</v>
      </c>
      <c r="V107">
        <f>+J107/5</f>
        <v>0</v>
      </c>
      <c r="W107" s="2">
        <f>IF(V107&lt;0,0,IF(V107&gt;2.375,2.375,V107))</f>
        <v>0</v>
      </c>
      <c r="X107">
        <f>(9.5-K107)/4</f>
        <v>1.5416666666666665</v>
      </c>
      <c r="Y107" s="2">
        <f>IF(X107&lt;0,0,X107)</f>
        <v>1.5416666666666665</v>
      </c>
    </row>
    <row r="108" spans="1:25" ht="12.75">
      <c r="A108" t="s">
        <v>126</v>
      </c>
      <c r="C108">
        <v>6</v>
      </c>
      <c r="D108">
        <v>4</v>
      </c>
      <c r="E108" s="12">
        <f>+D108/C108*100</f>
        <v>66.66666666666666</v>
      </c>
      <c r="F108">
        <v>18</v>
      </c>
      <c r="G108">
        <v>1</v>
      </c>
      <c r="H108">
        <v>18</v>
      </c>
      <c r="I108">
        <v>1</v>
      </c>
      <c r="J108" s="8">
        <f>+G108/C108*100</f>
        <v>16.666666666666664</v>
      </c>
      <c r="K108" s="12">
        <f>+I108/C108*100</f>
        <v>16.666666666666664</v>
      </c>
      <c r="L108" s="12">
        <f>+F108/C108</f>
        <v>3</v>
      </c>
      <c r="M108" s="12">
        <f>100*(S108+U108+W108+Y108)/6</f>
        <v>70.13888888888889</v>
      </c>
      <c r="R108">
        <f>+(E108-30)/20</f>
        <v>1.8333333333333328</v>
      </c>
      <c r="S108" s="2">
        <f>IF(R108&lt;0,0,IF(R108&gt;2.375,2.375,R108))</f>
        <v>1.8333333333333328</v>
      </c>
      <c r="T108" s="6">
        <f>+(L108-3)/4</f>
        <v>0</v>
      </c>
      <c r="U108" s="2">
        <f>IF(T108&lt;0,0,IF(T108&gt;2.375,2.375,T108))</f>
        <v>0</v>
      </c>
      <c r="V108">
        <f>+J108/5</f>
        <v>3.333333333333333</v>
      </c>
      <c r="W108" s="2">
        <f>IF(V108&lt;0,0,IF(V108&gt;2.375,2.375,V108))</f>
        <v>2.375</v>
      </c>
      <c r="X108">
        <f>(9.5-K108)/4</f>
        <v>-1.791666666666666</v>
      </c>
      <c r="Y108" s="2">
        <f>IF(X108&lt;0,0,X108)</f>
        <v>0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1</v>
      </c>
      <c r="D114">
        <v>2</v>
      </c>
      <c r="E114">
        <v>6</v>
      </c>
      <c r="F114" s="12">
        <f>+E114/C114</f>
        <v>6</v>
      </c>
      <c r="G114">
        <v>6</v>
      </c>
      <c r="H114">
        <v>0</v>
      </c>
      <c r="I114">
        <v>0</v>
      </c>
    </row>
    <row r="115" spans="1:6" ht="12.75">
      <c r="A115" t="s">
        <v>117</v>
      </c>
      <c r="F115" s="12">
        <v>0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3</v>
      </c>
      <c r="D120">
        <v>69</v>
      </c>
      <c r="E120" s="12">
        <f aca="true" t="shared" si="2" ref="E120:E126">+D120/C120</f>
        <v>23</v>
      </c>
      <c r="F120">
        <v>34</v>
      </c>
      <c r="G120">
        <v>0</v>
      </c>
      <c r="H120">
        <v>0</v>
      </c>
    </row>
    <row r="121" spans="1:5" ht="12.75">
      <c r="A121" t="s">
        <v>129</v>
      </c>
      <c r="E121" s="12" t="e">
        <f t="shared" si="2"/>
        <v>#DIV/0!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8" ht="12.75">
      <c r="A126" t="s">
        <v>131</v>
      </c>
      <c r="C126">
        <v>1</v>
      </c>
      <c r="D126">
        <v>56</v>
      </c>
      <c r="E126" s="12">
        <f t="shared" si="2"/>
        <v>56</v>
      </c>
      <c r="F126">
        <v>56</v>
      </c>
      <c r="G126">
        <v>0</v>
      </c>
      <c r="H126">
        <v>0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8</v>
      </c>
      <c r="D129">
        <v>365</v>
      </c>
      <c r="E129" s="12">
        <f>+D129/C129</f>
        <v>45.625</v>
      </c>
      <c r="F129">
        <v>54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2</v>
      </c>
      <c r="D132">
        <v>2</v>
      </c>
      <c r="E132">
        <v>1</v>
      </c>
      <c r="F132">
        <v>1</v>
      </c>
      <c r="G132">
        <v>3</v>
      </c>
      <c r="H132">
        <v>2</v>
      </c>
      <c r="I132" s="12">
        <f>+H132/G132*100</f>
        <v>66.66666666666666</v>
      </c>
      <c r="J132">
        <v>20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133</v>
      </c>
      <c r="C135">
        <v>2</v>
      </c>
      <c r="D135">
        <v>4</v>
      </c>
      <c r="E135" s="12">
        <f>+D135/C135</f>
        <v>2</v>
      </c>
      <c r="F135">
        <v>4</v>
      </c>
      <c r="G135">
        <v>0</v>
      </c>
      <c r="H135">
        <v>0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140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3:14" ht="12.75">
      <c r="C159" s="2"/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14</v>
      </c>
      <c r="H160" t="s">
        <v>93</v>
      </c>
      <c r="M160">
        <v>11</v>
      </c>
    </row>
    <row r="161" spans="1:13" ht="12.75">
      <c r="A161" t="s">
        <v>94</v>
      </c>
      <c r="D161">
        <v>2</v>
      </c>
      <c r="H161" t="s">
        <v>94</v>
      </c>
      <c r="M161">
        <v>3</v>
      </c>
    </row>
    <row r="162" spans="1:13" ht="12.75">
      <c r="A162" t="s">
        <v>95</v>
      </c>
      <c r="D162">
        <f>D161/D160*100</f>
        <v>14.285714285714285</v>
      </c>
      <c r="H162" t="s">
        <v>95</v>
      </c>
      <c r="M162">
        <f>+M161/M160*100</f>
        <v>27.27272727272727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Y162"/>
  <sheetViews>
    <sheetView zoomScalePageLayoutView="0" workbookViewId="0" topLeftCell="A46">
      <selection activeCell="W56" sqref="W5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10</v>
      </c>
      <c r="H6" s="1" t="s">
        <v>29</v>
      </c>
      <c r="M6" s="2">
        <f>M7+M8+M9</f>
        <v>21</v>
      </c>
    </row>
    <row r="7" spans="1:13" ht="12.75">
      <c r="A7" s="1" t="s">
        <v>103</v>
      </c>
      <c r="D7" s="2">
        <v>5</v>
      </c>
      <c r="H7" s="1" t="s">
        <v>103</v>
      </c>
      <c r="M7" s="2">
        <v>8</v>
      </c>
    </row>
    <row r="8" spans="1:13" ht="12.75">
      <c r="A8" s="1" t="s">
        <v>105</v>
      </c>
      <c r="D8" s="2">
        <v>2</v>
      </c>
      <c r="H8" s="1" t="s">
        <v>105</v>
      </c>
      <c r="M8" s="2">
        <v>11</v>
      </c>
    </row>
    <row r="9" spans="1:13" ht="12.75">
      <c r="A9" s="1" t="s">
        <v>104</v>
      </c>
      <c r="D9" s="2">
        <v>3</v>
      </c>
      <c r="H9" s="1" t="s">
        <v>104</v>
      </c>
      <c r="M9" s="2">
        <v>2</v>
      </c>
    </row>
    <row r="11" spans="1:23" ht="12.75">
      <c r="A11" t="s">
        <v>1</v>
      </c>
      <c r="D11" s="2">
        <v>26</v>
      </c>
      <c r="H11" t="s">
        <v>1</v>
      </c>
      <c r="M11" s="2">
        <v>33</v>
      </c>
      <c r="V11">
        <f>+D11</f>
        <v>26</v>
      </c>
      <c r="W11">
        <f>+M11</f>
        <v>33</v>
      </c>
    </row>
    <row r="12" spans="1:23" ht="12.75">
      <c r="A12" t="s">
        <v>2</v>
      </c>
      <c r="D12" s="2">
        <v>45</v>
      </c>
      <c r="H12" t="s">
        <v>2</v>
      </c>
      <c r="M12" s="2">
        <v>105</v>
      </c>
      <c r="U12" s="13"/>
      <c r="V12">
        <f>+D16</f>
        <v>12</v>
      </c>
      <c r="W12">
        <f>+M16</f>
        <v>22</v>
      </c>
    </row>
    <row r="13" spans="1:23" ht="12.75">
      <c r="A13" s="1" t="s">
        <v>3</v>
      </c>
      <c r="D13" s="8">
        <f>+D12/D11</f>
        <v>1.7307692307692308</v>
      </c>
      <c r="H13" s="1" t="s">
        <v>3</v>
      </c>
      <c r="M13" s="8">
        <f>+M12/M11</f>
        <v>3.1818181818181817</v>
      </c>
      <c r="V13">
        <f>+(D15-D16)/2</f>
        <v>7.5</v>
      </c>
      <c r="W13">
        <f>+(M15-M16)/2</f>
        <v>7</v>
      </c>
    </row>
    <row r="14" spans="22:23" ht="12.75">
      <c r="V14">
        <f>+D38/2</f>
        <v>2.5</v>
      </c>
      <c r="W14">
        <f>+M38/2</f>
        <v>2</v>
      </c>
    </row>
    <row r="15" spans="1:23" ht="12.75">
      <c r="A15" t="s">
        <v>4</v>
      </c>
      <c r="D15" s="2">
        <v>27</v>
      </c>
      <c r="H15" t="s">
        <v>4</v>
      </c>
      <c r="M15" s="2">
        <v>36</v>
      </c>
      <c r="V15">
        <f>+D42/2</f>
        <v>0.5</v>
      </c>
      <c r="W15">
        <f>+M42/2</f>
        <v>2.5</v>
      </c>
    </row>
    <row r="16" spans="1:23" ht="12.75">
      <c r="A16" t="s">
        <v>5</v>
      </c>
      <c r="D16" s="2">
        <v>12</v>
      </c>
      <c r="H16" t="s">
        <v>5</v>
      </c>
      <c r="M16" s="2">
        <v>22</v>
      </c>
      <c r="V16">
        <f>+D48/2</f>
        <v>1.5</v>
      </c>
      <c r="W16">
        <f>+M48/2</f>
        <v>2</v>
      </c>
    </row>
    <row r="17" spans="1:13" ht="12.75">
      <c r="A17" t="s">
        <v>6</v>
      </c>
      <c r="D17" s="8">
        <f>+D16/D15*100</f>
        <v>44.44444444444444</v>
      </c>
      <c r="H17" t="s">
        <v>6</v>
      </c>
      <c r="M17" s="8">
        <f>+M16/M15*100</f>
        <v>61.111111111111114</v>
      </c>
    </row>
    <row r="18" spans="1:24" ht="12.75">
      <c r="A18" t="s">
        <v>7</v>
      </c>
      <c r="D18" s="2">
        <v>130</v>
      </c>
      <c r="H18" t="s">
        <v>7</v>
      </c>
      <c r="M18" s="2">
        <v>268</v>
      </c>
      <c r="V18">
        <f>SUM(V11:V16)</f>
        <v>50</v>
      </c>
      <c r="W18">
        <f>SUM(W11:W16)</f>
        <v>68.5</v>
      </c>
      <c r="X18">
        <f>+W18+V18</f>
        <v>118.5</v>
      </c>
    </row>
    <row r="19" spans="1:23" ht="12.75">
      <c r="A19" t="s">
        <v>8</v>
      </c>
      <c r="D19" s="2">
        <v>2</v>
      </c>
      <c r="H19" t="s">
        <v>8</v>
      </c>
      <c r="M19" s="2">
        <v>4</v>
      </c>
      <c r="V19">
        <f>+V18/X18</f>
        <v>0.4219409282700422</v>
      </c>
      <c r="W19">
        <f>+W18/X18</f>
        <v>0.5780590717299579</v>
      </c>
    </row>
    <row r="20" spans="1:23" ht="12.75">
      <c r="A20" t="s">
        <v>9</v>
      </c>
      <c r="D20" s="2">
        <v>17</v>
      </c>
      <c r="H20" t="s">
        <v>9</v>
      </c>
      <c r="M20" s="2">
        <v>31</v>
      </c>
      <c r="V20">
        <f>+V19*60</f>
        <v>25.31645569620253</v>
      </c>
      <c r="W20">
        <f>+W19*60</f>
        <v>34.68354430379747</v>
      </c>
    </row>
    <row r="21" spans="1:23" ht="12.75">
      <c r="A21" t="s">
        <v>10</v>
      </c>
      <c r="D21">
        <f>+D18-D20</f>
        <v>113</v>
      </c>
      <c r="H21" t="s">
        <v>10</v>
      </c>
      <c r="M21">
        <f>+M18-M20</f>
        <v>237</v>
      </c>
      <c r="V21">
        <f>+V20-INT(V20)</f>
        <v>0.31645569620253156</v>
      </c>
      <c r="W21">
        <f>+W20-INT(W20)</f>
        <v>0.6835443037974684</v>
      </c>
    </row>
    <row r="22" spans="1:23" ht="12.75">
      <c r="A22" t="s">
        <v>11</v>
      </c>
      <c r="D22" s="7">
        <f>+D21/(D15+D19)</f>
        <v>3.896551724137931</v>
      </c>
      <c r="H22" t="s">
        <v>11</v>
      </c>
      <c r="M22" s="7">
        <f>+M21/(M15+M19)</f>
        <v>5.925</v>
      </c>
      <c r="V22">
        <f>+V21*60</f>
        <v>18.987341772151893</v>
      </c>
      <c r="W22">
        <f>+W21*60</f>
        <v>41.01265822784811</v>
      </c>
    </row>
    <row r="23" spans="1:23" ht="12.75">
      <c r="A23" t="s">
        <v>12</v>
      </c>
      <c r="D23" s="7">
        <f>+D18/D16</f>
        <v>10.833333333333334</v>
      </c>
      <c r="H23" t="s">
        <v>12</v>
      </c>
      <c r="M23" s="7">
        <f>+M18/M16</f>
        <v>12.181818181818182</v>
      </c>
      <c r="U23">
        <v>0</v>
      </c>
      <c r="V23" s="11">
        <f>ROUND(V22,0)</f>
        <v>19</v>
      </c>
      <c r="W23">
        <f>ROUND(W22,0)</f>
        <v>41</v>
      </c>
    </row>
    <row r="24" spans="22:23" ht="12.75">
      <c r="V24">
        <f>INT(V20)</f>
        <v>25</v>
      </c>
      <c r="W24">
        <f>INT(W20)</f>
        <v>34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158</v>
      </c>
      <c r="H26" t="s">
        <v>14</v>
      </c>
      <c r="M26">
        <f>+M21+M12</f>
        <v>342</v>
      </c>
      <c r="V26" s="14" t="str">
        <f>+V24&amp;V25&amp;V23</f>
        <v>25:19</v>
      </c>
      <c r="W26" s="9" t="str">
        <f>+W24&amp;W25&amp;W23</f>
        <v>34:41</v>
      </c>
    </row>
    <row r="27" spans="1:23" ht="12.75">
      <c r="A27" t="s">
        <v>15</v>
      </c>
      <c r="D27" s="7">
        <f>+D12/D26*100</f>
        <v>28.48101265822785</v>
      </c>
      <c r="H27" t="s">
        <v>15</v>
      </c>
      <c r="M27" s="7">
        <f>+M12/M26*100</f>
        <v>30.701754385964914</v>
      </c>
      <c r="V27" s="9" t="str">
        <f>IF(V23&lt;10,+V24&amp;V25&amp;$U$23&amp;V23,+V24&amp;V25&amp;V23)</f>
        <v>25:19</v>
      </c>
      <c r="W27" s="9" t="str">
        <f>IF(W23&lt;10,+W24&amp;W25&amp;$U$23&amp;W23,+W24&amp;W25&amp;W23)</f>
        <v>34:41</v>
      </c>
    </row>
    <row r="28" spans="1:13" ht="12.75">
      <c r="A28" s="1" t="s">
        <v>86</v>
      </c>
      <c r="D28" s="7">
        <f>+D21/D26*100</f>
        <v>71.51898734177216</v>
      </c>
      <c r="H28" s="1" t="s">
        <v>86</v>
      </c>
      <c r="M28" s="7">
        <f>+M21/M26*100</f>
        <v>69.2982456140351</v>
      </c>
    </row>
    <row r="30" spans="1:13" ht="12.75">
      <c r="A30" t="s">
        <v>16</v>
      </c>
      <c r="D30">
        <f>+D11+D15+D19</f>
        <v>55</v>
      </c>
      <c r="H30" t="s">
        <v>16</v>
      </c>
      <c r="M30">
        <f>+M11+M15+M19</f>
        <v>73</v>
      </c>
    </row>
    <row r="31" spans="1:13" ht="12.75">
      <c r="A31" t="s">
        <v>17</v>
      </c>
      <c r="D31" s="8">
        <f>+D26/D30</f>
        <v>2.8727272727272726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4.684931506849315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2</v>
      </c>
    </row>
    <row r="35" spans="1:13" ht="12.75">
      <c r="A35" t="s">
        <v>20</v>
      </c>
      <c r="D35" s="2">
        <v>9</v>
      </c>
      <c r="H35" t="s">
        <v>20</v>
      </c>
      <c r="M35" s="2">
        <v>99</v>
      </c>
    </row>
    <row r="36" spans="1:13" ht="12.75">
      <c r="A36" t="s">
        <v>21</v>
      </c>
      <c r="D36" s="2">
        <v>0</v>
      </c>
      <c r="H36" t="s">
        <v>21</v>
      </c>
      <c r="M36" s="2">
        <v>1</v>
      </c>
    </row>
    <row r="38" spans="1:13" ht="12.75">
      <c r="A38" t="s">
        <v>22</v>
      </c>
      <c r="D38" s="2">
        <v>5</v>
      </c>
      <c r="H38" t="s">
        <v>22</v>
      </c>
      <c r="M38" s="2">
        <v>4</v>
      </c>
    </row>
    <row r="39" spans="1:13" ht="12.75">
      <c r="A39" t="s">
        <v>23</v>
      </c>
      <c r="D39" s="2">
        <v>215</v>
      </c>
      <c r="H39" t="s">
        <v>23</v>
      </c>
      <c r="M39" s="2">
        <v>157</v>
      </c>
    </row>
    <row r="40" spans="1:13" ht="12.75">
      <c r="A40" t="s">
        <v>24</v>
      </c>
      <c r="D40" s="8">
        <f>+D39/D38</f>
        <v>43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39.25</v>
      </c>
    </row>
    <row r="42" spans="1:13" ht="12.75">
      <c r="A42" t="s">
        <v>25</v>
      </c>
      <c r="D42" s="2">
        <v>1</v>
      </c>
      <c r="H42" t="s">
        <v>25</v>
      </c>
      <c r="M42" s="2">
        <v>5</v>
      </c>
    </row>
    <row r="43" spans="1:13" ht="12.75">
      <c r="A43" t="s">
        <v>26</v>
      </c>
      <c r="D43" s="2">
        <v>21</v>
      </c>
      <c r="H43" t="s">
        <v>26</v>
      </c>
      <c r="M43" s="2">
        <v>46</v>
      </c>
    </row>
    <row r="44" spans="1:13" ht="12.75">
      <c r="A44" t="s">
        <v>27</v>
      </c>
      <c r="D44" s="8">
        <f>+D43/D42</f>
        <v>21</v>
      </c>
      <c r="H44" t="s">
        <v>27</v>
      </c>
      <c r="M44" s="8">
        <f>+M43/M42</f>
        <v>9.2</v>
      </c>
    </row>
    <row r="45" spans="1:13" ht="12.75">
      <c r="A45" t="s">
        <v>106</v>
      </c>
      <c r="D45" s="2">
        <v>0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4</v>
      </c>
    </row>
    <row r="49" spans="1:13" ht="12.75">
      <c r="A49" t="s">
        <v>26</v>
      </c>
      <c r="D49" s="2">
        <v>59</v>
      </c>
      <c r="H49" t="s">
        <v>26</v>
      </c>
      <c r="M49" s="2">
        <v>120</v>
      </c>
    </row>
    <row r="50" spans="1:13" ht="12.75">
      <c r="A50" t="s">
        <v>27</v>
      </c>
      <c r="D50" s="8">
        <f>+D49/D48</f>
        <v>19.666666666666668</v>
      </c>
      <c r="H50" t="s">
        <v>27</v>
      </c>
      <c r="M50" s="8">
        <f>+M49/M48</f>
        <v>30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3</v>
      </c>
      <c r="H53" t="s">
        <v>31</v>
      </c>
      <c r="M53" s="2">
        <v>12</v>
      </c>
    </row>
    <row r="54" spans="1:13" ht="12.75">
      <c r="A54" t="s">
        <v>32</v>
      </c>
      <c r="D54" s="2">
        <v>20</v>
      </c>
      <c r="H54" t="s">
        <v>32</v>
      </c>
      <c r="M54" s="2">
        <v>95</v>
      </c>
    </row>
    <row r="56" spans="1:13" ht="12.75">
      <c r="A56" t="s">
        <v>33</v>
      </c>
      <c r="D56" s="2">
        <v>1</v>
      </c>
      <c r="H56" t="s">
        <v>33</v>
      </c>
      <c r="M56" s="2">
        <v>2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16</v>
      </c>
      <c r="H59" t="s">
        <v>34</v>
      </c>
      <c r="M59" s="2">
        <v>6</v>
      </c>
    </row>
    <row r="60" spans="1:13" ht="12.75">
      <c r="A60" t="s">
        <v>35</v>
      </c>
      <c r="D60" s="2">
        <v>1</v>
      </c>
      <c r="H60" t="s">
        <v>35</v>
      </c>
      <c r="M60" s="2">
        <v>0</v>
      </c>
    </row>
    <row r="61" spans="1:13" ht="12.75">
      <c r="A61" t="s">
        <v>36</v>
      </c>
      <c r="D61" s="2">
        <v>0</v>
      </c>
      <c r="H61" t="s">
        <v>36</v>
      </c>
      <c r="M61" s="2">
        <v>0</v>
      </c>
    </row>
    <row r="62" spans="1:13" ht="12.75">
      <c r="A62" t="s">
        <v>37</v>
      </c>
      <c r="D62" s="2">
        <v>0</v>
      </c>
      <c r="H62" t="s">
        <v>37</v>
      </c>
      <c r="M62" s="2">
        <v>0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0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2</v>
      </c>
    </row>
    <row r="67" spans="1:13" ht="12.75">
      <c r="A67" t="s">
        <v>42</v>
      </c>
      <c r="D67" s="2">
        <v>4</v>
      </c>
      <c r="H67" t="s">
        <v>42</v>
      </c>
      <c r="M67" s="2">
        <v>4</v>
      </c>
    </row>
    <row r="68" spans="1:13" ht="12.75">
      <c r="A68" t="s">
        <v>43</v>
      </c>
      <c r="D68" s="8">
        <f>+D66/D67*100</f>
        <v>75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50</v>
      </c>
    </row>
    <row r="69" spans="1:13" ht="12.75">
      <c r="A69" t="s">
        <v>92</v>
      </c>
      <c r="D69" s="10"/>
      <c r="E69" s="8"/>
      <c r="F69" s="8"/>
      <c r="H69" t="s">
        <v>92</v>
      </c>
      <c r="M69" s="10" t="str">
        <f>IF(W23&lt;10,W27,W26)</f>
        <v>34:41</v>
      </c>
    </row>
    <row r="70" spans="1:13" ht="12.75">
      <c r="A70" t="s">
        <v>102</v>
      </c>
      <c r="D70" s="23">
        <f>D162</f>
        <v>20</v>
      </c>
      <c r="E70" s="8"/>
      <c r="F70" s="8"/>
      <c r="H70" t="s">
        <v>102</v>
      </c>
      <c r="M70" s="23">
        <f>M162</f>
        <v>20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10</v>
      </c>
      <c r="D74">
        <v>26</v>
      </c>
      <c r="E74" s="12">
        <f aca="true" t="shared" si="0" ref="E74:E84">+D74/C74</f>
        <v>2.6</v>
      </c>
      <c r="F74">
        <v>14</v>
      </c>
      <c r="G74">
        <v>0</v>
      </c>
      <c r="H74">
        <v>1</v>
      </c>
    </row>
    <row r="75" spans="1:8" ht="12.75">
      <c r="A75" t="s">
        <v>110</v>
      </c>
      <c r="C75">
        <v>11</v>
      </c>
      <c r="D75">
        <v>28</v>
      </c>
      <c r="E75" s="12">
        <f t="shared" si="0"/>
        <v>2.5454545454545454</v>
      </c>
      <c r="F75">
        <v>8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1</v>
      </c>
      <c r="D77">
        <v>0</v>
      </c>
      <c r="E77" s="12">
        <f t="shared" si="0"/>
        <v>0</v>
      </c>
      <c r="F77">
        <v>0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2</v>
      </c>
      <c r="D79">
        <v>-6</v>
      </c>
      <c r="E79" s="12">
        <f t="shared" si="0"/>
        <v>-3</v>
      </c>
      <c r="F79">
        <v>-2</v>
      </c>
      <c r="G79">
        <v>0</v>
      </c>
      <c r="H79">
        <v>0</v>
      </c>
    </row>
    <row r="80" spans="1:5" ht="12.75">
      <c r="A80" t="s">
        <v>107</v>
      </c>
      <c r="E80" s="12" t="e">
        <f t="shared" si="0"/>
        <v>#DIV/0!</v>
      </c>
    </row>
    <row r="81" spans="1:8" ht="12.75">
      <c r="A81" t="s">
        <v>115</v>
      </c>
      <c r="C81">
        <v>1</v>
      </c>
      <c r="D81">
        <v>0</v>
      </c>
      <c r="E81" s="12">
        <f t="shared" si="0"/>
        <v>0</v>
      </c>
      <c r="F81">
        <v>0</v>
      </c>
      <c r="G81">
        <v>0</v>
      </c>
      <c r="H81">
        <v>0</v>
      </c>
    </row>
    <row r="82" spans="1:5" ht="12.75">
      <c r="A82" t="s">
        <v>116</v>
      </c>
      <c r="E82" s="12" t="e">
        <f t="shared" si="0"/>
        <v>#DIV/0!</v>
      </c>
    </row>
    <row r="83" spans="1:8" ht="12.75">
      <c r="A83" t="s">
        <v>117</v>
      </c>
      <c r="C83">
        <v>1</v>
      </c>
      <c r="D83">
        <v>-3</v>
      </c>
      <c r="E83" s="12">
        <f t="shared" si="0"/>
        <v>-3</v>
      </c>
      <c r="F83">
        <v>-3</v>
      </c>
      <c r="G83">
        <v>0</v>
      </c>
      <c r="H83">
        <v>0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5" ht="12.75">
      <c r="A87" t="s">
        <v>119</v>
      </c>
      <c r="E87" s="12" t="e">
        <f aca="true" t="shared" si="1" ref="E87:E102">+D87/C87</f>
        <v>#DIV/0!</v>
      </c>
    </row>
    <row r="88" spans="1:8" ht="12.75">
      <c r="A88" t="s">
        <v>109</v>
      </c>
      <c r="C88">
        <v>2</v>
      </c>
      <c r="D88">
        <v>4</v>
      </c>
      <c r="E88" s="12">
        <f t="shared" si="1"/>
        <v>2</v>
      </c>
      <c r="F88">
        <v>3</v>
      </c>
      <c r="G88">
        <v>0</v>
      </c>
      <c r="H88">
        <v>0</v>
      </c>
    </row>
    <row r="89" spans="1:8" ht="12.75">
      <c r="A89" t="s">
        <v>117</v>
      </c>
      <c r="C89">
        <v>1</v>
      </c>
      <c r="D89">
        <v>15</v>
      </c>
      <c r="E89" s="12">
        <f t="shared" si="1"/>
        <v>15</v>
      </c>
      <c r="F89">
        <v>15</v>
      </c>
      <c r="G89">
        <v>0</v>
      </c>
      <c r="H89">
        <v>0</v>
      </c>
    </row>
    <row r="90" spans="1:8" ht="12.75">
      <c r="A90" t="s">
        <v>116</v>
      </c>
      <c r="C90">
        <v>3</v>
      </c>
      <c r="D90">
        <v>37</v>
      </c>
      <c r="E90" s="12">
        <f t="shared" si="1"/>
        <v>12.333333333333334</v>
      </c>
      <c r="F90">
        <v>26</v>
      </c>
      <c r="G90">
        <v>0</v>
      </c>
      <c r="H90">
        <v>0</v>
      </c>
    </row>
    <row r="91" spans="1:8" ht="12.75">
      <c r="A91" t="s">
        <v>112</v>
      </c>
      <c r="C91">
        <v>1</v>
      </c>
      <c r="D91">
        <v>19</v>
      </c>
      <c r="E91" s="12">
        <f t="shared" si="1"/>
        <v>19</v>
      </c>
      <c r="F91">
        <v>19</v>
      </c>
      <c r="G91">
        <v>0</v>
      </c>
      <c r="H91">
        <v>0</v>
      </c>
    </row>
    <row r="92" spans="1:8" ht="12.75">
      <c r="A92" t="s">
        <v>120</v>
      </c>
      <c r="C92">
        <v>1</v>
      </c>
      <c r="D92">
        <v>3</v>
      </c>
      <c r="E92" s="12">
        <f t="shared" si="1"/>
        <v>3</v>
      </c>
      <c r="F92">
        <v>3</v>
      </c>
      <c r="G92">
        <v>0</v>
      </c>
      <c r="H92">
        <v>0</v>
      </c>
    </row>
    <row r="93" spans="1:8" ht="12.75">
      <c r="A93" t="s">
        <v>121</v>
      </c>
      <c r="C93">
        <v>2</v>
      </c>
      <c r="D93">
        <v>31</v>
      </c>
      <c r="E93" s="12">
        <f t="shared" si="1"/>
        <v>15.5</v>
      </c>
      <c r="F93">
        <v>23</v>
      </c>
      <c r="G93">
        <v>0</v>
      </c>
      <c r="H93">
        <v>0</v>
      </c>
    </row>
    <row r="94" spans="1:8" ht="12.75">
      <c r="A94" t="s">
        <v>122</v>
      </c>
      <c r="C94">
        <v>1</v>
      </c>
      <c r="D94">
        <v>17</v>
      </c>
      <c r="E94" s="12">
        <f t="shared" si="1"/>
        <v>17</v>
      </c>
      <c r="F94">
        <v>17</v>
      </c>
      <c r="G94">
        <v>0</v>
      </c>
      <c r="H94">
        <v>0</v>
      </c>
    </row>
    <row r="95" spans="1:5" ht="12.75">
      <c r="A95" t="s">
        <v>111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8" ht="12.75">
      <c r="A101" t="s">
        <v>125</v>
      </c>
      <c r="C101">
        <v>1</v>
      </c>
      <c r="D101">
        <v>4</v>
      </c>
      <c r="E101" s="12">
        <f t="shared" si="1"/>
        <v>4</v>
      </c>
      <c r="F101">
        <v>4</v>
      </c>
      <c r="G101">
        <v>0</v>
      </c>
      <c r="H101">
        <v>0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114</v>
      </c>
      <c r="C107">
        <v>27</v>
      </c>
      <c r="D107">
        <v>12</v>
      </c>
      <c r="E107" s="12">
        <f>+D107/C107*100</f>
        <v>44.44444444444444</v>
      </c>
      <c r="F107">
        <v>130</v>
      </c>
      <c r="G107">
        <v>0</v>
      </c>
      <c r="H107">
        <v>26</v>
      </c>
      <c r="I107">
        <v>1</v>
      </c>
      <c r="J107" s="8">
        <f>+G107/C107*100</f>
        <v>0</v>
      </c>
      <c r="K107" s="12">
        <f>+I107/C107*100</f>
        <v>3.7037037037037033</v>
      </c>
      <c r="L107" s="12">
        <f>+F107/C107</f>
        <v>4.814814814814815</v>
      </c>
      <c r="M107" s="12">
        <f>100*(S107+U107+W107+Y107)/6</f>
        <v>43.75</v>
      </c>
      <c r="R107">
        <f>+(E107-30)/20</f>
        <v>0.7222222222222221</v>
      </c>
      <c r="S107" s="2">
        <f>IF(R107&lt;0,0,IF(R107&gt;2.375,2.375,R107))</f>
        <v>0.7222222222222221</v>
      </c>
      <c r="T107" s="6">
        <f>+(L107-3)/4</f>
        <v>0.4537037037037037</v>
      </c>
      <c r="U107" s="2">
        <f>IF(T107&lt;0,0,IF(T107&gt;2.375,2.375,T107))</f>
        <v>0.4537037037037037</v>
      </c>
      <c r="V107">
        <f>+J107/5</f>
        <v>0</v>
      </c>
      <c r="W107" s="2">
        <f>IF(V107&lt;0,0,IF(V107&gt;2.375,2.375,V107))</f>
        <v>0</v>
      </c>
      <c r="X107">
        <f>(9.5-K107)/4</f>
        <v>1.4490740740740742</v>
      </c>
      <c r="Y107" s="2">
        <f>IF(X107&lt;0,0,X107)</f>
        <v>1.4490740740740742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1</v>
      </c>
      <c r="D114">
        <v>0</v>
      </c>
      <c r="E114">
        <v>21</v>
      </c>
      <c r="F114" s="12">
        <f>+E114/C114</f>
        <v>21</v>
      </c>
      <c r="G114">
        <v>21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2</v>
      </c>
      <c r="D120">
        <v>35</v>
      </c>
      <c r="E120" s="12">
        <f aca="true" t="shared" si="2" ref="E120:E126">+D120/C120</f>
        <v>17.5</v>
      </c>
      <c r="F120">
        <v>23</v>
      </c>
      <c r="G120">
        <v>0</v>
      </c>
      <c r="H120">
        <v>0</v>
      </c>
    </row>
    <row r="121" spans="1:8" ht="12.75">
      <c r="A121" t="s">
        <v>129</v>
      </c>
      <c r="C121">
        <v>1</v>
      </c>
      <c r="D121">
        <v>24</v>
      </c>
      <c r="E121" s="12">
        <f t="shared" si="2"/>
        <v>24</v>
      </c>
      <c r="F121">
        <v>24</v>
      </c>
      <c r="G121">
        <v>0</v>
      </c>
      <c r="H121">
        <v>0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5</v>
      </c>
      <c r="D129">
        <v>215</v>
      </c>
      <c r="E129" s="12">
        <f>+D129/C129</f>
        <v>43</v>
      </c>
      <c r="F129">
        <v>45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5</v>
      </c>
      <c r="D132">
        <v>1</v>
      </c>
      <c r="E132">
        <v>1</v>
      </c>
      <c r="F132">
        <v>1</v>
      </c>
      <c r="G132">
        <v>4</v>
      </c>
      <c r="H132">
        <v>3</v>
      </c>
      <c r="I132" s="12">
        <f>+H132/G132*100</f>
        <v>75</v>
      </c>
      <c r="J132">
        <v>54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8" ht="12.75">
      <c r="A137" t="s">
        <v>135</v>
      </c>
      <c r="C137">
        <v>1</v>
      </c>
      <c r="D137">
        <v>44</v>
      </c>
      <c r="E137" s="12">
        <f t="shared" si="3"/>
        <v>44</v>
      </c>
      <c r="F137">
        <v>44</v>
      </c>
      <c r="G137">
        <v>0</v>
      </c>
      <c r="H137">
        <v>0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8" ht="12.75">
      <c r="A141" t="s">
        <v>137</v>
      </c>
      <c r="C141">
        <v>1</v>
      </c>
      <c r="D141">
        <v>50</v>
      </c>
      <c r="E141" s="12">
        <f t="shared" si="3"/>
        <v>50</v>
      </c>
      <c r="F141">
        <v>50</v>
      </c>
      <c r="G141">
        <v>1</v>
      </c>
      <c r="H141">
        <v>0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140</v>
      </c>
    </row>
    <row r="147" spans="1:3" ht="12.75">
      <c r="A147" t="s">
        <v>141</v>
      </c>
      <c r="C147">
        <v>1</v>
      </c>
    </row>
    <row r="148" ht="12.75">
      <c r="A148" t="s">
        <v>142</v>
      </c>
    </row>
    <row r="149" spans="1:3" ht="12.75">
      <c r="A149" t="s">
        <v>143</v>
      </c>
      <c r="C149">
        <v>2.5</v>
      </c>
    </row>
    <row r="150" ht="12.75">
      <c r="A150" t="s">
        <v>144</v>
      </c>
    </row>
    <row r="151" spans="1:3" ht="12.75">
      <c r="A151" t="s">
        <v>145</v>
      </c>
      <c r="C151">
        <v>0.5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15</v>
      </c>
      <c r="H160" t="s">
        <v>93</v>
      </c>
      <c r="M160">
        <v>15</v>
      </c>
    </row>
    <row r="161" spans="1:13" ht="12.75">
      <c r="A161" t="s">
        <v>94</v>
      </c>
      <c r="D161">
        <v>3</v>
      </c>
      <c r="H161" t="s">
        <v>94</v>
      </c>
      <c r="M161">
        <v>3</v>
      </c>
    </row>
    <row r="162" spans="1:13" ht="12.75">
      <c r="A162" t="s">
        <v>95</v>
      </c>
      <c r="D162" s="8">
        <f>D161/D160*100</f>
        <v>20</v>
      </c>
      <c r="H162" t="s">
        <v>95</v>
      </c>
      <c r="M162" s="8">
        <f>+M161/M160*100</f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Y162"/>
  <sheetViews>
    <sheetView zoomScalePageLayoutView="0" workbookViewId="0" topLeftCell="A60">
      <selection activeCell="A73" sqref="A73:M154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21</v>
      </c>
      <c r="H6" s="1" t="s">
        <v>29</v>
      </c>
      <c r="M6" s="2">
        <f>M7+M8+M9</f>
        <v>24</v>
      </c>
    </row>
    <row r="7" spans="1:13" ht="12.75">
      <c r="A7" s="1" t="s">
        <v>103</v>
      </c>
      <c r="D7" s="2">
        <v>9</v>
      </c>
      <c r="H7" s="1" t="s">
        <v>103</v>
      </c>
      <c r="M7" s="2">
        <v>15</v>
      </c>
    </row>
    <row r="8" spans="1:13" ht="12.75">
      <c r="A8" s="1" t="s">
        <v>105</v>
      </c>
      <c r="D8" s="2">
        <v>9</v>
      </c>
      <c r="H8" s="1" t="s">
        <v>105</v>
      </c>
      <c r="M8" s="2">
        <v>9</v>
      </c>
    </row>
    <row r="9" spans="1:13" ht="12.75">
      <c r="A9" s="1" t="s">
        <v>104</v>
      </c>
      <c r="D9" s="2">
        <v>3</v>
      </c>
      <c r="H9" s="1" t="s">
        <v>104</v>
      </c>
      <c r="M9" s="2">
        <v>0</v>
      </c>
    </row>
    <row r="11" spans="1:13" ht="12.75">
      <c r="A11" t="s">
        <v>1</v>
      </c>
      <c r="D11" s="2">
        <v>33</v>
      </c>
      <c r="H11" t="s">
        <v>1</v>
      </c>
      <c r="M11" s="2">
        <v>31</v>
      </c>
    </row>
    <row r="12" spans="1:13" ht="12.75">
      <c r="A12" t="s">
        <v>2</v>
      </c>
      <c r="D12" s="2">
        <v>129</v>
      </c>
      <c r="H12" t="s">
        <v>2</v>
      </c>
      <c r="M12" s="2">
        <v>150</v>
      </c>
    </row>
    <row r="13" spans="1:13" ht="12.75">
      <c r="A13" s="1" t="s">
        <v>3</v>
      </c>
      <c r="D13" s="8">
        <f>+D12/D11</f>
        <v>3.909090909090909</v>
      </c>
      <c r="H13" s="1" t="s">
        <v>3</v>
      </c>
      <c r="M13" s="8">
        <f>+M12/M11</f>
        <v>4.838709677419355</v>
      </c>
    </row>
    <row r="15" spans="1:13" ht="12.75">
      <c r="A15" t="s">
        <v>4</v>
      </c>
      <c r="D15" s="2">
        <v>35</v>
      </c>
      <c r="H15" t="s">
        <v>4</v>
      </c>
      <c r="M15" s="2">
        <v>33</v>
      </c>
    </row>
    <row r="16" spans="1:13" ht="12.75">
      <c r="A16" t="s">
        <v>5</v>
      </c>
      <c r="D16" s="2">
        <v>16</v>
      </c>
      <c r="H16" t="s">
        <v>5</v>
      </c>
      <c r="M16" s="2">
        <v>22</v>
      </c>
    </row>
    <row r="17" spans="1:13" ht="12.75">
      <c r="A17" t="s">
        <v>6</v>
      </c>
      <c r="D17" s="8">
        <f>+D16/D15*100</f>
        <v>45.714285714285715</v>
      </c>
      <c r="H17" t="s">
        <v>6</v>
      </c>
      <c r="M17" s="8">
        <f>+M16/M15*100</f>
        <v>66.66666666666666</v>
      </c>
    </row>
    <row r="18" spans="1:13" ht="12.75">
      <c r="A18" t="s">
        <v>7</v>
      </c>
      <c r="D18" s="2">
        <v>189</v>
      </c>
      <c r="H18" t="s">
        <v>7</v>
      </c>
      <c r="M18" s="2">
        <v>258</v>
      </c>
    </row>
    <row r="19" spans="1:13" ht="12.75">
      <c r="A19" t="s">
        <v>8</v>
      </c>
      <c r="D19" s="2">
        <v>3</v>
      </c>
      <c r="H19" t="s">
        <v>8</v>
      </c>
      <c r="M19" s="2">
        <v>2</v>
      </c>
    </row>
    <row r="20" spans="1:13" ht="12.75">
      <c r="A20" t="s">
        <v>9</v>
      </c>
      <c r="D20" s="2">
        <v>27</v>
      </c>
      <c r="H20" t="s">
        <v>9</v>
      </c>
      <c r="M20" s="2">
        <v>12</v>
      </c>
    </row>
    <row r="21" spans="1:13" ht="12.75">
      <c r="A21" t="s">
        <v>10</v>
      </c>
      <c r="D21">
        <f>+D18-D20</f>
        <v>162</v>
      </c>
      <c r="H21" t="s">
        <v>10</v>
      </c>
      <c r="M21">
        <f>+M18-M20</f>
        <v>246</v>
      </c>
    </row>
    <row r="22" spans="1:13" ht="12.75">
      <c r="A22" t="s">
        <v>11</v>
      </c>
      <c r="D22" s="7">
        <f>+D21/(D15+D19)</f>
        <v>4.2631578947368425</v>
      </c>
      <c r="H22" t="s">
        <v>11</v>
      </c>
      <c r="M22" s="7">
        <f>+M21/(M15+M19)</f>
        <v>7.0285714285714285</v>
      </c>
    </row>
    <row r="23" spans="1:13" ht="12.75">
      <c r="A23" t="s">
        <v>12</v>
      </c>
      <c r="D23" s="7">
        <f>+D18/D16</f>
        <v>11.8125</v>
      </c>
      <c r="H23" t="s">
        <v>12</v>
      </c>
      <c r="M23" s="7">
        <f>+M18/M16</f>
        <v>11.727272727272727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291</v>
      </c>
      <c r="H26" t="s">
        <v>14</v>
      </c>
      <c r="M26">
        <f>+M21+M12</f>
        <v>396</v>
      </c>
    </row>
    <row r="27" spans="1:13" ht="12.75">
      <c r="A27" t="s">
        <v>15</v>
      </c>
      <c r="D27" s="7">
        <f>+D12/D26*100</f>
        <v>44.329896907216494</v>
      </c>
      <c r="H27" t="s">
        <v>15</v>
      </c>
      <c r="M27" s="7">
        <f>+M12/M26*100</f>
        <v>37.878787878787875</v>
      </c>
    </row>
    <row r="28" spans="1:13" ht="12.75">
      <c r="A28" s="1" t="s">
        <v>86</v>
      </c>
      <c r="D28" s="7">
        <f>+D21/D26*100</f>
        <v>55.670103092783506</v>
      </c>
      <c r="H28" s="1" t="s">
        <v>86</v>
      </c>
      <c r="M28" s="7">
        <f>+M21/M26*100</f>
        <v>62.121212121212125</v>
      </c>
    </row>
    <row r="30" spans="1:13" ht="12.75">
      <c r="A30" t="s">
        <v>16</v>
      </c>
      <c r="D30">
        <f>+D11+D15+D19</f>
        <v>71</v>
      </c>
      <c r="H30" t="s">
        <v>16</v>
      </c>
      <c r="M30">
        <f>+M11+M15+M19</f>
        <v>66</v>
      </c>
    </row>
    <row r="31" spans="1:13" ht="12.75">
      <c r="A31" t="s">
        <v>17</v>
      </c>
      <c r="D31" s="8">
        <f>+D26/D30</f>
        <v>4.098591549295775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4</v>
      </c>
    </row>
    <row r="39" spans="1:13" ht="12.75">
      <c r="A39" t="s">
        <v>23</v>
      </c>
      <c r="D39" s="2">
        <v>153</v>
      </c>
      <c r="H39" t="s">
        <v>23</v>
      </c>
      <c r="M39" s="2">
        <v>211</v>
      </c>
    </row>
    <row r="40" spans="1:13" ht="12.75">
      <c r="A40" t="s">
        <v>24</v>
      </c>
      <c r="D40" s="8">
        <f>+D39/D38</f>
        <v>38.25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52.75</v>
      </c>
    </row>
    <row r="42" spans="1:13" ht="12.75">
      <c r="A42" t="s">
        <v>25</v>
      </c>
      <c r="D42" s="2">
        <v>2</v>
      </c>
      <c r="H42" t="s">
        <v>25</v>
      </c>
      <c r="M42" s="2">
        <v>1</v>
      </c>
    </row>
    <row r="43" spans="1:13" ht="12.75">
      <c r="A43" t="s">
        <v>26</v>
      </c>
      <c r="D43" s="2">
        <v>18</v>
      </c>
      <c r="H43" t="s">
        <v>26</v>
      </c>
      <c r="M43" s="2">
        <v>0</v>
      </c>
    </row>
    <row r="44" spans="1:13" ht="12.75">
      <c r="A44" t="s">
        <v>27</v>
      </c>
      <c r="D44" s="8">
        <f>+D43/D42</f>
        <v>9</v>
      </c>
      <c r="H44" t="s">
        <v>27</v>
      </c>
      <c r="M44" s="8">
        <f>+M43/M42</f>
        <v>0</v>
      </c>
    </row>
    <row r="45" spans="1:13" ht="12.75">
      <c r="A45" t="s">
        <v>106</v>
      </c>
      <c r="D45" s="2">
        <v>1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2</v>
      </c>
    </row>
    <row r="49" spans="1:13" ht="12.75">
      <c r="A49" t="s">
        <v>26</v>
      </c>
      <c r="D49" s="2">
        <v>110</v>
      </c>
      <c r="H49" t="s">
        <v>26</v>
      </c>
      <c r="M49" s="2">
        <v>38</v>
      </c>
    </row>
    <row r="50" spans="1:13" ht="12.75">
      <c r="A50" t="s">
        <v>27</v>
      </c>
      <c r="D50" s="8">
        <f>+D49/D48</f>
        <v>27.5</v>
      </c>
      <c r="H50" t="s">
        <v>27</v>
      </c>
      <c r="M50" s="8">
        <f>+M49/M48</f>
        <v>19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0</v>
      </c>
      <c r="H53" t="s">
        <v>31</v>
      </c>
      <c r="M53" s="2">
        <v>7</v>
      </c>
    </row>
    <row r="54" spans="1:13" ht="12.75">
      <c r="A54" t="s">
        <v>32</v>
      </c>
      <c r="D54" s="2">
        <v>0</v>
      </c>
      <c r="H54" t="s">
        <v>32</v>
      </c>
      <c r="M54" s="2">
        <v>66</v>
      </c>
    </row>
    <row r="56" spans="1:13" ht="12.75">
      <c r="A56" t="s">
        <v>33</v>
      </c>
      <c r="D56" s="2">
        <v>2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16</v>
      </c>
      <c r="H59" t="s">
        <v>34</v>
      </c>
      <c r="M59" s="2">
        <v>21</v>
      </c>
    </row>
    <row r="60" spans="1:13" ht="12.75">
      <c r="A60" t="s">
        <v>35</v>
      </c>
      <c r="D60" s="2">
        <v>1</v>
      </c>
      <c r="H60" t="s">
        <v>35</v>
      </c>
      <c r="M60" s="2">
        <v>3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0</v>
      </c>
    </row>
    <row r="67" spans="1:13" ht="12.75">
      <c r="A67" t="s">
        <v>42</v>
      </c>
      <c r="D67" s="2">
        <v>4</v>
      </c>
      <c r="H67" t="s">
        <v>42</v>
      </c>
      <c r="M67" s="2">
        <v>3</v>
      </c>
    </row>
    <row r="68" spans="1:13" ht="12.75">
      <c r="A68" t="s">
        <v>43</v>
      </c>
      <c r="D68" s="8">
        <f>+D66/D67*100</f>
        <v>75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0</v>
      </c>
    </row>
    <row r="69" spans="1:13" ht="12.75">
      <c r="A69" t="s">
        <v>92</v>
      </c>
      <c r="D69" s="10">
        <v>30.22</v>
      </c>
      <c r="E69" s="8"/>
      <c r="F69" s="8"/>
      <c r="H69" t="s">
        <v>91</v>
      </c>
      <c r="M69" s="10">
        <v>29.38</v>
      </c>
    </row>
    <row r="70" spans="1:13" ht="12.75">
      <c r="A70" t="s">
        <v>102</v>
      </c>
      <c r="D70" s="23">
        <f>D162</f>
        <v>40</v>
      </c>
      <c r="E70" s="8"/>
      <c r="F70" s="8"/>
      <c r="H70" t="s">
        <v>102</v>
      </c>
      <c r="M70" s="23">
        <f>M162</f>
        <v>50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11</v>
      </c>
      <c r="D74">
        <v>53</v>
      </c>
      <c r="E74" s="12">
        <f aca="true" t="shared" si="0" ref="E74:E84">+D74/C74</f>
        <v>4.818181818181818</v>
      </c>
      <c r="F74">
        <v>19</v>
      </c>
      <c r="G74">
        <v>0</v>
      </c>
      <c r="H74">
        <v>0</v>
      </c>
    </row>
    <row r="75" spans="1:8" ht="12.75">
      <c r="A75" t="s">
        <v>110</v>
      </c>
      <c r="C75">
        <v>14</v>
      </c>
      <c r="D75">
        <v>69</v>
      </c>
      <c r="E75" s="12">
        <f t="shared" si="0"/>
        <v>4.928571428571429</v>
      </c>
      <c r="F75">
        <v>22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2</v>
      </c>
      <c r="D77">
        <v>-7</v>
      </c>
      <c r="E77" s="12">
        <f t="shared" si="0"/>
        <v>-3.5</v>
      </c>
      <c r="F77">
        <v>0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6</v>
      </c>
      <c r="D79">
        <v>14</v>
      </c>
      <c r="E79" s="12">
        <f t="shared" si="0"/>
        <v>2.3333333333333335</v>
      </c>
      <c r="F79">
        <v>7</v>
      </c>
      <c r="G79">
        <v>0</v>
      </c>
      <c r="H79">
        <v>0</v>
      </c>
    </row>
    <row r="80" spans="1:5" ht="12.75">
      <c r="A80" t="s">
        <v>107</v>
      </c>
      <c r="E80" s="12" t="e">
        <f t="shared" si="0"/>
        <v>#DIV/0!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1</v>
      </c>
      <c r="D87">
        <v>8</v>
      </c>
      <c r="E87" s="12">
        <f aca="true" t="shared" si="1" ref="E87:E102">+D87/C87</f>
        <v>8</v>
      </c>
      <c r="F87">
        <v>8</v>
      </c>
      <c r="G87">
        <v>0</v>
      </c>
      <c r="H87">
        <v>1</v>
      </c>
    </row>
    <row r="88" spans="1:8" ht="12.75">
      <c r="A88" t="s">
        <v>109</v>
      </c>
      <c r="C88">
        <v>3</v>
      </c>
      <c r="D88">
        <v>23</v>
      </c>
      <c r="E88" s="12">
        <f t="shared" si="1"/>
        <v>7.666666666666667</v>
      </c>
      <c r="F88">
        <v>11</v>
      </c>
      <c r="G88">
        <v>0</v>
      </c>
      <c r="H88">
        <v>0</v>
      </c>
    </row>
    <row r="89" spans="1:8" ht="12.75">
      <c r="A89" t="s">
        <v>117</v>
      </c>
      <c r="C89">
        <v>2</v>
      </c>
      <c r="D89">
        <v>17</v>
      </c>
      <c r="E89" s="12">
        <f t="shared" si="1"/>
        <v>8.5</v>
      </c>
      <c r="F89">
        <v>15</v>
      </c>
      <c r="G89">
        <v>0</v>
      </c>
      <c r="H89">
        <v>0</v>
      </c>
    </row>
    <row r="90" spans="1:8" ht="12.75">
      <c r="A90" t="s">
        <v>116</v>
      </c>
      <c r="C90">
        <v>4</v>
      </c>
      <c r="D90">
        <v>70</v>
      </c>
      <c r="E90" s="12">
        <f t="shared" si="1"/>
        <v>17.5</v>
      </c>
      <c r="F90">
        <v>33</v>
      </c>
      <c r="G90">
        <v>0</v>
      </c>
      <c r="H90">
        <v>0</v>
      </c>
    </row>
    <row r="91" spans="1:5" ht="12.75">
      <c r="A91" t="s">
        <v>112</v>
      </c>
      <c r="E91" s="12" t="e">
        <f t="shared" si="1"/>
        <v>#DIV/0!</v>
      </c>
    </row>
    <row r="92" spans="1:8" ht="12.75">
      <c r="A92" t="s">
        <v>120</v>
      </c>
      <c r="C92">
        <v>2</v>
      </c>
      <c r="D92">
        <v>37</v>
      </c>
      <c r="E92" s="12">
        <f t="shared" si="1"/>
        <v>18.5</v>
      </c>
      <c r="F92">
        <v>26</v>
      </c>
      <c r="G92">
        <v>1</v>
      </c>
      <c r="H92">
        <v>0</v>
      </c>
    </row>
    <row r="93" spans="1:8" ht="12.75">
      <c r="A93" t="s">
        <v>121</v>
      </c>
      <c r="C93">
        <v>1</v>
      </c>
      <c r="D93">
        <v>8</v>
      </c>
      <c r="E93" s="12">
        <f t="shared" si="1"/>
        <v>8</v>
      </c>
      <c r="F93">
        <v>8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8" ht="12.75">
      <c r="A95" t="s">
        <v>111</v>
      </c>
      <c r="C95">
        <v>1</v>
      </c>
      <c r="D95">
        <v>16</v>
      </c>
      <c r="E95" s="12">
        <f t="shared" si="1"/>
        <v>16</v>
      </c>
      <c r="F95">
        <v>16</v>
      </c>
      <c r="G95">
        <v>0</v>
      </c>
      <c r="H95">
        <v>0</v>
      </c>
    </row>
    <row r="96" spans="1:8" ht="12.75">
      <c r="A96" t="s">
        <v>123</v>
      </c>
      <c r="C96">
        <v>2</v>
      </c>
      <c r="D96">
        <v>10</v>
      </c>
      <c r="E96" s="12">
        <f t="shared" si="1"/>
        <v>5</v>
      </c>
      <c r="F96">
        <v>5</v>
      </c>
      <c r="G96">
        <v>0</v>
      </c>
      <c r="H96">
        <v>0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114</v>
      </c>
      <c r="C107">
        <v>35</v>
      </c>
      <c r="D107">
        <v>16</v>
      </c>
      <c r="E107" s="12">
        <f>+D107/C107*100</f>
        <v>45.714285714285715</v>
      </c>
      <c r="F107">
        <v>189</v>
      </c>
      <c r="G107">
        <v>1</v>
      </c>
      <c r="H107">
        <v>33</v>
      </c>
      <c r="I107">
        <v>0</v>
      </c>
      <c r="J107" s="8">
        <f>+G107/C107*100</f>
        <v>2.857142857142857</v>
      </c>
      <c r="K107" s="12">
        <f>+I107/C107*100</f>
        <v>0</v>
      </c>
      <c r="L107" s="12">
        <f>+F107/C107</f>
        <v>5.4</v>
      </c>
      <c r="M107" s="12">
        <f>100*(S107+U107+W107+Y107)/6</f>
        <v>72.20238095238095</v>
      </c>
      <c r="N107">
        <v>1</v>
      </c>
      <c r="R107">
        <f>+(E107-30)/20</f>
        <v>0.7857142857142858</v>
      </c>
      <c r="S107" s="2">
        <f>IF(R107&lt;0,0,IF(R107&gt;2.375,2.375,R107))</f>
        <v>0.7857142857142858</v>
      </c>
      <c r="T107" s="6">
        <f>+(L107-3)/4</f>
        <v>0.6000000000000001</v>
      </c>
      <c r="U107" s="2">
        <f>IF(T107&lt;0,0,IF(T107&gt;2.375,2.375,T107))</f>
        <v>0.6000000000000001</v>
      </c>
      <c r="V107">
        <f>+J107/5</f>
        <v>0.5714285714285714</v>
      </c>
      <c r="W107" s="2">
        <f>IF(V107&lt;0,0,IF(V107&gt;2.375,2.375,V107))</f>
        <v>0.5714285714285714</v>
      </c>
      <c r="X107">
        <f>(9.5-K107)/4</f>
        <v>2.375</v>
      </c>
      <c r="Y107" s="2">
        <f>IF(X107&lt;0,0,X107)</f>
        <v>2.375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2</v>
      </c>
      <c r="D114">
        <v>1</v>
      </c>
      <c r="E114">
        <v>18</v>
      </c>
      <c r="F114" s="12">
        <f>+E114/C114</f>
        <v>9</v>
      </c>
      <c r="G114">
        <v>19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2</v>
      </c>
      <c r="D120">
        <v>77</v>
      </c>
      <c r="E120" s="12">
        <f aca="true" t="shared" si="2" ref="E120:E126">+D120/C120</f>
        <v>38.5</v>
      </c>
      <c r="F120">
        <v>56</v>
      </c>
      <c r="G120">
        <v>0</v>
      </c>
      <c r="H120">
        <v>0</v>
      </c>
    </row>
    <row r="121" spans="1:8" ht="12.75">
      <c r="A121" t="s">
        <v>129</v>
      </c>
      <c r="C121">
        <v>2</v>
      </c>
      <c r="D121">
        <v>33</v>
      </c>
      <c r="E121" s="12">
        <f t="shared" si="2"/>
        <v>16.5</v>
      </c>
      <c r="F121">
        <v>20</v>
      </c>
      <c r="G121">
        <v>0</v>
      </c>
      <c r="H121">
        <v>0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4</v>
      </c>
      <c r="D129">
        <v>153</v>
      </c>
      <c r="E129" s="12">
        <f>+D129/C129</f>
        <v>38.25</v>
      </c>
      <c r="F129">
        <v>52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5</v>
      </c>
      <c r="D132">
        <v>4</v>
      </c>
      <c r="E132">
        <v>1</v>
      </c>
      <c r="F132">
        <v>1</v>
      </c>
      <c r="G132">
        <v>4</v>
      </c>
      <c r="H132">
        <v>3</v>
      </c>
      <c r="I132" s="12">
        <f>+H132/G132*100</f>
        <v>75</v>
      </c>
      <c r="J132">
        <v>40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140</v>
      </c>
      <c r="C146">
        <v>1</v>
      </c>
    </row>
    <row r="147" spans="1:3" ht="12.75">
      <c r="A147" t="s">
        <v>141</v>
      </c>
      <c r="C147">
        <v>0.5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spans="1:3" ht="12.75">
      <c r="A154" t="s">
        <v>138</v>
      </c>
      <c r="C154">
        <v>0.5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15</v>
      </c>
      <c r="H160" t="s">
        <v>93</v>
      </c>
      <c r="M160">
        <v>14</v>
      </c>
    </row>
    <row r="161" spans="1:13" ht="12.75">
      <c r="A161" t="s">
        <v>94</v>
      </c>
      <c r="D161">
        <v>6</v>
      </c>
      <c r="H161" t="s">
        <v>94</v>
      </c>
      <c r="M161">
        <v>7</v>
      </c>
    </row>
    <row r="162" spans="1:13" ht="12.75">
      <c r="A162" t="s">
        <v>95</v>
      </c>
      <c r="D162">
        <f>D161/D160*100</f>
        <v>40</v>
      </c>
      <c r="H162" t="s">
        <v>95</v>
      </c>
      <c r="M162">
        <f>+M161/M160*100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Y162"/>
  <sheetViews>
    <sheetView zoomScalePageLayoutView="0" workbookViewId="0" topLeftCell="A60">
      <selection activeCell="U67" sqref="U6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20</v>
      </c>
      <c r="H6" s="1" t="s">
        <v>29</v>
      </c>
      <c r="M6" s="2">
        <f>M7+M8+M9</f>
        <v>21</v>
      </c>
    </row>
    <row r="7" spans="1:13" ht="12.75">
      <c r="A7" s="1" t="s">
        <v>103</v>
      </c>
      <c r="D7" s="2">
        <v>8</v>
      </c>
      <c r="H7" s="1" t="s">
        <v>103</v>
      </c>
      <c r="M7" s="2">
        <v>7</v>
      </c>
    </row>
    <row r="8" spans="1:13" ht="12.75">
      <c r="A8" s="1" t="s">
        <v>105</v>
      </c>
      <c r="D8" s="2">
        <v>8</v>
      </c>
      <c r="H8" s="1" t="s">
        <v>105</v>
      </c>
      <c r="M8" s="2">
        <v>13</v>
      </c>
    </row>
    <row r="9" spans="1:13" ht="12.75">
      <c r="A9" s="1" t="s">
        <v>104</v>
      </c>
      <c r="D9" s="2">
        <v>4</v>
      </c>
      <c r="H9" s="1" t="s">
        <v>104</v>
      </c>
      <c r="M9" s="2">
        <v>1</v>
      </c>
    </row>
    <row r="11" spans="1:13" ht="12.75">
      <c r="A11" t="s">
        <v>1</v>
      </c>
      <c r="D11" s="2">
        <v>38</v>
      </c>
      <c r="H11" t="s">
        <v>1</v>
      </c>
      <c r="M11" s="2">
        <v>24</v>
      </c>
    </row>
    <row r="12" spans="1:13" ht="12.75">
      <c r="A12" t="s">
        <v>2</v>
      </c>
      <c r="D12" s="2">
        <v>133</v>
      </c>
      <c r="H12" t="s">
        <v>2</v>
      </c>
      <c r="M12" s="2">
        <v>117</v>
      </c>
    </row>
    <row r="13" spans="1:13" ht="12.75">
      <c r="A13" s="1" t="s">
        <v>3</v>
      </c>
      <c r="D13" s="8">
        <f>+D12/D11</f>
        <v>3.5</v>
      </c>
      <c r="H13" s="1" t="s">
        <v>3</v>
      </c>
      <c r="M13" s="8">
        <f>+M12/M11</f>
        <v>4.875</v>
      </c>
    </row>
    <row r="15" spans="1:13" ht="12.75">
      <c r="A15" t="s">
        <v>4</v>
      </c>
      <c r="D15" s="2">
        <v>33</v>
      </c>
      <c r="H15" t="s">
        <v>4</v>
      </c>
      <c r="M15" s="2">
        <v>34</v>
      </c>
    </row>
    <row r="16" spans="1:13" ht="12.75">
      <c r="A16" t="s">
        <v>5</v>
      </c>
      <c r="D16" s="2">
        <v>18</v>
      </c>
      <c r="H16" t="s">
        <v>5</v>
      </c>
      <c r="M16" s="2">
        <v>24</v>
      </c>
    </row>
    <row r="17" spans="1:13" ht="12.75">
      <c r="A17" t="s">
        <v>6</v>
      </c>
      <c r="D17" s="8">
        <f>+D16/D15*100</f>
        <v>54.54545454545454</v>
      </c>
      <c r="H17" t="s">
        <v>6</v>
      </c>
      <c r="M17" s="8">
        <f>+M16/M15*100</f>
        <v>70.58823529411765</v>
      </c>
    </row>
    <row r="18" spans="1:13" ht="12.75">
      <c r="A18" t="s">
        <v>7</v>
      </c>
      <c r="D18" s="2">
        <v>168</v>
      </c>
      <c r="H18" t="s">
        <v>7</v>
      </c>
      <c r="M18" s="2">
        <v>298</v>
      </c>
    </row>
    <row r="19" spans="1:13" ht="12.75">
      <c r="A19" t="s">
        <v>8</v>
      </c>
      <c r="D19" s="2">
        <v>1</v>
      </c>
      <c r="H19" t="s">
        <v>8</v>
      </c>
      <c r="M19" s="2">
        <v>2</v>
      </c>
    </row>
    <row r="20" spans="1:13" ht="12.75">
      <c r="A20" t="s">
        <v>9</v>
      </c>
      <c r="D20" s="2">
        <v>17</v>
      </c>
      <c r="H20" t="s">
        <v>9</v>
      </c>
      <c r="M20" s="2">
        <v>15</v>
      </c>
    </row>
    <row r="21" spans="1:13" ht="12.75">
      <c r="A21" t="s">
        <v>10</v>
      </c>
      <c r="D21">
        <f>+D18-D20</f>
        <v>151</v>
      </c>
      <c r="H21" t="s">
        <v>10</v>
      </c>
      <c r="M21">
        <f>+M18-M20</f>
        <v>283</v>
      </c>
    </row>
    <row r="22" spans="1:13" ht="12.75">
      <c r="A22" t="s">
        <v>11</v>
      </c>
      <c r="D22" s="7">
        <f>+D21/(D15+D19)</f>
        <v>4.4411764705882355</v>
      </c>
      <c r="H22" t="s">
        <v>11</v>
      </c>
      <c r="M22" s="7">
        <f>+M21/(M15+M19)</f>
        <v>7.861111111111111</v>
      </c>
    </row>
    <row r="23" spans="1:13" ht="12.75">
      <c r="A23" t="s">
        <v>12</v>
      </c>
      <c r="D23" s="7">
        <f>+D18/D16</f>
        <v>9.333333333333334</v>
      </c>
      <c r="H23" t="s">
        <v>12</v>
      </c>
      <c r="M23" s="7">
        <f>+M18/M16</f>
        <v>12.416666666666666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284</v>
      </c>
      <c r="H26" t="s">
        <v>14</v>
      </c>
      <c r="M26">
        <f>+M21+M12</f>
        <v>400</v>
      </c>
    </row>
    <row r="27" spans="1:13" ht="12.75">
      <c r="A27" t="s">
        <v>15</v>
      </c>
      <c r="D27" s="7">
        <f>+D12/D26*100</f>
        <v>46.83098591549296</v>
      </c>
      <c r="H27" t="s">
        <v>15</v>
      </c>
      <c r="M27" s="7">
        <f>+M12/M26*100</f>
        <v>29.25</v>
      </c>
    </row>
    <row r="28" spans="1:13" ht="12.75">
      <c r="A28" s="1" t="s">
        <v>86</v>
      </c>
      <c r="D28" s="7">
        <f>+D21/D26*100</f>
        <v>53.16901408450704</v>
      </c>
      <c r="H28" s="1" t="s">
        <v>86</v>
      </c>
      <c r="M28" s="7">
        <f>+M21/M26*100</f>
        <v>70.75</v>
      </c>
    </row>
    <row r="30" spans="1:13" ht="12.75">
      <c r="A30" t="s">
        <v>16</v>
      </c>
      <c r="D30">
        <f>+D11+D15+D19</f>
        <v>72</v>
      </c>
      <c r="H30" t="s">
        <v>16</v>
      </c>
      <c r="M30">
        <f>+M11+M15+M19</f>
        <v>60</v>
      </c>
    </row>
    <row r="31" spans="1:13" ht="12.75">
      <c r="A31" t="s">
        <v>17</v>
      </c>
      <c r="D31" s="8">
        <f>+D26/D30</f>
        <v>3.9444444444444446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6.666666666666667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1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5</v>
      </c>
    </row>
    <row r="39" spans="1:13" ht="12.75">
      <c r="A39" t="s">
        <v>23</v>
      </c>
      <c r="D39" s="2">
        <v>235</v>
      </c>
      <c r="H39" t="s">
        <v>23</v>
      </c>
      <c r="M39" s="2">
        <v>203</v>
      </c>
    </row>
    <row r="40" spans="1:13" ht="12.75">
      <c r="A40" t="s">
        <v>24</v>
      </c>
      <c r="D40" s="8">
        <f>+D39/D38</f>
        <v>47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40.6</v>
      </c>
    </row>
    <row r="42" spans="1:13" ht="12.75">
      <c r="A42" t="s">
        <v>25</v>
      </c>
      <c r="D42" s="2">
        <v>4</v>
      </c>
      <c r="H42" t="s">
        <v>25</v>
      </c>
      <c r="M42" s="2">
        <v>3</v>
      </c>
    </row>
    <row r="43" spans="1:13" ht="12.75">
      <c r="A43" t="s">
        <v>26</v>
      </c>
      <c r="D43" s="2">
        <v>11</v>
      </c>
      <c r="H43" t="s">
        <v>26</v>
      </c>
      <c r="M43" s="2">
        <v>10</v>
      </c>
    </row>
    <row r="44" spans="1:13" ht="12.75">
      <c r="A44" t="s">
        <v>27</v>
      </c>
      <c r="D44" s="8">
        <f>+D43/D42</f>
        <v>2.75</v>
      </c>
      <c r="H44" t="s">
        <v>27</v>
      </c>
      <c r="M44" s="8">
        <v>0</v>
      </c>
    </row>
    <row r="45" spans="1:13" ht="12.75">
      <c r="A45" t="s">
        <v>106</v>
      </c>
      <c r="D45" s="2">
        <v>0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2</v>
      </c>
    </row>
    <row r="49" spans="1:13" ht="12.75">
      <c r="A49" t="s">
        <v>26</v>
      </c>
      <c r="D49" s="2">
        <v>43</v>
      </c>
      <c r="H49" t="s">
        <v>26</v>
      </c>
      <c r="M49" s="2">
        <v>18</v>
      </c>
    </row>
    <row r="50" spans="1:13" ht="12.75">
      <c r="A50" t="s">
        <v>27</v>
      </c>
      <c r="D50" s="8">
        <f>+D49/D48</f>
        <v>14.333333333333334</v>
      </c>
      <c r="H50" t="s">
        <v>27</v>
      </c>
      <c r="M50" s="8">
        <f>+M49/M48</f>
        <v>9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3</v>
      </c>
      <c r="H53" t="s">
        <v>31</v>
      </c>
      <c r="M53" s="2">
        <v>14</v>
      </c>
    </row>
    <row r="54" spans="1:13" ht="12.75">
      <c r="A54" t="s">
        <v>32</v>
      </c>
      <c r="D54" s="2">
        <v>30</v>
      </c>
      <c r="H54" t="s">
        <v>32</v>
      </c>
      <c r="M54" s="2">
        <v>138</v>
      </c>
    </row>
    <row r="56" spans="1:13" ht="12.75">
      <c r="A56" t="s">
        <v>33</v>
      </c>
      <c r="D56" s="2">
        <v>2</v>
      </c>
      <c r="H56" t="s">
        <v>33</v>
      </c>
      <c r="M56" s="2">
        <v>1</v>
      </c>
    </row>
    <row r="57" spans="1:13" ht="12.75">
      <c r="A57" t="s">
        <v>101</v>
      </c>
      <c r="D57" s="2">
        <v>1</v>
      </c>
      <c r="H57" t="s">
        <v>101</v>
      </c>
      <c r="M57" s="2">
        <v>1</v>
      </c>
    </row>
    <row r="59" spans="1:13" ht="12.75">
      <c r="A59" t="s">
        <v>34</v>
      </c>
      <c r="D59" s="2">
        <v>22</v>
      </c>
      <c r="H59" t="s">
        <v>34</v>
      </c>
      <c r="M59" s="2">
        <v>20</v>
      </c>
    </row>
    <row r="60" spans="1:13" ht="12.75">
      <c r="A60" t="s">
        <v>35</v>
      </c>
      <c r="D60" s="2">
        <v>1</v>
      </c>
      <c r="H60" t="s">
        <v>35</v>
      </c>
      <c r="M60" s="2">
        <v>2</v>
      </c>
    </row>
    <row r="61" spans="1:13" ht="12.75">
      <c r="A61" t="s">
        <v>36</v>
      </c>
      <c r="D61" s="2">
        <v>1</v>
      </c>
      <c r="H61" t="s">
        <v>36</v>
      </c>
      <c r="M61" s="2">
        <v>2</v>
      </c>
    </row>
    <row r="62" spans="1:13" ht="12.75">
      <c r="A62" t="s">
        <v>37</v>
      </c>
      <c r="D62" s="2">
        <v>0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5</v>
      </c>
      <c r="H66" t="s">
        <v>41</v>
      </c>
      <c r="M66" s="2">
        <v>2</v>
      </c>
    </row>
    <row r="67" spans="1:13" ht="12.75">
      <c r="A67" t="s">
        <v>42</v>
      </c>
      <c r="D67" s="2">
        <v>5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92</v>
      </c>
      <c r="D69" s="10"/>
      <c r="E69" s="8"/>
      <c r="F69" s="8"/>
      <c r="H69" t="s">
        <v>91</v>
      </c>
      <c r="M69" s="10"/>
    </row>
    <row r="70" spans="1:13" ht="12.75">
      <c r="A70" t="s">
        <v>102</v>
      </c>
      <c r="D70" s="23">
        <f>D162</f>
        <v>40</v>
      </c>
      <c r="E70" s="8"/>
      <c r="F70" s="8"/>
      <c r="H70" t="s">
        <v>102</v>
      </c>
      <c r="M70" s="23">
        <f>M162</f>
        <v>38.46153846153847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17</v>
      </c>
      <c r="D74">
        <v>71</v>
      </c>
      <c r="E74" s="12">
        <f aca="true" t="shared" si="0" ref="E74:E84">+D74/C74</f>
        <v>4.176470588235294</v>
      </c>
      <c r="F74">
        <v>41</v>
      </c>
      <c r="G74">
        <v>0</v>
      </c>
      <c r="H74">
        <v>1</v>
      </c>
    </row>
    <row r="75" spans="1:8" ht="12.75">
      <c r="A75" t="s">
        <v>110</v>
      </c>
      <c r="C75">
        <v>16</v>
      </c>
      <c r="D75">
        <v>42</v>
      </c>
      <c r="E75" s="12">
        <f t="shared" si="0"/>
        <v>2.625</v>
      </c>
      <c r="F75">
        <v>11</v>
      </c>
      <c r="G75">
        <v>1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2</v>
      </c>
      <c r="D77">
        <v>15</v>
      </c>
      <c r="E77" s="12">
        <f t="shared" si="0"/>
        <v>7.5</v>
      </c>
      <c r="F77">
        <v>14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2</v>
      </c>
      <c r="D79">
        <v>4</v>
      </c>
      <c r="E79" s="12">
        <f t="shared" si="0"/>
        <v>2</v>
      </c>
      <c r="F79">
        <v>2</v>
      </c>
      <c r="G79">
        <v>0</v>
      </c>
      <c r="H79">
        <v>0</v>
      </c>
    </row>
    <row r="80" spans="1:5" ht="12.75">
      <c r="A80" t="s">
        <v>107</v>
      </c>
      <c r="E80" s="12" t="e">
        <f t="shared" si="0"/>
        <v>#DIV/0!</v>
      </c>
    </row>
    <row r="81" spans="1:8" ht="12.75">
      <c r="A81" t="s">
        <v>115</v>
      </c>
      <c r="C81">
        <v>1</v>
      </c>
      <c r="D81">
        <v>1</v>
      </c>
      <c r="E81" s="12">
        <f t="shared" si="0"/>
        <v>1</v>
      </c>
      <c r="F81">
        <v>1</v>
      </c>
      <c r="G81">
        <v>0</v>
      </c>
      <c r="H81">
        <v>0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2</v>
      </c>
      <c r="D87">
        <v>26</v>
      </c>
      <c r="E87" s="12">
        <f aca="true" t="shared" si="1" ref="E87:E102">+D87/C87</f>
        <v>13</v>
      </c>
      <c r="F87">
        <v>21</v>
      </c>
      <c r="G87">
        <v>0</v>
      </c>
      <c r="H87">
        <v>0</v>
      </c>
    </row>
    <row r="88" spans="1:8" ht="12.75">
      <c r="A88" t="s">
        <v>109</v>
      </c>
      <c r="C88">
        <v>1</v>
      </c>
      <c r="D88">
        <v>-2</v>
      </c>
      <c r="E88" s="12">
        <f t="shared" si="1"/>
        <v>-2</v>
      </c>
      <c r="F88">
        <v>-2</v>
      </c>
      <c r="G88">
        <v>0</v>
      </c>
      <c r="H88">
        <v>0</v>
      </c>
    </row>
    <row r="89" spans="1:8" ht="12.75">
      <c r="A89" t="s">
        <v>117</v>
      </c>
      <c r="C89">
        <v>2</v>
      </c>
      <c r="D89">
        <v>15</v>
      </c>
      <c r="E89" s="12">
        <f t="shared" si="1"/>
        <v>7.5</v>
      </c>
      <c r="F89">
        <v>8</v>
      </c>
      <c r="G89">
        <v>0</v>
      </c>
      <c r="H89">
        <v>0</v>
      </c>
    </row>
    <row r="90" spans="1:8" ht="12.75">
      <c r="A90" t="s">
        <v>116</v>
      </c>
      <c r="C90">
        <v>3</v>
      </c>
      <c r="D90">
        <v>37</v>
      </c>
      <c r="E90" s="12">
        <f t="shared" si="1"/>
        <v>12.333333333333334</v>
      </c>
      <c r="F90">
        <v>20</v>
      </c>
      <c r="G90">
        <v>0</v>
      </c>
      <c r="H90">
        <v>0</v>
      </c>
    </row>
    <row r="91" spans="1:8" ht="12.75">
      <c r="A91" t="s">
        <v>112</v>
      </c>
      <c r="C91">
        <v>2</v>
      </c>
      <c r="D91">
        <v>9</v>
      </c>
      <c r="E91" s="12">
        <f t="shared" si="1"/>
        <v>4.5</v>
      </c>
      <c r="F91">
        <v>9</v>
      </c>
      <c r="G91">
        <v>0</v>
      </c>
      <c r="H91">
        <v>1</v>
      </c>
    </row>
    <row r="92" spans="1:8" ht="12.75">
      <c r="A92" t="s">
        <v>120</v>
      </c>
      <c r="C92">
        <v>3</v>
      </c>
      <c r="D92">
        <v>15</v>
      </c>
      <c r="E92" s="12">
        <f t="shared" si="1"/>
        <v>5</v>
      </c>
      <c r="F92">
        <v>9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24</v>
      </c>
      <c r="E93" s="12">
        <f t="shared" si="1"/>
        <v>24</v>
      </c>
      <c r="F93">
        <v>24</v>
      </c>
      <c r="G93">
        <v>0</v>
      </c>
      <c r="H93">
        <v>0</v>
      </c>
    </row>
    <row r="94" spans="1:8" ht="12.75">
      <c r="A94" t="s">
        <v>122</v>
      </c>
      <c r="C94">
        <v>1</v>
      </c>
      <c r="D94">
        <v>17</v>
      </c>
      <c r="E94" s="12">
        <f t="shared" si="1"/>
        <v>17</v>
      </c>
      <c r="F94">
        <v>17</v>
      </c>
      <c r="G94">
        <v>0</v>
      </c>
      <c r="H94">
        <v>0</v>
      </c>
    </row>
    <row r="95" spans="1:8" ht="12.75">
      <c r="A95" t="s">
        <v>111</v>
      </c>
      <c r="C95">
        <v>1</v>
      </c>
      <c r="D95">
        <v>10</v>
      </c>
      <c r="E95" s="12">
        <f t="shared" si="1"/>
        <v>10</v>
      </c>
      <c r="F95">
        <v>10</v>
      </c>
      <c r="G95">
        <v>0</v>
      </c>
      <c r="H95">
        <v>0</v>
      </c>
    </row>
    <row r="96" spans="1:8" ht="12.75">
      <c r="A96" t="s">
        <v>123</v>
      </c>
      <c r="C96">
        <v>1</v>
      </c>
      <c r="D96">
        <v>12</v>
      </c>
      <c r="E96" s="12">
        <f t="shared" si="1"/>
        <v>12</v>
      </c>
      <c r="F96">
        <v>12</v>
      </c>
      <c r="G96">
        <v>0</v>
      </c>
      <c r="H96">
        <v>0</v>
      </c>
    </row>
    <row r="97" spans="1:5" ht="12.75">
      <c r="A97" t="s">
        <v>110</v>
      </c>
      <c r="E97" s="12" t="e">
        <f t="shared" si="1"/>
        <v>#DIV/0!</v>
      </c>
    </row>
    <row r="98" spans="1:8" ht="12.75">
      <c r="A98" t="s">
        <v>115</v>
      </c>
      <c r="C98">
        <v>1</v>
      </c>
      <c r="D98">
        <v>5</v>
      </c>
      <c r="E98" s="12">
        <f t="shared" si="1"/>
        <v>5</v>
      </c>
      <c r="F98">
        <v>5</v>
      </c>
      <c r="G98">
        <v>0</v>
      </c>
      <c r="H98">
        <v>0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114</v>
      </c>
      <c r="C107">
        <v>33</v>
      </c>
      <c r="D107">
        <v>18</v>
      </c>
      <c r="E107" s="12">
        <f>+D107/C107*100</f>
        <v>54.54545454545454</v>
      </c>
      <c r="F107">
        <v>168</v>
      </c>
      <c r="G107">
        <v>0</v>
      </c>
      <c r="H107">
        <v>24</v>
      </c>
      <c r="I107">
        <v>0</v>
      </c>
      <c r="J107" s="8">
        <f>+G107/C107*100</f>
        <v>0</v>
      </c>
      <c r="K107" s="12">
        <f>+I107/C107*100</f>
        <v>0</v>
      </c>
      <c r="L107" s="12">
        <f>+F107/C107</f>
        <v>5.090909090909091</v>
      </c>
      <c r="M107" s="12">
        <f>100*(S107+U107+W107+Y107)/6</f>
        <v>68.75</v>
      </c>
      <c r="R107">
        <f>+(E107-30)/20</f>
        <v>1.227272727272727</v>
      </c>
      <c r="S107" s="2">
        <f>IF(R107&lt;0,0,IF(R107&gt;2.375,2.375,R107))</f>
        <v>1.227272727272727</v>
      </c>
      <c r="T107" s="6">
        <f>+(L107-3)/4</f>
        <v>0.5227272727272727</v>
      </c>
      <c r="U107" s="2">
        <f>IF(T107&lt;0,0,IF(T107&gt;2.375,2.375,T107))</f>
        <v>0.5227272727272727</v>
      </c>
      <c r="V107">
        <f>+J107/5</f>
        <v>0</v>
      </c>
      <c r="W107" s="2">
        <f>IF(V107&lt;0,0,IF(V107&gt;2.375,2.375,V107))</f>
        <v>0</v>
      </c>
      <c r="X107">
        <f>(9.5-K107)/4</f>
        <v>2.375</v>
      </c>
      <c r="Y107" s="2">
        <f>IF(X107&lt;0,0,X107)</f>
        <v>2.375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4</v>
      </c>
      <c r="D114">
        <v>0</v>
      </c>
      <c r="E114">
        <v>11</v>
      </c>
      <c r="F114" s="12">
        <v>0</v>
      </c>
      <c r="G114">
        <v>8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3</v>
      </c>
      <c r="D120">
        <v>43</v>
      </c>
      <c r="E120" s="12">
        <f aca="true" t="shared" si="2" ref="E120:E126">+D120/C120</f>
        <v>14.333333333333334</v>
      </c>
      <c r="F120">
        <v>20</v>
      </c>
      <c r="G120">
        <v>0</v>
      </c>
      <c r="H120">
        <v>0</v>
      </c>
    </row>
    <row r="121" spans="1:5" ht="12.75">
      <c r="A121" t="s">
        <v>129</v>
      </c>
      <c r="E121" s="12" t="e">
        <f t="shared" si="2"/>
        <v>#DIV/0!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8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  <c r="H128" s="3" t="s">
        <v>80</v>
      </c>
    </row>
    <row r="129" spans="1:8" ht="12.75">
      <c r="A129" t="s">
        <v>127</v>
      </c>
      <c r="C129">
        <v>5</v>
      </c>
      <c r="D129">
        <v>235</v>
      </c>
      <c r="E129" s="12">
        <f>+D129/C129</f>
        <v>47</v>
      </c>
      <c r="F129">
        <v>54</v>
      </c>
      <c r="G129">
        <v>0</v>
      </c>
      <c r="H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6</v>
      </c>
      <c r="D132">
        <v>3</v>
      </c>
      <c r="E132">
        <v>1</v>
      </c>
      <c r="F132">
        <v>1</v>
      </c>
      <c r="G132">
        <v>5</v>
      </c>
      <c r="H132">
        <v>5</v>
      </c>
      <c r="I132" s="12">
        <f>+H132/G132*100</f>
        <v>100</v>
      </c>
      <c r="J132">
        <v>54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133</v>
      </c>
      <c r="C135">
        <v>1</v>
      </c>
      <c r="D135">
        <v>0</v>
      </c>
      <c r="E135" s="12">
        <f aca="true" t="shared" si="3" ref="E135:E143">+D135/C135</f>
        <v>0</v>
      </c>
      <c r="F135">
        <v>0</v>
      </c>
      <c r="G135">
        <v>0</v>
      </c>
      <c r="H135">
        <v>0</v>
      </c>
    </row>
    <row r="136" spans="1:5" ht="12.75">
      <c r="A136" t="s">
        <v>134</v>
      </c>
      <c r="E136" s="12" t="e">
        <f t="shared" si="3"/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140</v>
      </c>
      <c r="C146">
        <v>1</v>
      </c>
    </row>
    <row r="147" ht="12.75">
      <c r="A147" t="s">
        <v>141</v>
      </c>
    </row>
    <row r="148" ht="12.75">
      <c r="A148" t="s">
        <v>142</v>
      </c>
    </row>
    <row r="149" spans="1:3" ht="12.75">
      <c r="A149" t="s">
        <v>143</v>
      </c>
      <c r="C149">
        <v>1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20</v>
      </c>
      <c r="H160" t="s">
        <v>93</v>
      </c>
      <c r="M160">
        <v>13</v>
      </c>
    </row>
    <row r="161" spans="1:13" ht="12.75">
      <c r="A161" t="s">
        <v>94</v>
      </c>
      <c r="D161">
        <v>8</v>
      </c>
      <c r="H161" t="s">
        <v>94</v>
      </c>
      <c r="M161">
        <v>5</v>
      </c>
    </row>
    <row r="162" spans="1:13" ht="12.75">
      <c r="A162" t="s">
        <v>95</v>
      </c>
      <c r="D162" s="8">
        <f>D161/D160*100</f>
        <v>40</v>
      </c>
      <c r="H162" t="s">
        <v>95</v>
      </c>
      <c r="M162">
        <f>+M161/M160*100</f>
        <v>38.46153846153847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Y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23</v>
      </c>
      <c r="H6" s="1" t="s">
        <v>29</v>
      </c>
      <c r="M6" s="2">
        <f>M7+M8+M9</f>
        <v>25</v>
      </c>
    </row>
    <row r="7" spans="1:13" ht="12.75">
      <c r="A7" s="1" t="s">
        <v>103</v>
      </c>
      <c r="D7" s="2">
        <v>7</v>
      </c>
      <c r="H7" s="1" t="s">
        <v>103</v>
      </c>
      <c r="M7" s="2">
        <v>15</v>
      </c>
    </row>
    <row r="8" spans="1:13" ht="12.75">
      <c r="A8" s="1" t="s">
        <v>105</v>
      </c>
      <c r="D8" s="2">
        <v>13</v>
      </c>
      <c r="H8" s="1" t="s">
        <v>105</v>
      </c>
      <c r="M8" s="2">
        <v>9</v>
      </c>
    </row>
    <row r="9" spans="1:13" ht="12.75">
      <c r="A9" s="1" t="s">
        <v>104</v>
      </c>
      <c r="D9" s="2">
        <v>3</v>
      </c>
      <c r="H9" s="1" t="s">
        <v>104</v>
      </c>
      <c r="M9" s="2">
        <v>1</v>
      </c>
    </row>
    <row r="11" spans="1:13" ht="12.75">
      <c r="A11" t="s">
        <v>1</v>
      </c>
      <c r="D11" s="2">
        <v>29</v>
      </c>
      <c r="H11" t="s">
        <v>1</v>
      </c>
      <c r="M11" s="2">
        <v>44</v>
      </c>
    </row>
    <row r="12" spans="1:13" ht="12.75">
      <c r="A12" t="s">
        <v>2</v>
      </c>
      <c r="D12" s="2">
        <v>192</v>
      </c>
      <c r="H12" t="s">
        <v>2</v>
      </c>
      <c r="M12" s="2">
        <v>266</v>
      </c>
    </row>
    <row r="13" spans="1:13" ht="12.75">
      <c r="A13" s="1" t="s">
        <v>3</v>
      </c>
      <c r="D13" s="8">
        <f>+D12/D11</f>
        <v>6.620689655172414</v>
      </c>
      <c r="H13" s="1" t="s">
        <v>3</v>
      </c>
      <c r="M13" s="8">
        <f>+M12/M11</f>
        <v>6.045454545454546</v>
      </c>
    </row>
    <row r="15" spans="1:13" ht="12.75">
      <c r="A15" t="s">
        <v>4</v>
      </c>
      <c r="D15" s="2">
        <v>30</v>
      </c>
      <c r="H15" t="s">
        <v>4</v>
      </c>
      <c r="M15" s="2">
        <v>26</v>
      </c>
    </row>
    <row r="16" spans="1:13" ht="12.75">
      <c r="A16" t="s">
        <v>5</v>
      </c>
      <c r="D16" s="2">
        <v>17</v>
      </c>
      <c r="H16" t="s">
        <v>5</v>
      </c>
      <c r="M16" s="2">
        <v>14</v>
      </c>
    </row>
    <row r="17" spans="1:13" ht="12.75">
      <c r="A17" t="s">
        <v>6</v>
      </c>
      <c r="D17" s="8">
        <f>+D16/D15*100</f>
        <v>56.666666666666664</v>
      </c>
      <c r="H17" t="s">
        <v>6</v>
      </c>
      <c r="M17" s="8">
        <f>+M16/M15*100</f>
        <v>53.84615384615385</v>
      </c>
    </row>
    <row r="18" spans="1:13" ht="12.75">
      <c r="A18" t="s">
        <v>7</v>
      </c>
      <c r="D18" s="2">
        <v>235</v>
      </c>
      <c r="H18" t="s">
        <v>7</v>
      </c>
      <c r="M18" s="2">
        <v>200</v>
      </c>
    </row>
    <row r="19" spans="1:13" ht="12.75">
      <c r="A19" t="s">
        <v>8</v>
      </c>
      <c r="D19" s="2">
        <v>5</v>
      </c>
      <c r="H19" t="s">
        <v>8</v>
      </c>
      <c r="M19" s="2">
        <v>1</v>
      </c>
    </row>
    <row r="20" spans="1:13" ht="12.75">
      <c r="A20" t="s">
        <v>9</v>
      </c>
      <c r="D20" s="2">
        <v>36</v>
      </c>
      <c r="H20" t="s">
        <v>9</v>
      </c>
      <c r="M20" s="2">
        <v>8</v>
      </c>
    </row>
    <row r="21" spans="1:13" ht="12.75">
      <c r="A21" t="s">
        <v>10</v>
      </c>
      <c r="D21">
        <f>+D18-D20</f>
        <v>199</v>
      </c>
      <c r="H21" t="s">
        <v>10</v>
      </c>
      <c r="M21">
        <f>+M18-M20</f>
        <v>192</v>
      </c>
    </row>
    <row r="22" spans="1:13" ht="12.75">
      <c r="A22" t="s">
        <v>11</v>
      </c>
      <c r="D22" s="7">
        <f>+D21/(D15+D19)</f>
        <v>5.685714285714286</v>
      </c>
      <c r="H22" t="s">
        <v>11</v>
      </c>
      <c r="M22" s="7">
        <f>+M21/(M15+M19)</f>
        <v>7.111111111111111</v>
      </c>
    </row>
    <row r="23" spans="1:13" ht="12.75">
      <c r="A23" t="s">
        <v>12</v>
      </c>
      <c r="D23" s="7">
        <f>+D18/D16</f>
        <v>13.823529411764707</v>
      </c>
      <c r="H23" t="s">
        <v>12</v>
      </c>
      <c r="M23" s="7">
        <f>+M18/M16</f>
        <v>14.285714285714286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391</v>
      </c>
      <c r="H26" t="s">
        <v>14</v>
      </c>
      <c r="M26">
        <f>+M21+M12</f>
        <v>458</v>
      </c>
    </row>
    <row r="27" spans="1:13" ht="12.75">
      <c r="A27" t="s">
        <v>15</v>
      </c>
      <c r="D27" s="7">
        <f>+D12/D26*100</f>
        <v>49.10485933503836</v>
      </c>
      <c r="H27" t="s">
        <v>15</v>
      </c>
      <c r="M27" s="7">
        <f>+M12/M26*100</f>
        <v>58.07860262008734</v>
      </c>
    </row>
    <row r="28" spans="1:13" ht="12.75">
      <c r="A28" s="1" t="s">
        <v>86</v>
      </c>
      <c r="D28" s="7">
        <f>+D21/D26*100</f>
        <v>50.89514066496164</v>
      </c>
      <c r="H28" s="1" t="s">
        <v>86</v>
      </c>
      <c r="M28" s="7">
        <f>+M21/M26*100</f>
        <v>41.92139737991266</v>
      </c>
    </row>
    <row r="30" spans="1:13" ht="12.75">
      <c r="A30" t="s">
        <v>16</v>
      </c>
      <c r="D30">
        <f>+D11+D15+D19</f>
        <v>64</v>
      </c>
      <c r="H30" t="s">
        <v>16</v>
      </c>
      <c r="M30">
        <f>+M11+M15+M19</f>
        <v>71</v>
      </c>
    </row>
    <row r="31" spans="1:13" ht="12.75">
      <c r="A31" t="s">
        <v>17</v>
      </c>
      <c r="D31" s="8">
        <f>+D26/D30</f>
        <v>6.109375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6.450704225352113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3</v>
      </c>
      <c r="H38" t="s">
        <v>22</v>
      </c>
      <c r="M38" s="2">
        <v>4</v>
      </c>
    </row>
    <row r="39" spans="1:13" ht="12.75">
      <c r="A39" t="s">
        <v>23</v>
      </c>
      <c r="D39" s="2">
        <v>99</v>
      </c>
      <c r="H39" t="s">
        <v>23</v>
      </c>
      <c r="M39" s="2">
        <v>153</v>
      </c>
    </row>
    <row r="40" spans="1:13" ht="12.75">
      <c r="A40" t="s">
        <v>24</v>
      </c>
      <c r="D40" s="8">
        <f>+D39/D38</f>
        <v>33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38.25</v>
      </c>
    </row>
    <row r="42" spans="1:13" ht="12.75">
      <c r="A42" t="s">
        <v>25</v>
      </c>
      <c r="D42" s="2">
        <v>1</v>
      </c>
      <c r="H42" t="s">
        <v>25</v>
      </c>
      <c r="M42" s="2">
        <v>3</v>
      </c>
    </row>
    <row r="43" spans="1:13" ht="12.75">
      <c r="A43" t="s">
        <v>26</v>
      </c>
      <c r="D43" s="2">
        <v>8</v>
      </c>
      <c r="H43" t="s">
        <v>26</v>
      </c>
      <c r="M43" s="2">
        <v>32</v>
      </c>
    </row>
    <row r="44" spans="1:13" ht="12.75">
      <c r="A44" t="s">
        <v>27</v>
      </c>
      <c r="D44" s="8">
        <f>+D43/D42</f>
        <v>8</v>
      </c>
      <c r="H44" t="s">
        <v>27</v>
      </c>
      <c r="M44" s="8">
        <f>+M43/M42</f>
        <v>10.666666666666666</v>
      </c>
    </row>
    <row r="45" spans="1:13" ht="12.75">
      <c r="A45" t="s">
        <v>106</v>
      </c>
      <c r="D45" s="2">
        <v>1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1</v>
      </c>
    </row>
    <row r="49" spans="1:13" ht="12.75">
      <c r="A49" t="s">
        <v>26</v>
      </c>
      <c r="D49" s="2">
        <v>148</v>
      </c>
      <c r="H49" t="s">
        <v>26</v>
      </c>
      <c r="M49" s="2">
        <v>27</v>
      </c>
    </row>
    <row r="50" spans="1:13" ht="12.75">
      <c r="A50" t="s">
        <v>27</v>
      </c>
      <c r="D50" s="8">
        <f>+D49/D48</f>
        <v>24.666666666666668</v>
      </c>
      <c r="H50" t="s">
        <v>27</v>
      </c>
      <c r="M50" s="8">
        <f>+M49/M48</f>
        <v>27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3</v>
      </c>
      <c r="H53" t="s">
        <v>31</v>
      </c>
      <c r="M53" s="2">
        <v>8</v>
      </c>
    </row>
    <row r="54" spans="1:13" ht="12.75">
      <c r="A54" t="s">
        <v>32</v>
      </c>
      <c r="D54" s="2">
        <v>20</v>
      </c>
      <c r="H54" t="s">
        <v>32</v>
      </c>
      <c r="M54" s="2">
        <v>55</v>
      </c>
    </row>
    <row r="56" spans="1:13" ht="12.75">
      <c r="A56" t="s">
        <v>33</v>
      </c>
      <c r="D56" s="2">
        <v>3</v>
      </c>
      <c r="H56" t="s">
        <v>33</v>
      </c>
      <c r="M56" s="2">
        <v>3</v>
      </c>
    </row>
    <row r="57" spans="1:13" ht="12.75">
      <c r="A57" t="s">
        <v>101</v>
      </c>
      <c r="D57" s="2">
        <v>3</v>
      </c>
      <c r="H57" t="s">
        <v>101</v>
      </c>
      <c r="M57" s="2">
        <v>3</v>
      </c>
    </row>
    <row r="58" ht="12.75">
      <c r="M58" s="2"/>
    </row>
    <row r="59" spans="1:13" ht="12.75">
      <c r="A59" t="s">
        <v>34</v>
      </c>
      <c r="D59" s="2">
        <v>13</v>
      </c>
      <c r="H59" t="s">
        <v>34</v>
      </c>
      <c r="M59" s="2">
        <v>27</v>
      </c>
    </row>
    <row r="60" spans="1:13" ht="12.75">
      <c r="A60" t="s">
        <v>35</v>
      </c>
      <c r="D60" s="2">
        <v>1</v>
      </c>
      <c r="H60" t="s">
        <v>35</v>
      </c>
      <c r="M60" s="2">
        <v>3</v>
      </c>
    </row>
    <row r="61" spans="1:13" ht="12.75">
      <c r="A61" t="s">
        <v>36</v>
      </c>
      <c r="D61" s="2">
        <v>1</v>
      </c>
      <c r="H61" t="s">
        <v>36</v>
      </c>
      <c r="M61" s="2">
        <v>3</v>
      </c>
    </row>
    <row r="62" spans="1:13" ht="12.75">
      <c r="A62" t="s">
        <v>37</v>
      </c>
      <c r="D62" s="2">
        <v>0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2</v>
      </c>
    </row>
    <row r="67" spans="1:13" ht="12.75">
      <c r="A67" t="s">
        <v>42</v>
      </c>
      <c r="D67" s="2">
        <v>2</v>
      </c>
      <c r="H67" t="s">
        <v>42</v>
      </c>
      <c r="M67" s="2">
        <v>2</v>
      </c>
    </row>
    <row r="68" spans="1:13" ht="12.75">
      <c r="A68" t="s">
        <v>43</v>
      </c>
      <c r="D68" s="7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92</v>
      </c>
      <c r="D69" s="10">
        <v>27.29</v>
      </c>
      <c r="E69" s="8"/>
      <c r="F69" s="8"/>
      <c r="H69" t="s">
        <v>91</v>
      </c>
      <c r="M69" s="10">
        <v>32.31</v>
      </c>
    </row>
    <row r="70" spans="1:13" ht="12.75">
      <c r="A70" t="s">
        <v>102</v>
      </c>
      <c r="D70" s="23">
        <f>D160</f>
        <v>9</v>
      </c>
      <c r="E70" s="8"/>
      <c r="F70" s="8"/>
      <c r="H70" t="s">
        <v>102</v>
      </c>
      <c r="M70" s="23">
        <f>M160</f>
        <v>12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12</v>
      </c>
      <c r="D74">
        <v>123</v>
      </c>
      <c r="E74" s="12">
        <f aca="true" t="shared" si="0" ref="E74:E84">+D74/C74</f>
        <v>10.25</v>
      </c>
      <c r="F74">
        <v>41</v>
      </c>
      <c r="G74">
        <v>1</v>
      </c>
      <c r="H74">
        <v>1</v>
      </c>
    </row>
    <row r="75" spans="1:8" ht="12.75">
      <c r="A75" t="s">
        <v>110</v>
      </c>
      <c r="C75">
        <v>13</v>
      </c>
      <c r="D75">
        <v>69</v>
      </c>
      <c r="E75" s="12">
        <f t="shared" si="0"/>
        <v>5.3076923076923075</v>
      </c>
      <c r="F75">
        <v>25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4</v>
      </c>
      <c r="D79">
        <v>0</v>
      </c>
      <c r="E79" s="12">
        <f t="shared" si="0"/>
        <v>0</v>
      </c>
      <c r="F79">
        <v>2</v>
      </c>
      <c r="G79">
        <v>0</v>
      </c>
      <c r="H79">
        <v>0</v>
      </c>
    </row>
    <row r="80" spans="1:5" ht="12.75">
      <c r="A80" t="s">
        <v>107</v>
      </c>
      <c r="E80" s="12" t="e">
        <f t="shared" si="0"/>
        <v>#DIV/0!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6</v>
      </c>
      <c r="D87">
        <v>103</v>
      </c>
      <c r="E87" s="12">
        <f aca="true" t="shared" si="1" ref="E87:E102">+D87/C87</f>
        <v>17.166666666666668</v>
      </c>
      <c r="F87">
        <v>27</v>
      </c>
      <c r="G87">
        <v>0</v>
      </c>
      <c r="H87">
        <v>0</v>
      </c>
    </row>
    <row r="88" spans="1:8" ht="12.75">
      <c r="A88" t="s">
        <v>109</v>
      </c>
      <c r="C88">
        <v>2</v>
      </c>
      <c r="D88">
        <v>9</v>
      </c>
      <c r="E88" s="12">
        <f t="shared" si="1"/>
        <v>4.5</v>
      </c>
      <c r="F88">
        <v>12</v>
      </c>
      <c r="G88">
        <v>0</v>
      </c>
      <c r="H88">
        <v>0</v>
      </c>
    </row>
    <row r="89" spans="1:8" ht="12.75">
      <c r="A89" t="s">
        <v>117</v>
      </c>
      <c r="C89">
        <v>2</v>
      </c>
      <c r="D89">
        <v>40</v>
      </c>
      <c r="E89" s="12">
        <f t="shared" si="1"/>
        <v>20</v>
      </c>
      <c r="F89">
        <v>35</v>
      </c>
      <c r="G89">
        <v>0</v>
      </c>
      <c r="H89">
        <v>0</v>
      </c>
    </row>
    <row r="90" spans="1:8" ht="12.75">
      <c r="A90" t="s">
        <v>116</v>
      </c>
      <c r="C90">
        <v>2</v>
      </c>
      <c r="D90">
        <v>20</v>
      </c>
      <c r="E90" s="12">
        <f t="shared" si="1"/>
        <v>10</v>
      </c>
      <c r="F90">
        <v>12</v>
      </c>
      <c r="G90">
        <v>0</v>
      </c>
      <c r="H90">
        <v>0</v>
      </c>
    </row>
    <row r="91" spans="1:8" ht="12.75">
      <c r="A91" t="s">
        <v>112</v>
      </c>
      <c r="C91">
        <v>2</v>
      </c>
      <c r="D91">
        <v>25</v>
      </c>
      <c r="E91" s="12">
        <f t="shared" si="1"/>
        <v>12.5</v>
      </c>
      <c r="F91">
        <v>14</v>
      </c>
      <c r="G91">
        <v>0</v>
      </c>
      <c r="H91">
        <v>0</v>
      </c>
    </row>
    <row r="92" spans="1:8" ht="12.75">
      <c r="A92" t="s">
        <v>120</v>
      </c>
      <c r="C92">
        <v>2</v>
      </c>
      <c r="D92">
        <v>29</v>
      </c>
      <c r="E92" s="12">
        <f t="shared" si="1"/>
        <v>14.5</v>
      </c>
      <c r="F92">
        <v>15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9</v>
      </c>
      <c r="E93" s="12">
        <f t="shared" si="1"/>
        <v>9</v>
      </c>
      <c r="F93">
        <v>9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111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7" spans="1:25" ht="12.75">
      <c r="A107" t="s">
        <v>114</v>
      </c>
      <c r="C107">
        <v>30</v>
      </c>
      <c r="D107">
        <v>17</v>
      </c>
      <c r="E107" s="12">
        <f>+D107/C107*100</f>
        <v>56.666666666666664</v>
      </c>
      <c r="F107">
        <v>235</v>
      </c>
      <c r="G107">
        <v>0</v>
      </c>
      <c r="H107">
        <v>35</v>
      </c>
      <c r="I107">
        <v>0</v>
      </c>
      <c r="J107" s="8">
        <f>+G107/C107*100</f>
        <v>0</v>
      </c>
      <c r="K107" s="12">
        <f>+I107/C107*100</f>
        <v>0</v>
      </c>
      <c r="L107" s="12">
        <f>+F107/C107</f>
        <v>7.833333333333333</v>
      </c>
      <c r="M107" s="12">
        <f>100*(S107+U107+W107+Y107)/6</f>
        <v>81.94444444444444</v>
      </c>
      <c r="N107">
        <v>1</v>
      </c>
      <c r="R107">
        <f>+(E107-30)/20</f>
        <v>1.3333333333333333</v>
      </c>
      <c r="S107" s="2">
        <f>IF(R107&lt;0,0,IF(R107&gt;2.375,2.375,R107))</f>
        <v>1.3333333333333333</v>
      </c>
      <c r="T107" s="6">
        <f>+(L107-3)/4</f>
        <v>1.2083333333333333</v>
      </c>
      <c r="U107" s="2">
        <f>IF(T107&lt;0,0,IF(T107&gt;2.375,2.375,T107))</f>
        <v>1.2083333333333333</v>
      </c>
      <c r="V107">
        <f>+J107/5</f>
        <v>0</v>
      </c>
      <c r="W107" s="2">
        <f>IF(V107&lt;0,0,IF(V107&gt;2.375,2.375,V107))</f>
        <v>0</v>
      </c>
      <c r="X107">
        <f>(9.5-K107)/4</f>
        <v>2.375</v>
      </c>
      <c r="Y107" s="2">
        <f>IF(X107&lt;0,0,X107)</f>
        <v>2.375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1</v>
      </c>
      <c r="D114">
        <v>1</v>
      </c>
      <c r="E114">
        <v>8</v>
      </c>
      <c r="F114" s="12">
        <f>+E114/C114</f>
        <v>8</v>
      </c>
      <c r="G114">
        <v>8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5</v>
      </c>
      <c r="D120">
        <v>130</v>
      </c>
      <c r="E120" s="12">
        <f aca="true" t="shared" si="2" ref="E120:E126">+D120/C120</f>
        <v>26</v>
      </c>
      <c r="F120">
        <v>63</v>
      </c>
      <c r="G120">
        <v>0</v>
      </c>
      <c r="H120">
        <v>1</v>
      </c>
    </row>
    <row r="121" spans="1:8" ht="12.75">
      <c r="A121" t="s">
        <v>129</v>
      </c>
      <c r="C121">
        <v>1</v>
      </c>
      <c r="D121">
        <v>18</v>
      </c>
      <c r="E121" s="12">
        <f t="shared" si="2"/>
        <v>18</v>
      </c>
      <c r="F121">
        <v>18</v>
      </c>
      <c r="G121">
        <v>0</v>
      </c>
      <c r="H121">
        <v>0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3</v>
      </c>
      <c r="D129">
        <v>99</v>
      </c>
      <c r="E129" s="12">
        <f>+D129/C129</f>
        <v>33</v>
      </c>
      <c r="F129">
        <v>37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4</v>
      </c>
      <c r="D132">
        <v>3</v>
      </c>
      <c r="E132">
        <v>1</v>
      </c>
      <c r="F132">
        <v>1</v>
      </c>
      <c r="G132">
        <v>2</v>
      </c>
      <c r="H132">
        <v>2</v>
      </c>
      <c r="I132" s="12">
        <f>+H132/G132*100</f>
        <v>100</v>
      </c>
      <c r="J132">
        <v>41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 aca="true" t="shared" si="3" ref="E135:E143">+D135/C135</f>
        <v>#DIV/0!</v>
      </c>
    </row>
    <row r="136" spans="1:5" ht="12.75">
      <c r="A136" t="s">
        <v>134</v>
      </c>
      <c r="E136" s="12" t="e">
        <f t="shared" si="3"/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140</v>
      </c>
    </row>
    <row r="147" ht="12.75">
      <c r="A147" t="s">
        <v>141</v>
      </c>
    </row>
    <row r="148" ht="12.75">
      <c r="A148" t="s">
        <v>142</v>
      </c>
    </row>
    <row r="149" spans="1:3" ht="12.75">
      <c r="A149" t="s">
        <v>143</v>
      </c>
      <c r="C149">
        <v>1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9</v>
      </c>
      <c r="H160" t="s">
        <v>93</v>
      </c>
      <c r="M160">
        <v>12</v>
      </c>
    </row>
    <row r="161" spans="1:13" ht="12.75">
      <c r="A161" t="s">
        <v>94</v>
      </c>
      <c r="D161">
        <v>3</v>
      </c>
      <c r="H161" t="s">
        <v>94</v>
      </c>
      <c r="M161">
        <v>6</v>
      </c>
    </row>
    <row r="162" spans="1:13" ht="12.75">
      <c r="A162" t="s">
        <v>95</v>
      </c>
      <c r="D162">
        <f>D161/D160*100</f>
        <v>33.33333333333333</v>
      </c>
      <c r="H162" t="s">
        <v>95</v>
      </c>
      <c r="M162">
        <f>+M161/M160*100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62"/>
  <sheetViews>
    <sheetView zoomScalePageLayoutView="0" workbookViewId="0" topLeftCell="A12">
      <selection activeCell="W106" sqref="W106:W11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21</v>
      </c>
      <c r="H6" s="1" t="s">
        <v>29</v>
      </c>
      <c r="M6" s="2">
        <f>M7+M8+M9</f>
        <v>17</v>
      </c>
    </row>
    <row r="7" spans="1:13" ht="12.75">
      <c r="A7" s="1" t="s">
        <v>103</v>
      </c>
      <c r="D7" s="2">
        <v>12</v>
      </c>
      <c r="H7" s="1" t="s">
        <v>103</v>
      </c>
      <c r="M7" s="2">
        <v>5</v>
      </c>
    </row>
    <row r="8" spans="1:13" ht="12.75">
      <c r="A8" s="1" t="s">
        <v>105</v>
      </c>
      <c r="D8" s="2">
        <v>9</v>
      </c>
      <c r="H8" s="1" t="s">
        <v>105</v>
      </c>
      <c r="M8" s="2">
        <v>11</v>
      </c>
    </row>
    <row r="9" spans="1:13" ht="12.75">
      <c r="A9" s="1" t="s">
        <v>104</v>
      </c>
      <c r="D9" s="2">
        <v>0</v>
      </c>
      <c r="H9" s="1" t="s">
        <v>104</v>
      </c>
      <c r="M9" s="2">
        <v>1</v>
      </c>
    </row>
    <row r="11" spans="1:23" ht="12.75">
      <c r="A11" t="s">
        <v>1</v>
      </c>
      <c r="D11" s="2">
        <v>25</v>
      </c>
      <c r="H11" t="s">
        <v>1</v>
      </c>
      <c r="M11" s="2">
        <v>28</v>
      </c>
      <c r="V11">
        <f>+D11</f>
        <v>25</v>
      </c>
      <c r="W11">
        <f>+M11</f>
        <v>28</v>
      </c>
    </row>
    <row r="12" spans="1:23" ht="12.75">
      <c r="A12" t="s">
        <v>2</v>
      </c>
      <c r="D12" s="2">
        <v>161</v>
      </c>
      <c r="H12" t="s">
        <v>2</v>
      </c>
      <c r="M12" s="2">
        <v>90</v>
      </c>
      <c r="P12" s="13"/>
      <c r="U12" s="13"/>
      <c r="V12">
        <f>+D16</f>
        <v>19</v>
      </c>
      <c r="W12">
        <f>+M16</f>
        <v>19</v>
      </c>
    </row>
    <row r="13" spans="1:23" ht="12.75">
      <c r="A13" s="1" t="s">
        <v>3</v>
      </c>
      <c r="D13" s="8">
        <f>+D12/D11</f>
        <v>6.44</v>
      </c>
      <c r="H13" s="1" t="s">
        <v>3</v>
      </c>
      <c r="M13" s="8">
        <f>+M12/M11</f>
        <v>3.2142857142857144</v>
      </c>
      <c r="V13">
        <f>+(D15-D16)/2</f>
        <v>10.5</v>
      </c>
      <c r="W13">
        <f>+(M15-M16)/2</f>
        <v>7</v>
      </c>
    </row>
    <row r="14" spans="22:23" ht="12.75">
      <c r="V14">
        <f>+D38/2</f>
        <v>1</v>
      </c>
      <c r="W14">
        <f>+M38/2</f>
        <v>2</v>
      </c>
    </row>
    <row r="15" spans="1:23" ht="12.75">
      <c r="A15" t="s">
        <v>4</v>
      </c>
      <c r="D15" s="2">
        <v>40</v>
      </c>
      <c r="H15" t="s">
        <v>4</v>
      </c>
      <c r="M15" s="2">
        <v>33</v>
      </c>
      <c r="V15">
        <f>+D42/2</f>
        <v>0.5</v>
      </c>
      <c r="W15">
        <f>+M42/2</f>
        <v>0.5</v>
      </c>
    </row>
    <row r="16" spans="1:23" ht="12.75">
      <c r="A16" t="s">
        <v>5</v>
      </c>
      <c r="D16" s="2">
        <v>19</v>
      </c>
      <c r="H16" t="s">
        <v>5</v>
      </c>
      <c r="M16" s="2">
        <v>19</v>
      </c>
      <c r="V16">
        <f>+D48/2</f>
        <v>2</v>
      </c>
      <c r="W16">
        <f>+M48/2</f>
        <v>1</v>
      </c>
    </row>
    <row r="17" spans="1:13" ht="12.75">
      <c r="A17" t="s">
        <v>6</v>
      </c>
      <c r="D17" s="8">
        <f>+D16/D15*100</f>
        <v>47.5</v>
      </c>
      <c r="H17" t="s">
        <v>6</v>
      </c>
      <c r="M17" s="8">
        <f>+M16/M15*100</f>
        <v>57.57575757575758</v>
      </c>
    </row>
    <row r="18" spans="1:24" ht="12.75">
      <c r="A18" t="s">
        <v>7</v>
      </c>
      <c r="D18" s="2">
        <v>188</v>
      </c>
      <c r="H18" t="s">
        <v>7</v>
      </c>
      <c r="M18" s="2">
        <v>246</v>
      </c>
      <c r="V18">
        <f>SUM(V11:V16)</f>
        <v>58</v>
      </c>
      <c r="W18">
        <f>SUM(W11:W16)</f>
        <v>57.5</v>
      </c>
      <c r="X18">
        <f>+W18+V18</f>
        <v>115.5</v>
      </c>
    </row>
    <row r="19" spans="1:23" ht="12.75">
      <c r="A19" t="s">
        <v>8</v>
      </c>
      <c r="D19" s="2">
        <v>0</v>
      </c>
      <c r="H19" t="s">
        <v>8</v>
      </c>
      <c r="M19" s="2">
        <v>3</v>
      </c>
      <c r="V19">
        <f>+V18/X18</f>
        <v>0.5021645021645021</v>
      </c>
      <c r="W19">
        <f>+W18/X18</f>
        <v>0.49783549783549785</v>
      </c>
    </row>
    <row r="20" spans="1:23" ht="12.75">
      <c r="A20" t="s">
        <v>9</v>
      </c>
      <c r="D20" s="2">
        <v>0</v>
      </c>
      <c r="H20" t="s">
        <v>9</v>
      </c>
      <c r="M20" s="2">
        <v>28</v>
      </c>
      <c r="V20">
        <f>+V19*60</f>
        <v>30.129870129870127</v>
      </c>
      <c r="W20">
        <f>+W19*60</f>
        <v>29.870129870129873</v>
      </c>
    </row>
    <row r="21" spans="1:23" ht="12.75">
      <c r="A21" t="s">
        <v>10</v>
      </c>
      <c r="D21">
        <f>+D18-D20</f>
        <v>188</v>
      </c>
      <c r="H21" t="s">
        <v>10</v>
      </c>
      <c r="M21">
        <f>+M18-M20</f>
        <v>218</v>
      </c>
      <c r="V21">
        <f>+V20-INT(V20)</f>
        <v>0.12987012987012747</v>
      </c>
      <c r="W21">
        <f>+W20-INT(W20)</f>
        <v>0.8701298701298725</v>
      </c>
    </row>
    <row r="22" spans="1:23" ht="12.75">
      <c r="A22" t="s">
        <v>11</v>
      </c>
      <c r="D22" s="7">
        <f>+D21/(D15+D19)</f>
        <v>4.7</v>
      </c>
      <c r="H22" t="s">
        <v>11</v>
      </c>
      <c r="M22" s="7">
        <f>+M21/(M15+M19)</f>
        <v>6.055555555555555</v>
      </c>
      <c r="V22">
        <f>+V21*60</f>
        <v>7.792207792207648</v>
      </c>
      <c r="W22">
        <f>+W21*60</f>
        <v>52.20779220779235</v>
      </c>
    </row>
    <row r="23" spans="1:23" ht="12.75">
      <c r="A23" t="s">
        <v>12</v>
      </c>
      <c r="D23" s="7">
        <f>+D18/D16</f>
        <v>9.894736842105264</v>
      </c>
      <c r="H23" t="s">
        <v>12</v>
      </c>
      <c r="M23" s="7">
        <f>+M18/M16</f>
        <v>12.947368421052632</v>
      </c>
      <c r="Q23" s="11"/>
      <c r="U23">
        <v>0</v>
      </c>
      <c r="V23" s="11">
        <f>ROUND(V22,0)</f>
        <v>8</v>
      </c>
      <c r="W23">
        <f>ROUND(W22,0)</f>
        <v>52</v>
      </c>
    </row>
    <row r="24" spans="22:23" ht="12.75">
      <c r="V24">
        <f>INT(V20)</f>
        <v>30</v>
      </c>
      <c r="W24">
        <f>INT(W20)</f>
        <v>29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349</v>
      </c>
      <c r="H26" t="s">
        <v>14</v>
      </c>
      <c r="M26">
        <f>+M21+M12</f>
        <v>308</v>
      </c>
      <c r="Q26" s="14"/>
      <c r="R26" s="9"/>
      <c r="V26" s="14" t="str">
        <f>+V24&amp;V25&amp;V23</f>
        <v>30:8</v>
      </c>
      <c r="W26" s="9" t="str">
        <f>+W24&amp;W25&amp;W23</f>
        <v>29:52</v>
      </c>
    </row>
    <row r="27" spans="1:23" ht="12.75">
      <c r="A27" t="s">
        <v>15</v>
      </c>
      <c r="D27" s="7">
        <f>+D12/D26*100</f>
        <v>46.13180515759313</v>
      </c>
      <c r="H27" t="s">
        <v>15</v>
      </c>
      <c r="M27" s="7">
        <f>+M12/M26*100</f>
        <v>29.22077922077922</v>
      </c>
      <c r="Q27" s="9"/>
      <c r="R27" s="9"/>
      <c r="V27" s="9" t="str">
        <f>IF(V23&lt;10,+V24&amp;V25&amp;$U$23&amp;V23,+V24&amp;V25&amp;V23)</f>
        <v>30:08</v>
      </c>
      <c r="W27" s="9" t="str">
        <f>IF(W23&lt;10,+W24&amp;W25&amp;$U$23&amp;W23,+W24&amp;W25&amp;W23)</f>
        <v>29:52</v>
      </c>
    </row>
    <row r="28" spans="1:16" ht="12.75">
      <c r="A28" s="1" t="s">
        <v>86</v>
      </c>
      <c r="D28" s="7">
        <f>+D21/D26*100</f>
        <v>53.86819484240688</v>
      </c>
      <c r="H28" s="1" t="s">
        <v>86</v>
      </c>
      <c r="M28" s="7">
        <f>+M21/M26*100</f>
        <v>70.77922077922078</v>
      </c>
      <c r="P28" s="13"/>
    </row>
    <row r="30" spans="1:13" ht="12.75">
      <c r="A30" t="s">
        <v>16</v>
      </c>
      <c r="D30">
        <f>+D11+D15+D19</f>
        <v>65</v>
      </c>
      <c r="H30" t="s">
        <v>16</v>
      </c>
      <c r="M30">
        <f>M11+M15+M19</f>
        <v>64</v>
      </c>
    </row>
    <row r="31" spans="1:13" ht="12.75">
      <c r="A31" t="s">
        <v>17</v>
      </c>
      <c r="D31" s="8">
        <f>+D26/D30</f>
        <v>5.369230769230769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4.8125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2</v>
      </c>
    </row>
    <row r="35" spans="1:13" ht="12.75">
      <c r="A35" t="s">
        <v>20</v>
      </c>
      <c r="D35" s="2">
        <v>44</v>
      </c>
      <c r="H35" t="s">
        <v>20</v>
      </c>
      <c r="M35" s="2">
        <v>33</v>
      </c>
    </row>
    <row r="36" spans="1:13" ht="12.75">
      <c r="A36" t="s">
        <v>21</v>
      </c>
      <c r="D36" s="2">
        <v>0</v>
      </c>
      <c r="H36" t="s">
        <v>21</v>
      </c>
      <c r="M36" s="2">
        <v>1</v>
      </c>
    </row>
    <row r="38" spans="1:13" ht="12.75">
      <c r="A38" t="s">
        <v>22</v>
      </c>
      <c r="D38" s="2">
        <v>2</v>
      </c>
      <c r="H38" t="s">
        <v>22</v>
      </c>
      <c r="M38" s="2">
        <v>4</v>
      </c>
    </row>
    <row r="39" spans="1:13" ht="12.75">
      <c r="A39" t="s">
        <v>23</v>
      </c>
      <c r="D39" s="2">
        <v>88</v>
      </c>
      <c r="H39" t="s">
        <v>23</v>
      </c>
      <c r="M39" s="2">
        <v>174</v>
      </c>
    </row>
    <row r="40" spans="1:13" ht="12.75">
      <c r="A40" t="s">
        <v>24</v>
      </c>
      <c r="D40" s="8">
        <f>+D39/D38</f>
        <v>44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43.5</v>
      </c>
    </row>
    <row r="42" spans="1:13" ht="12.75">
      <c r="A42" t="s">
        <v>25</v>
      </c>
      <c r="D42" s="2">
        <v>1</v>
      </c>
      <c r="H42" t="s">
        <v>25</v>
      </c>
      <c r="M42" s="2">
        <v>1</v>
      </c>
    </row>
    <row r="43" spans="1:13" ht="12.75">
      <c r="A43" t="s">
        <v>26</v>
      </c>
      <c r="D43" s="2">
        <v>19</v>
      </c>
      <c r="H43" t="s">
        <v>26</v>
      </c>
      <c r="M43" s="2">
        <v>0</v>
      </c>
    </row>
    <row r="44" spans="1:13" ht="12.75">
      <c r="A44" t="s">
        <v>27</v>
      </c>
      <c r="D44" s="8">
        <f>+D43/D42</f>
        <v>19</v>
      </c>
      <c r="H44" t="s">
        <v>27</v>
      </c>
      <c r="M44" s="8">
        <f>+M43/M42</f>
        <v>0</v>
      </c>
    </row>
    <row r="45" spans="1:13" ht="12.75">
      <c r="A45" t="s">
        <v>106</v>
      </c>
      <c r="D45" s="2">
        <v>0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2</v>
      </c>
    </row>
    <row r="49" spans="1:13" ht="12.75">
      <c r="A49" t="s">
        <v>26</v>
      </c>
      <c r="D49" s="2">
        <v>70</v>
      </c>
      <c r="H49" t="s">
        <v>26</v>
      </c>
      <c r="M49" s="2">
        <v>31</v>
      </c>
    </row>
    <row r="50" spans="1:13" ht="12.75">
      <c r="A50" t="s">
        <v>27</v>
      </c>
      <c r="D50" s="8">
        <f>+D49/D48</f>
        <v>17.5</v>
      </c>
      <c r="H50" t="s">
        <v>27</v>
      </c>
      <c r="M50" s="8">
        <f>+M49/M48</f>
        <v>15.5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6</v>
      </c>
    </row>
    <row r="54" spans="1:13" ht="12.75">
      <c r="A54" t="s">
        <v>32</v>
      </c>
      <c r="D54" s="2">
        <v>28</v>
      </c>
      <c r="H54" t="s">
        <v>32</v>
      </c>
      <c r="M54" s="2">
        <v>53</v>
      </c>
    </row>
    <row r="56" spans="1:13" ht="12.75">
      <c r="A56" t="s">
        <v>33</v>
      </c>
      <c r="D56" s="2">
        <v>2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19</v>
      </c>
      <c r="H59" t="s">
        <v>34</v>
      </c>
      <c r="M59" s="2">
        <v>23</v>
      </c>
    </row>
    <row r="60" spans="1:13" ht="12.75">
      <c r="A60" t="s">
        <v>35</v>
      </c>
      <c r="D60" s="2">
        <v>2</v>
      </c>
      <c r="H60" t="s">
        <v>35</v>
      </c>
      <c r="M60" s="2">
        <v>2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1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3</v>
      </c>
    </row>
    <row r="67" spans="1:13" ht="12.75">
      <c r="A67" t="s">
        <v>42</v>
      </c>
      <c r="D67" s="2">
        <v>4</v>
      </c>
      <c r="H67" t="s">
        <v>42</v>
      </c>
      <c r="M67" s="2">
        <v>3</v>
      </c>
    </row>
    <row r="68" spans="1:13" ht="12.75">
      <c r="A68" t="s">
        <v>43</v>
      </c>
      <c r="D68" s="8">
        <f>+D66/D67*100</f>
        <v>50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30:08</v>
      </c>
      <c r="E69" s="8"/>
      <c r="F69" s="8"/>
      <c r="H69" t="s">
        <v>89</v>
      </c>
      <c r="M69" s="10" t="str">
        <f>IF(W23&lt;10,W27,W26)</f>
        <v>29:52</v>
      </c>
    </row>
    <row r="70" spans="1:13" ht="12.75">
      <c r="A70" t="s">
        <v>102</v>
      </c>
      <c r="D70" s="23">
        <f>D162</f>
        <v>38.46153846153847</v>
      </c>
      <c r="E70" s="8"/>
      <c r="F70" s="8"/>
      <c r="H70" t="s">
        <v>102</v>
      </c>
      <c r="M70" s="23">
        <f>M162</f>
        <v>37.5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109</v>
      </c>
      <c r="C74">
        <v>4</v>
      </c>
      <c r="D74">
        <v>19</v>
      </c>
      <c r="E74" s="12">
        <f aca="true" t="shared" si="0" ref="E74:E84">+D74/C74</f>
        <v>4.75</v>
      </c>
      <c r="F74">
        <v>12</v>
      </c>
      <c r="G74">
        <v>0</v>
      </c>
      <c r="H74">
        <v>0</v>
      </c>
    </row>
    <row r="75" spans="1:8" ht="12.75">
      <c r="A75" t="s">
        <v>110</v>
      </c>
      <c r="C75">
        <v>10</v>
      </c>
      <c r="D75">
        <v>37</v>
      </c>
      <c r="E75" s="12">
        <f t="shared" si="0"/>
        <v>3.7</v>
      </c>
      <c r="F75">
        <v>12</v>
      </c>
      <c r="G75">
        <v>0</v>
      </c>
      <c r="H75">
        <v>0</v>
      </c>
    </row>
    <row r="76" spans="1:8" ht="12.75">
      <c r="A76" t="s">
        <v>111</v>
      </c>
      <c r="C76">
        <v>9</v>
      </c>
      <c r="D76">
        <v>100</v>
      </c>
      <c r="E76" s="12">
        <f t="shared" si="0"/>
        <v>11.11111111111111</v>
      </c>
      <c r="F76">
        <v>25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107</v>
      </c>
      <c r="C80">
        <v>2</v>
      </c>
      <c r="D80">
        <v>5</v>
      </c>
      <c r="E80" s="12">
        <f t="shared" si="0"/>
        <v>2.5</v>
      </c>
      <c r="F80">
        <v>5</v>
      </c>
      <c r="G80">
        <v>0</v>
      </c>
      <c r="H80">
        <v>0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4</v>
      </c>
      <c r="D87">
        <v>48</v>
      </c>
      <c r="E87" s="12">
        <f aca="true" t="shared" si="1" ref="E87:E102">+D87/C87</f>
        <v>12</v>
      </c>
      <c r="F87">
        <v>15</v>
      </c>
      <c r="G87">
        <v>0</v>
      </c>
      <c r="H87">
        <v>1</v>
      </c>
    </row>
    <row r="88" spans="1:8" ht="12.75">
      <c r="A88" t="s">
        <v>109</v>
      </c>
      <c r="C88">
        <v>3</v>
      </c>
      <c r="D88">
        <v>3</v>
      </c>
      <c r="E88" s="12">
        <f t="shared" si="1"/>
        <v>1</v>
      </c>
      <c r="F88">
        <v>3</v>
      </c>
      <c r="G88">
        <v>0</v>
      </c>
      <c r="H88">
        <v>0</v>
      </c>
    </row>
    <row r="89" spans="1:8" ht="12.75">
      <c r="A89" t="s">
        <v>117</v>
      </c>
      <c r="C89">
        <v>2</v>
      </c>
      <c r="D89">
        <v>36</v>
      </c>
      <c r="E89" s="12">
        <f t="shared" si="1"/>
        <v>18</v>
      </c>
      <c r="F89">
        <v>28</v>
      </c>
      <c r="G89">
        <v>1</v>
      </c>
      <c r="H89">
        <v>0</v>
      </c>
    </row>
    <row r="90" spans="1:8" ht="12.75">
      <c r="A90" t="s">
        <v>116</v>
      </c>
      <c r="C90">
        <v>2</v>
      </c>
      <c r="D90">
        <v>24</v>
      </c>
      <c r="E90" s="12">
        <f t="shared" si="1"/>
        <v>12</v>
      </c>
      <c r="F90">
        <v>14</v>
      </c>
      <c r="G90">
        <v>0</v>
      </c>
      <c r="H90">
        <v>0</v>
      </c>
    </row>
    <row r="91" spans="1:8" ht="12.75">
      <c r="A91" t="s">
        <v>112</v>
      </c>
      <c r="C91">
        <v>3</v>
      </c>
      <c r="D91">
        <v>16</v>
      </c>
      <c r="E91" s="12">
        <f t="shared" si="1"/>
        <v>5.333333333333333</v>
      </c>
      <c r="F91">
        <v>7</v>
      </c>
      <c r="G91">
        <v>0</v>
      </c>
      <c r="H91">
        <v>0</v>
      </c>
    </row>
    <row r="92" spans="1:8" ht="12.75">
      <c r="A92" t="s">
        <v>120</v>
      </c>
      <c r="C92">
        <v>3</v>
      </c>
      <c r="D92">
        <v>19</v>
      </c>
      <c r="E92" s="12">
        <f t="shared" si="1"/>
        <v>6.333333333333333</v>
      </c>
      <c r="F92">
        <v>12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8" ht="12.75">
      <c r="A95" t="s">
        <v>111</v>
      </c>
      <c r="C95">
        <v>1</v>
      </c>
      <c r="D95">
        <v>12</v>
      </c>
      <c r="E95" s="12">
        <f t="shared" si="1"/>
        <v>12</v>
      </c>
      <c r="F95">
        <v>12</v>
      </c>
      <c r="G95">
        <v>0</v>
      </c>
      <c r="H95">
        <v>0</v>
      </c>
    </row>
    <row r="96" spans="1:5" ht="12.75">
      <c r="A96" t="s">
        <v>123</v>
      </c>
      <c r="E96" s="12" t="e">
        <f t="shared" si="1"/>
        <v>#DIV/0!</v>
      </c>
    </row>
    <row r="97" spans="1:8" ht="12.75">
      <c r="A97" t="s">
        <v>110</v>
      </c>
      <c r="C97">
        <v>1</v>
      </c>
      <c r="D97">
        <v>29</v>
      </c>
      <c r="E97" s="12">
        <f t="shared" si="1"/>
        <v>29</v>
      </c>
      <c r="F97">
        <v>29</v>
      </c>
      <c r="G97">
        <v>0</v>
      </c>
      <c r="H97">
        <v>0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23</v>
      </c>
      <c r="D106">
        <v>10</v>
      </c>
      <c r="E106" s="12">
        <f>+D106/C106*100</f>
        <v>43.47826086956522</v>
      </c>
      <c r="F106">
        <v>96</v>
      </c>
      <c r="G106">
        <v>0</v>
      </c>
      <c r="H106">
        <v>29</v>
      </c>
      <c r="I106">
        <v>2</v>
      </c>
      <c r="J106" s="8">
        <f>+G106/C106*100</f>
        <v>0</v>
      </c>
      <c r="K106" s="12">
        <f>+I106/C106*100</f>
        <v>8.695652173913043</v>
      </c>
      <c r="L106" s="12">
        <f>+F106/C106</f>
        <v>4.173913043478261</v>
      </c>
      <c r="M106" s="12">
        <f>100*(S106+U106+W106+Y106)/6</f>
        <v>19.474637681159425</v>
      </c>
      <c r="R106">
        <f>+(E106-30)/20</f>
        <v>0.673913043478261</v>
      </c>
      <c r="S106" s="2">
        <f>IF(R106&lt;0,0,IF(R106&gt;2.375,2.375,R106))</f>
        <v>0.673913043478261</v>
      </c>
      <c r="T106" s="6">
        <f>+(L106-3)/4</f>
        <v>0.2934782608695652</v>
      </c>
      <c r="U106" s="2">
        <f>IF(T106&lt;0,0,IF(T106&gt;2.375,2.375,T106))</f>
        <v>0.2934782608695652</v>
      </c>
      <c r="V106">
        <f>+J106/5</f>
        <v>0</v>
      </c>
      <c r="W106" s="2">
        <f>IF(V106&lt;0,0,IF(V106&gt;2.375,2.375,V106))</f>
        <v>0</v>
      </c>
      <c r="X106">
        <f>(9.5-K106)/4</f>
        <v>0.20108695652173925</v>
      </c>
      <c r="Y106" s="2">
        <f>IF(X106&lt;0,0,X106)</f>
        <v>0.20108695652173925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C108">
        <v>17</v>
      </c>
      <c r="D108">
        <v>9</v>
      </c>
      <c r="E108" s="12">
        <f>+D108/C108*100</f>
        <v>52.94117647058824</v>
      </c>
      <c r="F108">
        <v>92</v>
      </c>
      <c r="G108">
        <v>1</v>
      </c>
      <c r="H108">
        <v>28</v>
      </c>
      <c r="I108">
        <v>0</v>
      </c>
      <c r="J108" s="8">
        <f>+G108/C108*100</f>
        <v>5.88235294117647</v>
      </c>
      <c r="K108" s="12">
        <f>+I108/C108*100</f>
        <v>0</v>
      </c>
      <c r="L108" s="12">
        <f>+F108/C108</f>
        <v>5.411764705882353</v>
      </c>
      <c r="M108" s="12">
        <f>100*(S108+U108+W108+Y108)/6</f>
        <v>88.3578431372549</v>
      </c>
      <c r="N108">
        <v>1</v>
      </c>
      <c r="R108">
        <f>+(E108-30)/20</f>
        <v>1.147058823529412</v>
      </c>
      <c r="S108" s="2">
        <f>IF(R108&lt;0,0,IF(R108&gt;2.375,2.375,R108))</f>
        <v>1.147058823529412</v>
      </c>
      <c r="T108" s="6">
        <f>+(L108-3)/4</f>
        <v>0.6029411764705883</v>
      </c>
      <c r="U108" s="2">
        <f>IF(T108&lt;0,0,IF(T108&gt;2.375,2.375,T108))</f>
        <v>0.6029411764705883</v>
      </c>
      <c r="V108">
        <f>+J108/5</f>
        <v>1.176470588235294</v>
      </c>
      <c r="W108" s="2">
        <f>IF(V108&lt;0,0,IF(V108&gt;2.375,2.375,V108))</f>
        <v>1.176470588235294</v>
      </c>
      <c r="X108">
        <f>(9.5-K108)/4</f>
        <v>2.375</v>
      </c>
      <c r="Y108" s="2">
        <f>IF(X108&lt;0,0,X108)</f>
        <v>2.375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1</v>
      </c>
      <c r="D114">
        <v>1</v>
      </c>
      <c r="E114">
        <v>19</v>
      </c>
      <c r="F114" s="12">
        <f>+E114/C114</f>
        <v>19</v>
      </c>
      <c r="G114">
        <v>19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4</v>
      </c>
      <c r="D120">
        <v>70</v>
      </c>
      <c r="E120" s="12">
        <f aca="true" t="shared" si="2" ref="E120:E126">+D120/C120</f>
        <v>17.5</v>
      </c>
      <c r="F120">
        <v>23</v>
      </c>
      <c r="G120">
        <v>0</v>
      </c>
      <c r="H120">
        <v>0</v>
      </c>
    </row>
    <row r="121" spans="1:5" ht="12.75">
      <c r="A121" t="s">
        <v>129</v>
      </c>
      <c r="E121" s="12" t="e">
        <f t="shared" si="2"/>
        <v>#DIV/0!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2</v>
      </c>
      <c r="D129">
        <v>88</v>
      </c>
      <c r="E129" s="12">
        <f>+D129/C129</f>
        <v>44</v>
      </c>
      <c r="F129">
        <v>48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5</v>
      </c>
      <c r="D132">
        <v>3</v>
      </c>
      <c r="E132">
        <v>2</v>
      </c>
      <c r="F132">
        <v>1</v>
      </c>
      <c r="G132">
        <v>4</v>
      </c>
      <c r="H132">
        <v>2</v>
      </c>
      <c r="I132" s="12">
        <f>+H132/G132*100</f>
        <v>50</v>
      </c>
      <c r="J132">
        <v>35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8" ht="12.75">
      <c r="A139" t="s">
        <v>136</v>
      </c>
      <c r="C139">
        <v>2</v>
      </c>
      <c r="D139">
        <v>33</v>
      </c>
      <c r="E139" s="12">
        <f t="shared" si="3"/>
        <v>16.5</v>
      </c>
      <c r="F139">
        <v>24</v>
      </c>
      <c r="G139">
        <v>1</v>
      </c>
      <c r="H139">
        <v>0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2" t="s">
        <v>68</v>
      </c>
      <c r="D145" s="2"/>
    </row>
    <row r="146" spans="1:3" ht="12.75">
      <c r="A146" t="s">
        <v>140</v>
      </c>
      <c r="C146">
        <v>1</v>
      </c>
    </row>
    <row r="147" spans="1:3" ht="12.75">
      <c r="A147" t="s">
        <v>141</v>
      </c>
      <c r="C147">
        <v>1</v>
      </c>
    </row>
    <row r="148" spans="1:3" ht="12.75">
      <c r="A148" t="s">
        <v>142</v>
      </c>
      <c r="C148">
        <v>1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13</v>
      </c>
      <c r="H160" t="s">
        <v>93</v>
      </c>
      <c r="M160">
        <v>16</v>
      </c>
    </row>
    <row r="161" spans="1:13" ht="12.75">
      <c r="A161" t="s">
        <v>94</v>
      </c>
      <c r="D161">
        <v>5</v>
      </c>
      <c r="H161" t="s">
        <v>94</v>
      </c>
      <c r="M161">
        <v>6</v>
      </c>
    </row>
    <row r="162" spans="1:13" ht="12.75">
      <c r="A162" t="s">
        <v>95</v>
      </c>
      <c r="D162">
        <f>D161/D160*100</f>
        <v>38.46153846153847</v>
      </c>
      <c r="H162" t="s">
        <v>95</v>
      </c>
      <c r="M162">
        <f>+M161/M160*100</f>
        <v>37.5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62"/>
  <sheetViews>
    <sheetView zoomScalePageLayoutView="0" workbookViewId="0" topLeftCell="A3">
      <selection activeCell="W106" sqref="W106:W11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13</v>
      </c>
      <c r="H6" s="1" t="s">
        <v>29</v>
      </c>
      <c r="M6" s="2">
        <f>M7+M8+M9</f>
        <v>13</v>
      </c>
    </row>
    <row r="7" spans="1:13" ht="12.75">
      <c r="A7" s="1" t="s">
        <v>103</v>
      </c>
      <c r="D7" s="2">
        <v>4</v>
      </c>
      <c r="H7" s="1" t="s">
        <v>103</v>
      </c>
      <c r="M7" s="2">
        <v>2</v>
      </c>
    </row>
    <row r="8" spans="1:13" ht="12.75">
      <c r="A8" s="1" t="s">
        <v>105</v>
      </c>
      <c r="D8" s="2">
        <v>8</v>
      </c>
      <c r="H8" s="1" t="s">
        <v>105</v>
      </c>
      <c r="M8" s="2">
        <v>11</v>
      </c>
    </row>
    <row r="9" spans="1:13" ht="12.75">
      <c r="A9" s="1" t="s">
        <v>104</v>
      </c>
      <c r="D9" s="2">
        <v>1</v>
      </c>
      <c r="H9" s="1" t="s">
        <v>104</v>
      </c>
      <c r="M9" s="2">
        <v>0</v>
      </c>
    </row>
    <row r="11" spans="1:23" ht="12.75">
      <c r="A11" t="s">
        <v>1</v>
      </c>
      <c r="D11" s="2">
        <v>29</v>
      </c>
      <c r="H11" t="s">
        <v>1</v>
      </c>
      <c r="M11" s="2">
        <v>22</v>
      </c>
      <c r="V11">
        <f>+D11</f>
        <v>29</v>
      </c>
      <c r="W11">
        <f>+M11</f>
        <v>22</v>
      </c>
    </row>
    <row r="12" spans="1:23" ht="12.75">
      <c r="A12" t="s">
        <v>2</v>
      </c>
      <c r="D12" s="2">
        <v>141</v>
      </c>
      <c r="H12" t="s">
        <v>2</v>
      </c>
      <c r="M12" s="2">
        <v>48</v>
      </c>
      <c r="U12" s="13"/>
      <c r="V12">
        <f>+D16</f>
        <v>15</v>
      </c>
      <c r="W12">
        <f>+M16</f>
        <v>19</v>
      </c>
    </row>
    <row r="13" spans="1:23" ht="12.75">
      <c r="A13" s="1" t="s">
        <v>3</v>
      </c>
      <c r="D13" s="8">
        <f>+D12/D11</f>
        <v>4.862068965517241</v>
      </c>
      <c r="H13" s="1" t="s">
        <v>3</v>
      </c>
      <c r="M13" s="8">
        <f>+M12/M11</f>
        <v>2.1818181818181817</v>
      </c>
      <c r="V13">
        <f>+(D15-D16)/2</f>
        <v>11</v>
      </c>
      <c r="W13">
        <f>+(M15-M16)/2</f>
        <v>7</v>
      </c>
    </row>
    <row r="14" spans="22:23" ht="12.75">
      <c r="V14">
        <f>+D38/2</f>
        <v>4</v>
      </c>
      <c r="W14">
        <f>+M38/2</f>
        <v>3.5</v>
      </c>
    </row>
    <row r="15" spans="1:23" ht="12.75">
      <c r="A15" t="s">
        <v>4</v>
      </c>
      <c r="D15" s="2">
        <v>37</v>
      </c>
      <c r="H15" t="s">
        <v>4</v>
      </c>
      <c r="M15" s="2">
        <v>33</v>
      </c>
      <c r="V15">
        <f>+D42/2</f>
        <v>1.5</v>
      </c>
      <c r="W15">
        <f>+M42/2</f>
        <v>3.5</v>
      </c>
    </row>
    <row r="16" spans="1:23" ht="12.75">
      <c r="A16" t="s">
        <v>5</v>
      </c>
      <c r="D16" s="2">
        <v>15</v>
      </c>
      <c r="H16" t="s">
        <v>5</v>
      </c>
      <c r="M16" s="2">
        <v>19</v>
      </c>
      <c r="V16">
        <f>+D48/2</f>
        <v>2</v>
      </c>
      <c r="W16">
        <f>+M48/2</f>
        <v>1.5</v>
      </c>
    </row>
    <row r="17" spans="1:13" ht="12.75">
      <c r="A17" t="s">
        <v>6</v>
      </c>
      <c r="D17" s="8">
        <f>+D16/D15*100</f>
        <v>40.54054054054054</v>
      </c>
      <c r="H17" t="s">
        <v>6</v>
      </c>
      <c r="M17" s="8">
        <f>+M16/M15*100</f>
        <v>57.57575757575758</v>
      </c>
    </row>
    <row r="18" spans="1:24" ht="12.75">
      <c r="A18" t="s">
        <v>7</v>
      </c>
      <c r="D18" s="2">
        <v>178</v>
      </c>
      <c r="H18" t="s">
        <v>7</v>
      </c>
      <c r="M18" s="2">
        <v>232</v>
      </c>
      <c r="V18">
        <f>SUM(V11:V16)</f>
        <v>62.5</v>
      </c>
      <c r="W18">
        <f>SUM(W11:W16)</f>
        <v>56.5</v>
      </c>
      <c r="X18">
        <f>+W18+V18</f>
        <v>119</v>
      </c>
    </row>
    <row r="19" spans="1:23" ht="12.75">
      <c r="A19" t="s">
        <v>8</v>
      </c>
      <c r="D19" s="2">
        <v>7</v>
      </c>
      <c r="H19" t="s">
        <v>8</v>
      </c>
      <c r="M19" s="2">
        <v>4</v>
      </c>
      <c r="V19">
        <f>+V18/X18</f>
        <v>0.5252100840336135</v>
      </c>
      <c r="W19">
        <f>+W18/X18</f>
        <v>0.47478991596638653</v>
      </c>
    </row>
    <row r="20" spans="1:23" ht="12.75">
      <c r="A20" t="s">
        <v>9</v>
      </c>
      <c r="D20" s="2">
        <v>87</v>
      </c>
      <c r="H20" t="s">
        <v>9</v>
      </c>
      <c r="M20" s="2">
        <v>22</v>
      </c>
      <c r="V20">
        <f>+V19*60</f>
        <v>31.51260504201681</v>
      </c>
      <c r="W20">
        <f>+W19*60</f>
        <v>28.48739495798319</v>
      </c>
    </row>
    <row r="21" spans="1:23" ht="12.75">
      <c r="A21" t="s">
        <v>10</v>
      </c>
      <c r="D21">
        <f>+D18-D20</f>
        <v>91</v>
      </c>
      <c r="H21" t="s">
        <v>10</v>
      </c>
      <c r="M21">
        <f>+M18-M20</f>
        <v>210</v>
      </c>
      <c r="V21">
        <f>+V20-INT(V20)</f>
        <v>0.5126050420168085</v>
      </c>
      <c r="W21">
        <f>+W20-INT(W20)</f>
        <v>0.48739495798319155</v>
      </c>
    </row>
    <row r="22" spans="1:23" ht="12.75">
      <c r="A22" t="s">
        <v>11</v>
      </c>
      <c r="D22" s="7">
        <f>+D21/(D15+D19)</f>
        <v>2.0681818181818183</v>
      </c>
      <c r="H22" t="s">
        <v>11</v>
      </c>
      <c r="M22" s="7">
        <f>+M21/(M15+M19)</f>
        <v>5.675675675675675</v>
      </c>
      <c r="V22">
        <f>+V21*60</f>
        <v>30.756302521008507</v>
      </c>
      <c r="W22">
        <f>+W21*60</f>
        <v>29.243697478991493</v>
      </c>
    </row>
    <row r="23" spans="1:23" ht="12.75">
      <c r="A23" t="s">
        <v>12</v>
      </c>
      <c r="D23" s="7">
        <f>+D18/D16</f>
        <v>11.866666666666667</v>
      </c>
      <c r="H23" t="s">
        <v>12</v>
      </c>
      <c r="M23" s="7">
        <f>+M18/M16</f>
        <v>12.210526315789474</v>
      </c>
      <c r="U23">
        <v>0</v>
      </c>
      <c r="V23" s="11">
        <f>ROUND(V22,0)</f>
        <v>31</v>
      </c>
      <c r="W23">
        <f>ROUND(W22,0)</f>
        <v>29</v>
      </c>
    </row>
    <row r="24" spans="22:23" ht="12.75">
      <c r="V24">
        <f>INT(V20)</f>
        <v>31</v>
      </c>
      <c r="W24">
        <f>INT(W20)</f>
        <v>28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232</v>
      </c>
      <c r="H26" t="s">
        <v>14</v>
      </c>
      <c r="M26">
        <f>+M21+M12</f>
        <v>258</v>
      </c>
      <c r="Q26" s="9"/>
      <c r="R26" s="9"/>
      <c r="V26" s="14" t="str">
        <f>+V24&amp;V25&amp;V23</f>
        <v>31:31</v>
      </c>
      <c r="W26" s="9" t="str">
        <f>+W24&amp;W25&amp;W23</f>
        <v>28:29</v>
      </c>
    </row>
    <row r="27" spans="1:23" ht="12.75">
      <c r="A27" t="s">
        <v>15</v>
      </c>
      <c r="D27" s="7">
        <f>+D12/D26*100</f>
        <v>60.775862068965516</v>
      </c>
      <c r="H27" t="s">
        <v>15</v>
      </c>
      <c r="M27" s="7">
        <f>+M12/M26*100</f>
        <v>18.6046511627907</v>
      </c>
      <c r="V27" s="9" t="str">
        <f>IF(V23&lt;10,+V24&amp;V25&amp;$U$23&amp;V23,+V24&amp;V25&amp;V23)</f>
        <v>31:31</v>
      </c>
      <c r="W27" s="9" t="str">
        <f>IF(W23&lt;10,+W24&amp;W25&amp;$U$23&amp;W23,+W24&amp;W25&amp;W23)</f>
        <v>28:29</v>
      </c>
    </row>
    <row r="28" spans="1:13" ht="12.75">
      <c r="A28" s="1" t="s">
        <v>86</v>
      </c>
      <c r="D28" s="7">
        <f>+D21/D26*100</f>
        <v>39.224137931034484</v>
      </c>
      <c r="H28" s="1" t="s">
        <v>86</v>
      </c>
      <c r="M28" s="7">
        <f>+M21/M26*100</f>
        <v>81.3953488372093</v>
      </c>
    </row>
    <row r="30" spans="1:13" ht="12.75">
      <c r="A30" t="s">
        <v>16</v>
      </c>
      <c r="D30">
        <f>+D11+D15+D19</f>
        <v>73</v>
      </c>
      <c r="H30" t="s">
        <v>16</v>
      </c>
      <c r="M30">
        <f>+M15+M11+M19</f>
        <v>59</v>
      </c>
    </row>
    <row r="31" spans="1:13" ht="12.75">
      <c r="A31" t="s">
        <v>17</v>
      </c>
      <c r="D31" s="8">
        <f>+D26/D30</f>
        <v>3.1780821917808217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4.372881355932203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0</v>
      </c>
    </row>
    <row r="35" spans="1:13" ht="12.75">
      <c r="A35" t="s">
        <v>20</v>
      </c>
      <c r="D35" s="2">
        <v>94</v>
      </c>
      <c r="H35" t="s">
        <v>20</v>
      </c>
      <c r="M35" s="2">
        <v>0</v>
      </c>
    </row>
    <row r="36" spans="1:13" ht="12.75">
      <c r="A36" t="s">
        <v>21</v>
      </c>
      <c r="D36" s="2">
        <v>1</v>
      </c>
      <c r="H36" t="s">
        <v>21</v>
      </c>
      <c r="M36" s="2">
        <v>0</v>
      </c>
    </row>
    <row r="38" spans="1:13" ht="12.75">
      <c r="A38" t="s">
        <v>22</v>
      </c>
      <c r="D38" s="2">
        <v>8</v>
      </c>
      <c r="H38" t="s">
        <v>22</v>
      </c>
      <c r="M38" s="2">
        <v>7</v>
      </c>
    </row>
    <row r="39" spans="1:13" ht="12.75">
      <c r="A39" t="s">
        <v>23</v>
      </c>
      <c r="D39" s="2">
        <v>344</v>
      </c>
      <c r="H39" t="s">
        <v>23</v>
      </c>
      <c r="M39" s="2">
        <v>275</v>
      </c>
    </row>
    <row r="40" spans="1:13" ht="12.75">
      <c r="A40" t="s">
        <v>24</v>
      </c>
      <c r="D40" s="8">
        <f>+D39/D38</f>
        <v>43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39.285714285714285</v>
      </c>
    </row>
    <row r="42" spans="1:13" ht="12.75">
      <c r="A42" t="s">
        <v>25</v>
      </c>
      <c r="D42" s="2">
        <v>3</v>
      </c>
      <c r="H42" t="s">
        <v>25</v>
      </c>
      <c r="M42" s="2">
        <v>7</v>
      </c>
    </row>
    <row r="43" spans="1:13" ht="12.75">
      <c r="A43" t="s">
        <v>26</v>
      </c>
      <c r="D43" s="2">
        <v>11</v>
      </c>
      <c r="H43" t="s">
        <v>26</v>
      </c>
      <c r="M43" s="2">
        <v>107</v>
      </c>
    </row>
    <row r="44" spans="1:13" ht="12.75">
      <c r="A44" t="s">
        <v>27</v>
      </c>
      <c r="D44" s="8">
        <f>+D43/D42</f>
        <v>3.6666666666666665</v>
      </c>
      <c r="H44" t="s">
        <v>27</v>
      </c>
      <c r="M44" s="8">
        <f>+M43/M42</f>
        <v>15.285714285714286</v>
      </c>
    </row>
    <row r="45" spans="1:13" ht="12.75">
      <c r="A45" t="s">
        <v>106</v>
      </c>
      <c r="D45" s="2">
        <v>3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3</v>
      </c>
    </row>
    <row r="49" spans="1:13" ht="12.75">
      <c r="A49" t="s">
        <v>26</v>
      </c>
      <c r="D49" s="2">
        <v>62</v>
      </c>
      <c r="H49" t="s">
        <v>26</v>
      </c>
      <c r="M49" s="2">
        <v>72</v>
      </c>
    </row>
    <row r="50" spans="1:13" ht="12.75">
      <c r="A50" t="s">
        <v>27</v>
      </c>
      <c r="D50" s="8">
        <f>+D49/D48</f>
        <v>15.5</v>
      </c>
      <c r="H50" t="s">
        <v>27</v>
      </c>
      <c r="M50" s="8">
        <f>+M49/M48</f>
        <v>24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3</v>
      </c>
      <c r="H53" t="s">
        <v>31</v>
      </c>
      <c r="M53" s="2">
        <v>4</v>
      </c>
    </row>
    <row r="54" spans="1:13" ht="12.75">
      <c r="A54" t="s">
        <v>32</v>
      </c>
      <c r="D54" s="2">
        <v>23</v>
      </c>
      <c r="H54" t="s">
        <v>32</v>
      </c>
      <c r="M54" s="2">
        <v>45</v>
      </c>
    </row>
    <row r="56" spans="1:13" ht="12.75">
      <c r="A56" t="s">
        <v>33</v>
      </c>
      <c r="D56" s="2">
        <v>1</v>
      </c>
      <c r="H56" t="s">
        <v>33</v>
      </c>
      <c r="M56" s="2">
        <v>2</v>
      </c>
    </row>
    <row r="57" spans="1:13" ht="12.75">
      <c r="A57" t="s">
        <v>101</v>
      </c>
      <c r="D57" s="2">
        <v>1</v>
      </c>
      <c r="H57" t="s">
        <v>101</v>
      </c>
      <c r="M57" s="2">
        <v>1</v>
      </c>
    </row>
    <row r="59" spans="1:13" ht="12.75">
      <c r="A59" t="s">
        <v>34</v>
      </c>
      <c r="D59" s="2">
        <v>6</v>
      </c>
      <c r="H59" t="s">
        <v>34</v>
      </c>
      <c r="M59" s="2">
        <v>33</v>
      </c>
    </row>
    <row r="60" spans="1:13" ht="12.75">
      <c r="A60" t="s">
        <v>35</v>
      </c>
      <c r="D60" s="2">
        <v>0</v>
      </c>
      <c r="H60" t="s">
        <v>35</v>
      </c>
      <c r="M60" s="2">
        <v>3</v>
      </c>
    </row>
    <row r="61" spans="1:13" ht="12.75">
      <c r="A61" t="s">
        <v>36</v>
      </c>
      <c r="D61" s="2">
        <v>0</v>
      </c>
      <c r="H61" t="s">
        <v>36</v>
      </c>
      <c r="M61" s="2">
        <v>2</v>
      </c>
    </row>
    <row r="62" spans="1:13" ht="12.75">
      <c r="A62" t="s">
        <v>37</v>
      </c>
      <c r="D62" s="2">
        <v>0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1</v>
      </c>
    </row>
    <row r="64" spans="1:13" ht="12.75">
      <c r="A64" t="s">
        <v>39</v>
      </c>
      <c r="D64" s="2">
        <v>0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4</v>
      </c>
    </row>
    <row r="67" spans="1:13" ht="12.75">
      <c r="A67" t="s">
        <v>42</v>
      </c>
      <c r="D67" s="2">
        <v>2</v>
      </c>
      <c r="H67" t="s">
        <v>42</v>
      </c>
      <c r="M67" s="2">
        <v>4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31:31</v>
      </c>
      <c r="E69" s="8"/>
      <c r="F69" s="8"/>
      <c r="H69" t="s">
        <v>92</v>
      </c>
      <c r="M69" s="10" t="str">
        <f>IF(W23&lt;10,W27,W26)</f>
        <v>28:29</v>
      </c>
    </row>
    <row r="70" spans="1:13" ht="12.75">
      <c r="A70" t="s">
        <v>102</v>
      </c>
      <c r="D70" s="23">
        <f>D162</f>
        <v>18.75</v>
      </c>
      <c r="E70" s="8"/>
      <c r="F70" s="8"/>
      <c r="H70" t="s">
        <v>102</v>
      </c>
      <c r="M70" s="23">
        <f>M162</f>
        <v>18.75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109</v>
      </c>
      <c r="C74">
        <v>2</v>
      </c>
      <c r="D74">
        <v>44</v>
      </c>
      <c r="E74" s="12">
        <f aca="true" t="shared" si="0" ref="E74:E84">+D74/C74</f>
        <v>22</v>
      </c>
      <c r="F74">
        <v>41</v>
      </c>
      <c r="G74">
        <v>0</v>
      </c>
      <c r="H74">
        <v>0</v>
      </c>
    </row>
    <row r="75" spans="1:8" ht="12.75">
      <c r="A75" t="s">
        <v>110</v>
      </c>
      <c r="C75">
        <v>15</v>
      </c>
      <c r="D75">
        <v>40</v>
      </c>
      <c r="E75" s="12">
        <f t="shared" si="0"/>
        <v>2.6666666666666665</v>
      </c>
      <c r="F75">
        <v>10</v>
      </c>
      <c r="G75">
        <v>0</v>
      </c>
      <c r="H75">
        <v>0</v>
      </c>
    </row>
    <row r="76" spans="1:8" ht="12.75">
      <c r="A76" t="s">
        <v>111</v>
      </c>
      <c r="C76">
        <v>9</v>
      </c>
      <c r="D76">
        <v>59</v>
      </c>
      <c r="E76" s="12">
        <f t="shared" si="0"/>
        <v>6.555555555555555</v>
      </c>
      <c r="F76">
        <v>22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107</v>
      </c>
      <c r="C80">
        <v>2</v>
      </c>
      <c r="D80">
        <v>-7</v>
      </c>
      <c r="E80" s="12">
        <f t="shared" si="0"/>
        <v>-3.5</v>
      </c>
      <c r="F80">
        <v>-2</v>
      </c>
      <c r="G80">
        <v>0</v>
      </c>
      <c r="H80">
        <v>0</v>
      </c>
    </row>
    <row r="81" spans="1:5" ht="12.75">
      <c r="A81" t="s">
        <v>115</v>
      </c>
      <c r="E81" s="12" t="e">
        <f t="shared" si="0"/>
        <v>#DIV/0!</v>
      </c>
    </row>
    <row r="82" spans="1:8" ht="12.75">
      <c r="A82" t="s">
        <v>116</v>
      </c>
      <c r="C82">
        <v>1</v>
      </c>
      <c r="D82">
        <v>5</v>
      </c>
      <c r="E82" s="12">
        <f t="shared" si="0"/>
        <v>5</v>
      </c>
      <c r="F82">
        <v>5</v>
      </c>
      <c r="G82">
        <v>0</v>
      </c>
      <c r="H82">
        <v>0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2</v>
      </c>
      <c r="D87">
        <v>42</v>
      </c>
      <c r="E87" s="12">
        <f aca="true" t="shared" si="1" ref="E87:E102">+D87/C87</f>
        <v>21</v>
      </c>
      <c r="F87">
        <v>23</v>
      </c>
      <c r="G87">
        <v>0</v>
      </c>
      <c r="H87">
        <v>0</v>
      </c>
    </row>
    <row r="88" spans="1:8" ht="12.75">
      <c r="A88" t="s">
        <v>109</v>
      </c>
      <c r="C88">
        <v>3</v>
      </c>
      <c r="D88">
        <v>6</v>
      </c>
      <c r="E88" s="12">
        <f t="shared" si="1"/>
        <v>2</v>
      </c>
      <c r="F88">
        <v>12</v>
      </c>
      <c r="G88">
        <v>0</v>
      </c>
      <c r="H88">
        <v>0</v>
      </c>
    </row>
    <row r="89" spans="1:8" ht="12.75">
      <c r="A89" t="s">
        <v>117</v>
      </c>
      <c r="C89">
        <v>2</v>
      </c>
      <c r="D89">
        <v>29</v>
      </c>
      <c r="E89" s="12">
        <f t="shared" si="1"/>
        <v>14.5</v>
      </c>
      <c r="F89">
        <v>24</v>
      </c>
      <c r="G89">
        <v>0</v>
      </c>
      <c r="H89">
        <v>0</v>
      </c>
    </row>
    <row r="90" spans="1:8" ht="12.75">
      <c r="A90" t="s">
        <v>116</v>
      </c>
      <c r="C90">
        <v>2</v>
      </c>
      <c r="D90">
        <v>32</v>
      </c>
      <c r="E90" s="12">
        <f t="shared" si="1"/>
        <v>16</v>
      </c>
      <c r="F90">
        <v>20</v>
      </c>
      <c r="G90">
        <v>0</v>
      </c>
      <c r="H90">
        <v>0</v>
      </c>
    </row>
    <row r="91" spans="1:5" ht="12.75">
      <c r="A91" t="s">
        <v>112</v>
      </c>
      <c r="E91" s="12" t="e">
        <f t="shared" si="1"/>
        <v>#DIV/0!</v>
      </c>
    </row>
    <row r="92" spans="1:8" ht="12.75">
      <c r="A92" t="s">
        <v>120</v>
      </c>
      <c r="C92">
        <v>4</v>
      </c>
      <c r="D92">
        <v>40</v>
      </c>
      <c r="E92" s="12">
        <f t="shared" si="1"/>
        <v>10</v>
      </c>
      <c r="F92">
        <v>18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8" ht="12.75">
      <c r="A94" t="s">
        <v>122</v>
      </c>
      <c r="C94">
        <v>1</v>
      </c>
      <c r="D94">
        <v>26</v>
      </c>
      <c r="E94" s="12">
        <f t="shared" si="1"/>
        <v>26</v>
      </c>
      <c r="F94">
        <v>26</v>
      </c>
      <c r="G94">
        <v>0</v>
      </c>
      <c r="H94">
        <v>0</v>
      </c>
    </row>
    <row r="95" spans="1:5" ht="12.75">
      <c r="A95" t="s">
        <v>111</v>
      </c>
      <c r="E95" s="12" t="e">
        <f t="shared" si="1"/>
        <v>#DIV/0!</v>
      </c>
    </row>
    <row r="96" spans="1:8" ht="12.75">
      <c r="A96" t="s">
        <v>123</v>
      </c>
      <c r="C96">
        <v>1</v>
      </c>
      <c r="D96">
        <v>3</v>
      </c>
      <c r="E96" s="12">
        <f t="shared" si="1"/>
        <v>3</v>
      </c>
      <c r="F96">
        <v>3</v>
      </c>
      <c r="G96">
        <v>0</v>
      </c>
      <c r="H96">
        <v>0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37</v>
      </c>
      <c r="D106">
        <v>15</v>
      </c>
      <c r="E106" s="12">
        <f>+D106/C106*100</f>
        <v>40.54054054054054</v>
      </c>
      <c r="F106">
        <v>178</v>
      </c>
      <c r="G106">
        <v>0</v>
      </c>
      <c r="H106">
        <v>26</v>
      </c>
      <c r="I106">
        <v>3</v>
      </c>
      <c r="J106" s="8">
        <f>+G106/C106*100</f>
        <v>0</v>
      </c>
      <c r="K106" s="12">
        <f>+I106/C106*100</f>
        <v>8.108108108108109</v>
      </c>
      <c r="L106" s="12">
        <f>+F106/C106</f>
        <v>4.8108108108108105</v>
      </c>
      <c r="M106" s="12">
        <f>100*(S106+U106+W106+Y106)/6</f>
        <v>22.128378378378372</v>
      </c>
      <c r="N106">
        <v>1</v>
      </c>
      <c r="R106">
        <f>+(E106-30)/20</f>
        <v>0.527027027027027</v>
      </c>
      <c r="S106" s="2">
        <f>IF(R106&lt;0,0,IF(R106&gt;2.375,2.375,R106))</f>
        <v>0.527027027027027</v>
      </c>
      <c r="T106" s="6">
        <f>+(L106-3)/4</f>
        <v>0.45270270270270263</v>
      </c>
      <c r="U106" s="2">
        <f>IF(T106&lt;0,0,IF(T106&gt;2.375,2.375,T106))</f>
        <v>0.45270270270270263</v>
      </c>
      <c r="V106">
        <f>+J106/5</f>
        <v>0</v>
      </c>
      <c r="W106" s="2">
        <f>IF(V106&lt;0,0,IF(V106&gt;2.375,2.375,V106))</f>
        <v>0</v>
      </c>
      <c r="X106">
        <f>(9.5-K106)/4</f>
        <v>0.3479729729729728</v>
      </c>
      <c r="Y106" s="2">
        <f>IF(X106&lt;0,0,X106)</f>
        <v>0.3479729729729728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3</v>
      </c>
      <c r="D114">
        <v>3</v>
      </c>
      <c r="E114">
        <v>11</v>
      </c>
      <c r="F114" s="12">
        <f>+E114/C114</f>
        <v>3.6666666666666665</v>
      </c>
      <c r="G114">
        <v>10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4</v>
      </c>
      <c r="D120">
        <v>62</v>
      </c>
      <c r="E120" s="12">
        <f aca="true" t="shared" si="2" ref="E120:E126">+D120/C120</f>
        <v>15.5</v>
      </c>
      <c r="F120">
        <v>17</v>
      </c>
      <c r="G120">
        <v>0</v>
      </c>
      <c r="H120">
        <v>0</v>
      </c>
    </row>
    <row r="121" spans="1:5" ht="12.75">
      <c r="A121" t="s">
        <v>129</v>
      </c>
      <c r="E121" s="12" t="e">
        <f t="shared" si="2"/>
        <v>#DIV/0!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8</v>
      </c>
      <c r="D129">
        <v>344</v>
      </c>
      <c r="E129" s="12">
        <f>+D129/C129</f>
        <v>43</v>
      </c>
      <c r="F129">
        <v>54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3</v>
      </c>
      <c r="D132">
        <v>0</v>
      </c>
      <c r="E132">
        <v>0</v>
      </c>
      <c r="F132">
        <v>0</v>
      </c>
      <c r="G132">
        <v>2</v>
      </c>
      <c r="H132">
        <v>2</v>
      </c>
      <c r="I132" s="12">
        <f>+H132/G132*100</f>
        <v>100</v>
      </c>
      <c r="J132">
        <v>29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2" t="s">
        <v>68</v>
      </c>
      <c r="D145" s="2"/>
    </row>
    <row r="146" spans="1:3" ht="12.75">
      <c r="A146" t="s">
        <v>140</v>
      </c>
      <c r="C146">
        <v>0.5</v>
      </c>
    </row>
    <row r="147" spans="1:3" ht="12.75">
      <c r="A147" t="s">
        <v>141</v>
      </c>
      <c r="C147">
        <v>1</v>
      </c>
    </row>
    <row r="148" spans="1:3" ht="12.75">
      <c r="A148" t="s">
        <v>142</v>
      </c>
      <c r="C148">
        <v>0.5</v>
      </c>
    </row>
    <row r="149" ht="12.75">
      <c r="A149" t="s">
        <v>143</v>
      </c>
    </row>
    <row r="150" spans="1:3" ht="12.75">
      <c r="A150" t="s">
        <v>144</v>
      </c>
      <c r="C150">
        <v>1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spans="1:3" ht="12.75">
      <c r="A155" t="s">
        <v>113</v>
      </c>
      <c r="C155">
        <v>1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16</v>
      </c>
      <c r="H160" t="s">
        <v>93</v>
      </c>
      <c r="M160">
        <v>16</v>
      </c>
    </row>
    <row r="161" spans="1:13" ht="12.75">
      <c r="A161" t="s">
        <v>94</v>
      </c>
      <c r="D161">
        <v>3</v>
      </c>
      <c r="H161" t="s">
        <v>94</v>
      </c>
      <c r="M161">
        <v>3</v>
      </c>
    </row>
    <row r="162" spans="1:13" ht="12.75">
      <c r="A162" t="s">
        <v>95</v>
      </c>
      <c r="D162">
        <f>D161/D160*100</f>
        <v>18.75</v>
      </c>
      <c r="H162" t="s">
        <v>95</v>
      </c>
      <c r="M162">
        <f>+M161/M160*100</f>
        <v>18.75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Y162"/>
  <sheetViews>
    <sheetView zoomScalePageLayoutView="0" workbookViewId="0" topLeftCell="A1">
      <selection activeCell="W106" sqref="W106:W11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29</v>
      </c>
      <c r="H6" s="1" t="s">
        <v>29</v>
      </c>
      <c r="M6" s="2">
        <f>M7+M8+M9</f>
        <v>22</v>
      </c>
    </row>
    <row r="7" spans="1:13" ht="12.75">
      <c r="A7" s="1" t="s">
        <v>103</v>
      </c>
      <c r="D7" s="2">
        <v>18</v>
      </c>
      <c r="H7" s="1" t="s">
        <v>103</v>
      </c>
      <c r="M7" s="2">
        <v>7</v>
      </c>
    </row>
    <row r="8" spans="1:13" ht="12.75">
      <c r="A8" s="1" t="s">
        <v>105</v>
      </c>
      <c r="D8" s="2">
        <v>11</v>
      </c>
      <c r="H8" s="1" t="s">
        <v>105</v>
      </c>
      <c r="M8" s="2">
        <v>15</v>
      </c>
    </row>
    <row r="9" spans="1:13" ht="12.75">
      <c r="A9" s="1" t="s">
        <v>104</v>
      </c>
      <c r="D9" s="2">
        <v>0</v>
      </c>
      <c r="H9" s="1" t="s">
        <v>104</v>
      </c>
      <c r="M9" s="2">
        <v>0</v>
      </c>
    </row>
    <row r="11" spans="1:23" ht="12.75">
      <c r="A11" t="s">
        <v>1</v>
      </c>
      <c r="D11" s="2">
        <v>43</v>
      </c>
      <c r="H11" t="s">
        <v>1</v>
      </c>
      <c r="M11" s="2">
        <v>26</v>
      </c>
      <c r="V11">
        <f>+D11</f>
        <v>43</v>
      </c>
      <c r="W11">
        <f>+M11</f>
        <v>26</v>
      </c>
    </row>
    <row r="12" spans="1:23" ht="12.75">
      <c r="A12" t="s">
        <v>2</v>
      </c>
      <c r="D12" s="2">
        <v>299</v>
      </c>
      <c r="H12" t="s">
        <v>2</v>
      </c>
      <c r="M12" s="2">
        <v>107</v>
      </c>
      <c r="U12" s="13"/>
      <c r="V12">
        <f>+D16</f>
        <v>16</v>
      </c>
      <c r="W12">
        <f>+M16</f>
        <v>32</v>
      </c>
    </row>
    <row r="13" spans="1:23" ht="12.75">
      <c r="A13" s="1" t="s">
        <v>3</v>
      </c>
      <c r="D13" s="8">
        <f>+D12/D11</f>
        <v>6.953488372093023</v>
      </c>
      <c r="H13" s="1" t="s">
        <v>3</v>
      </c>
      <c r="M13" s="8">
        <f>M12/M11</f>
        <v>4.115384615384615</v>
      </c>
      <c r="V13">
        <f>+(D15-D16)/2</f>
        <v>8</v>
      </c>
      <c r="W13">
        <f>+(M15-M16)/2</f>
        <v>5.5</v>
      </c>
    </row>
    <row r="14" spans="22:23" ht="12.75">
      <c r="V14">
        <f>+D38/2</f>
        <v>1.5</v>
      </c>
      <c r="W14">
        <f>+M38/2</f>
        <v>2.5</v>
      </c>
    </row>
    <row r="15" spans="1:23" ht="12.75">
      <c r="A15" t="s">
        <v>4</v>
      </c>
      <c r="D15" s="2">
        <v>32</v>
      </c>
      <c r="H15" t="s">
        <v>4</v>
      </c>
      <c r="M15" s="2">
        <v>43</v>
      </c>
      <c r="V15">
        <f>+D42/2</f>
        <v>1.5</v>
      </c>
      <c r="W15">
        <f>+M42/2</f>
        <v>1</v>
      </c>
    </row>
    <row r="16" spans="1:23" ht="12.75">
      <c r="A16" t="s">
        <v>5</v>
      </c>
      <c r="D16" s="2">
        <v>16</v>
      </c>
      <c r="H16" t="s">
        <v>5</v>
      </c>
      <c r="M16" s="2">
        <v>32</v>
      </c>
      <c r="V16">
        <f>+D48/2</f>
        <v>1.5</v>
      </c>
      <c r="W16">
        <f>+M48/2</f>
        <v>0.5</v>
      </c>
    </row>
    <row r="17" spans="1:13" ht="12.75">
      <c r="A17" t="s">
        <v>6</v>
      </c>
      <c r="D17" s="8">
        <f>+D16/D15*100</f>
        <v>50</v>
      </c>
      <c r="H17" t="s">
        <v>6</v>
      </c>
      <c r="M17" s="8">
        <f>+M16/M15*100</f>
        <v>74.4186046511628</v>
      </c>
    </row>
    <row r="18" spans="1:24" ht="12.75">
      <c r="A18" t="s">
        <v>7</v>
      </c>
      <c r="D18" s="2">
        <v>220</v>
      </c>
      <c r="H18" t="s">
        <v>7</v>
      </c>
      <c r="M18" s="2">
        <v>287</v>
      </c>
      <c r="V18">
        <f>SUM(V11:V16)</f>
        <v>71.5</v>
      </c>
      <c r="W18">
        <f>SUM(W11:W16)</f>
        <v>67.5</v>
      </c>
      <c r="X18">
        <f>+W18+V18</f>
        <v>139</v>
      </c>
    </row>
    <row r="19" spans="1:23" ht="12.75">
      <c r="A19" t="s">
        <v>8</v>
      </c>
      <c r="D19" s="2">
        <v>1</v>
      </c>
      <c r="H19" t="s">
        <v>8</v>
      </c>
      <c r="M19" s="2">
        <v>0</v>
      </c>
      <c r="V19">
        <f>+V18/X18</f>
        <v>0.5143884892086331</v>
      </c>
      <c r="W19">
        <f>+W18/X18</f>
        <v>0.4856115107913669</v>
      </c>
    </row>
    <row r="20" spans="1:23" ht="12.75">
      <c r="A20" t="s">
        <v>9</v>
      </c>
      <c r="D20" s="2">
        <v>13</v>
      </c>
      <c r="H20" t="s">
        <v>9</v>
      </c>
      <c r="M20" s="2">
        <v>0</v>
      </c>
      <c r="V20">
        <f>+V19*60</f>
        <v>30.863309352517987</v>
      </c>
      <c r="W20">
        <f>+W19*60</f>
        <v>29.136690647482013</v>
      </c>
    </row>
    <row r="21" spans="1:23" ht="12.75">
      <c r="A21" t="s">
        <v>10</v>
      </c>
      <c r="D21">
        <f>+D18-D20</f>
        <v>207</v>
      </c>
      <c r="H21" t="s">
        <v>10</v>
      </c>
      <c r="M21">
        <f>+M18-M20</f>
        <v>287</v>
      </c>
      <c r="V21">
        <f>+V20-INT(V20)</f>
        <v>0.8633093525179873</v>
      </c>
      <c r="W21">
        <f>+W20-INT(W20)</f>
        <v>0.13669064748201265</v>
      </c>
    </row>
    <row r="22" spans="1:23" ht="12.75">
      <c r="A22" t="s">
        <v>11</v>
      </c>
      <c r="D22" s="7">
        <f>+D21/(D15+D19)</f>
        <v>6.2727272727272725</v>
      </c>
      <c r="H22" t="s">
        <v>11</v>
      </c>
      <c r="M22" s="7">
        <f>+M21/(M15+M19)</f>
        <v>6.674418604651163</v>
      </c>
      <c r="V22">
        <f>+V21*60</f>
        <v>51.79856115107924</v>
      </c>
      <c r="W22">
        <f>+W21*60</f>
        <v>8.201438848920759</v>
      </c>
    </row>
    <row r="23" spans="1:23" ht="12.75">
      <c r="A23" t="s">
        <v>12</v>
      </c>
      <c r="D23" s="7">
        <f>+D18/D16</f>
        <v>13.75</v>
      </c>
      <c r="H23" t="s">
        <v>12</v>
      </c>
      <c r="M23" s="7">
        <f>+M18/M16</f>
        <v>8.96875</v>
      </c>
      <c r="U23">
        <v>0</v>
      </c>
      <c r="V23" s="11">
        <f>ROUND(V22,0)</f>
        <v>52</v>
      </c>
      <c r="W23">
        <f>ROUND(W22,0)</f>
        <v>8</v>
      </c>
    </row>
    <row r="24" spans="22:23" ht="12.75">
      <c r="V24">
        <f>INT(V20)</f>
        <v>30</v>
      </c>
      <c r="W24">
        <f>INT(W20)</f>
        <v>29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506</v>
      </c>
      <c r="H26" t="s">
        <v>14</v>
      </c>
      <c r="M26">
        <f>+M21+M12</f>
        <v>394</v>
      </c>
      <c r="Q26" s="9"/>
      <c r="R26" s="9"/>
      <c r="V26" s="14" t="str">
        <f>+V24&amp;V25&amp;V23</f>
        <v>30:52</v>
      </c>
      <c r="W26" s="9" t="str">
        <f>+W24&amp;W25&amp;W23</f>
        <v>29:8</v>
      </c>
    </row>
    <row r="27" spans="1:23" ht="12.75">
      <c r="A27" t="s">
        <v>15</v>
      </c>
      <c r="D27" s="7">
        <f>+D12/D26*100</f>
        <v>59.09090909090909</v>
      </c>
      <c r="H27" t="s">
        <v>15</v>
      </c>
      <c r="M27" s="7">
        <f>+M12/M26*100</f>
        <v>27.157360406091367</v>
      </c>
      <c r="V27" s="9" t="str">
        <f>IF(V23&lt;10,+V24&amp;V25&amp;$U$23&amp;V23,+V24&amp;V25&amp;V23)</f>
        <v>30:52</v>
      </c>
      <c r="W27" s="9" t="str">
        <f>IF(W23&lt;10,+W24&amp;W25&amp;$U$23&amp;W23,+W24&amp;W25&amp;W23)</f>
        <v>29:08</v>
      </c>
    </row>
    <row r="28" spans="1:13" ht="12.75">
      <c r="A28" s="1" t="s">
        <v>86</v>
      </c>
      <c r="D28" s="7">
        <f>+D21/D26*100</f>
        <v>40.909090909090914</v>
      </c>
      <c r="H28" s="1" t="s">
        <v>86</v>
      </c>
      <c r="M28" s="7">
        <f>+M21/M26*100</f>
        <v>72.84263959390863</v>
      </c>
    </row>
    <row r="30" spans="1:13" ht="12.75">
      <c r="A30" t="s">
        <v>16</v>
      </c>
      <c r="D30">
        <f>+D11+D15+D19</f>
        <v>76</v>
      </c>
      <c r="H30" t="s">
        <v>16</v>
      </c>
      <c r="M30">
        <f>+M11+M15+M19</f>
        <v>69</v>
      </c>
    </row>
    <row r="31" spans="1:13" ht="12.75">
      <c r="A31" t="s">
        <v>17</v>
      </c>
      <c r="D31" s="8">
        <f>+D26/D30</f>
        <v>6.657894736842105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5.7101449275362315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1</v>
      </c>
    </row>
    <row r="35" spans="1:13" ht="12.75">
      <c r="A35" t="s">
        <v>20</v>
      </c>
      <c r="D35" s="2">
        <v>22</v>
      </c>
      <c r="H35" t="s">
        <v>20</v>
      </c>
      <c r="M35" s="2">
        <v>40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3</v>
      </c>
      <c r="H38" t="s">
        <v>22</v>
      </c>
      <c r="M38" s="2">
        <v>5</v>
      </c>
    </row>
    <row r="39" spans="1:13" ht="12.75">
      <c r="A39" t="s">
        <v>23</v>
      </c>
      <c r="D39" s="2">
        <v>102</v>
      </c>
      <c r="H39" t="s">
        <v>23</v>
      </c>
      <c r="M39" s="2">
        <v>220</v>
      </c>
    </row>
    <row r="40" spans="1:13" ht="12.75">
      <c r="A40" t="s">
        <v>24</v>
      </c>
      <c r="D40" s="8">
        <f>+D39/D38</f>
        <v>34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</v>
      </c>
    </row>
    <row r="42" spans="1:13" ht="12.75">
      <c r="A42" t="s">
        <v>25</v>
      </c>
      <c r="D42" s="2">
        <v>3</v>
      </c>
      <c r="H42" t="s">
        <v>25</v>
      </c>
      <c r="M42" s="2">
        <v>2</v>
      </c>
    </row>
    <row r="43" spans="1:13" ht="12.75">
      <c r="A43" t="s">
        <v>26</v>
      </c>
      <c r="D43" s="2">
        <v>9</v>
      </c>
      <c r="H43" t="s">
        <v>26</v>
      </c>
      <c r="M43" s="2">
        <v>1</v>
      </c>
    </row>
    <row r="44" spans="1:13" ht="12.75">
      <c r="A44" t="s">
        <v>27</v>
      </c>
      <c r="D44" s="8">
        <f>+D43/D42</f>
        <v>3</v>
      </c>
      <c r="H44" t="s">
        <v>27</v>
      </c>
      <c r="M44" s="8">
        <f>+M43/M42</f>
        <v>0.5</v>
      </c>
    </row>
    <row r="45" spans="1:13" ht="12.75">
      <c r="A45" t="s">
        <v>106</v>
      </c>
      <c r="D45" s="2">
        <v>2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1</v>
      </c>
    </row>
    <row r="49" spans="1:13" ht="12.75">
      <c r="A49" t="s">
        <v>26</v>
      </c>
      <c r="D49" s="2">
        <v>65</v>
      </c>
      <c r="H49" t="s">
        <v>26</v>
      </c>
      <c r="M49" s="2">
        <v>61</v>
      </c>
    </row>
    <row r="50" spans="1:13" ht="12.75">
      <c r="A50" t="s">
        <v>27</v>
      </c>
      <c r="D50" s="8">
        <f>+D49/D48</f>
        <v>21.666666666666668</v>
      </c>
      <c r="H50" t="s">
        <v>27</v>
      </c>
      <c r="M50" s="8">
        <f>+M49/M48</f>
        <v>61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3</v>
      </c>
      <c r="H53" t="s">
        <v>31</v>
      </c>
      <c r="M53" s="2">
        <v>3</v>
      </c>
    </row>
    <row r="54" spans="1:13" ht="12.75">
      <c r="A54" t="s">
        <v>32</v>
      </c>
      <c r="D54" s="2">
        <v>15</v>
      </c>
      <c r="H54" t="s">
        <v>32</v>
      </c>
      <c r="M54" s="2">
        <v>20</v>
      </c>
    </row>
    <row r="56" spans="1:13" ht="12.75">
      <c r="A56" t="s">
        <v>33</v>
      </c>
      <c r="D56" s="2">
        <v>3</v>
      </c>
      <c r="H56" t="s">
        <v>33</v>
      </c>
      <c r="M56" s="2">
        <v>1</v>
      </c>
    </row>
    <row r="57" spans="1:13" ht="12.75">
      <c r="A57" t="s">
        <v>101</v>
      </c>
      <c r="D57" s="2">
        <v>1</v>
      </c>
      <c r="H57" t="s">
        <v>101</v>
      </c>
      <c r="M57" s="2">
        <v>1</v>
      </c>
    </row>
    <row r="59" spans="1:13" ht="12.75">
      <c r="A59" t="s">
        <v>34</v>
      </c>
      <c r="D59" s="2">
        <v>26</v>
      </c>
      <c r="H59" t="s">
        <v>34</v>
      </c>
      <c r="M59" s="2">
        <v>23</v>
      </c>
    </row>
    <row r="60" spans="1:13" ht="12.75">
      <c r="A60" t="s">
        <v>35</v>
      </c>
      <c r="D60" s="2">
        <v>2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4</v>
      </c>
      <c r="H66" t="s">
        <v>41</v>
      </c>
      <c r="M66" s="2">
        <v>3</v>
      </c>
    </row>
    <row r="67" spans="1:13" ht="12.75">
      <c r="A67" t="s">
        <v>42</v>
      </c>
      <c r="D67" s="2">
        <v>4</v>
      </c>
      <c r="H67" t="s">
        <v>42</v>
      </c>
      <c r="M67" s="2">
        <v>3</v>
      </c>
    </row>
    <row r="68" spans="1:13" ht="12.75">
      <c r="A68" t="s">
        <v>43</v>
      </c>
      <c r="D68" s="7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89</v>
      </c>
      <c r="D69" s="10" t="str">
        <f>IF(V23&lt;10,V27,V26)</f>
        <v>30:52</v>
      </c>
      <c r="E69" s="8"/>
      <c r="F69" s="8"/>
      <c r="H69" t="s">
        <v>89</v>
      </c>
      <c r="M69" s="10" t="str">
        <f>IF(W23&lt;10,W27,W26)</f>
        <v>29:08</v>
      </c>
    </row>
    <row r="70" spans="1:13" ht="12.75">
      <c r="A70" t="s">
        <v>102</v>
      </c>
      <c r="D70" s="23">
        <f>D162</f>
        <v>36.36363636363637</v>
      </c>
      <c r="E70" s="8"/>
      <c r="F70" s="8"/>
      <c r="H70" t="s">
        <v>102</v>
      </c>
      <c r="M70" s="23">
        <f>M162</f>
        <v>56.25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109</v>
      </c>
      <c r="C74">
        <v>3</v>
      </c>
      <c r="D74">
        <v>3</v>
      </c>
      <c r="E74" s="12">
        <f aca="true" t="shared" si="0" ref="E74:E84">+D74/C74</f>
        <v>1</v>
      </c>
      <c r="F74">
        <v>3</v>
      </c>
      <c r="G74">
        <v>0</v>
      </c>
      <c r="H74">
        <v>0</v>
      </c>
    </row>
    <row r="75" spans="1:8" ht="12.75">
      <c r="A75" t="s">
        <v>110</v>
      </c>
      <c r="C75">
        <v>18</v>
      </c>
      <c r="D75">
        <v>133</v>
      </c>
      <c r="E75" s="12">
        <f t="shared" si="0"/>
        <v>7.388888888888889</v>
      </c>
      <c r="F75">
        <v>45</v>
      </c>
      <c r="G75">
        <v>0</v>
      </c>
      <c r="H75">
        <v>0</v>
      </c>
    </row>
    <row r="76" spans="1:8" ht="12.75">
      <c r="A76" t="s">
        <v>111</v>
      </c>
      <c r="C76">
        <v>21</v>
      </c>
      <c r="D76">
        <v>161</v>
      </c>
      <c r="E76" s="12">
        <f t="shared" si="0"/>
        <v>7.666666666666667</v>
      </c>
      <c r="F76">
        <v>22</v>
      </c>
      <c r="G76">
        <v>1</v>
      </c>
      <c r="H76">
        <v>1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107</v>
      </c>
      <c r="C80">
        <v>1</v>
      </c>
      <c r="D80">
        <v>2</v>
      </c>
      <c r="E80" s="12">
        <f t="shared" si="0"/>
        <v>2</v>
      </c>
      <c r="F80">
        <v>2</v>
      </c>
      <c r="G80">
        <v>0</v>
      </c>
      <c r="H80">
        <v>0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1</v>
      </c>
      <c r="D87">
        <v>24</v>
      </c>
      <c r="E87" s="12">
        <f aca="true" t="shared" si="1" ref="E87:E98">+D87/C87</f>
        <v>24</v>
      </c>
      <c r="F87">
        <v>24</v>
      </c>
      <c r="G87">
        <v>0</v>
      </c>
      <c r="H87">
        <v>0</v>
      </c>
    </row>
    <row r="88" spans="1:8" ht="12.75">
      <c r="A88" t="s">
        <v>109</v>
      </c>
      <c r="C88">
        <v>1</v>
      </c>
      <c r="D88">
        <v>2</v>
      </c>
      <c r="E88" s="12">
        <f t="shared" si="1"/>
        <v>2</v>
      </c>
      <c r="F88">
        <v>2</v>
      </c>
      <c r="G88">
        <v>0</v>
      </c>
      <c r="H88">
        <v>0</v>
      </c>
    </row>
    <row r="89" spans="1:8" ht="12.75">
      <c r="A89" t="s">
        <v>117</v>
      </c>
      <c r="C89">
        <v>5</v>
      </c>
      <c r="D89">
        <v>65</v>
      </c>
      <c r="E89" s="12">
        <f t="shared" si="1"/>
        <v>13</v>
      </c>
      <c r="F89">
        <v>18</v>
      </c>
      <c r="G89">
        <v>1</v>
      </c>
      <c r="H89">
        <v>1</v>
      </c>
    </row>
    <row r="90" spans="1:8" ht="12.75">
      <c r="A90" t="s">
        <v>116</v>
      </c>
      <c r="C90">
        <v>3</v>
      </c>
      <c r="D90">
        <v>48</v>
      </c>
      <c r="E90" s="12">
        <f t="shared" si="1"/>
        <v>16</v>
      </c>
      <c r="F90">
        <v>29</v>
      </c>
      <c r="G90">
        <v>0</v>
      </c>
      <c r="H90">
        <v>0</v>
      </c>
    </row>
    <row r="91" spans="1:8" ht="12.75">
      <c r="A91" t="s">
        <v>112</v>
      </c>
      <c r="C91">
        <v>1</v>
      </c>
      <c r="D91">
        <v>14</v>
      </c>
      <c r="E91" s="12">
        <f t="shared" si="1"/>
        <v>14</v>
      </c>
      <c r="F91">
        <v>14</v>
      </c>
      <c r="G91">
        <v>0</v>
      </c>
      <c r="H91">
        <v>0</v>
      </c>
    </row>
    <row r="92" spans="1:5" ht="12.75">
      <c r="A92" t="s">
        <v>120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8" ht="12.75">
      <c r="A94" t="s">
        <v>122</v>
      </c>
      <c r="C94">
        <v>1</v>
      </c>
      <c r="D94">
        <v>16</v>
      </c>
      <c r="E94" s="12">
        <f t="shared" si="1"/>
        <v>16</v>
      </c>
      <c r="F94">
        <v>16</v>
      </c>
      <c r="G94">
        <v>0</v>
      </c>
      <c r="H94">
        <v>0</v>
      </c>
    </row>
    <row r="95" spans="1:8" ht="12.75">
      <c r="A95" t="s">
        <v>111</v>
      </c>
      <c r="C95">
        <v>1</v>
      </c>
      <c r="D95">
        <v>10</v>
      </c>
      <c r="E95" s="12">
        <f t="shared" si="1"/>
        <v>10</v>
      </c>
      <c r="F95">
        <v>10</v>
      </c>
      <c r="G95">
        <v>0</v>
      </c>
      <c r="H95">
        <v>0</v>
      </c>
    </row>
    <row r="96" spans="1:8" ht="12.75">
      <c r="A96" t="s">
        <v>123</v>
      </c>
      <c r="C96">
        <v>1</v>
      </c>
      <c r="D96">
        <v>15</v>
      </c>
      <c r="E96" s="12">
        <f t="shared" si="1"/>
        <v>15</v>
      </c>
      <c r="F96">
        <v>15</v>
      </c>
      <c r="G96">
        <v>0</v>
      </c>
      <c r="H96">
        <v>0</v>
      </c>
    </row>
    <row r="97" spans="1:8" ht="12.75">
      <c r="A97" t="s">
        <v>110</v>
      </c>
      <c r="C97">
        <v>1</v>
      </c>
      <c r="D97">
        <v>16</v>
      </c>
      <c r="E97" s="12">
        <f t="shared" si="1"/>
        <v>16</v>
      </c>
      <c r="F97">
        <v>16</v>
      </c>
      <c r="G97">
        <v>0</v>
      </c>
      <c r="H97">
        <v>0</v>
      </c>
    </row>
    <row r="98" spans="1:8" ht="12.75">
      <c r="A98" t="s">
        <v>115</v>
      </c>
      <c r="C98">
        <v>1</v>
      </c>
      <c r="D98">
        <v>10</v>
      </c>
      <c r="E98" s="12">
        <f t="shared" si="1"/>
        <v>10</v>
      </c>
      <c r="F98">
        <v>10</v>
      </c>
      <c r="G98">
        <v>0</v>
      </c>
      <c r="H98">
        <v>0</v>
      </c>
    </row>
    <row r="99" spans="1:5" ht="12.75">
      <c r="A99" t="s">
        <v>118</v>
      </c>
      <c r="E99" s="12"/>
    </row>
    <row r="100" spans="1:5" ht="12.75">
      <c r="A100" t="s">
        <v>124</v>
      </c>
      <c r="E100" s="12"/>
    </row>
    <row r="101" spans="1:5" ht="12.75">
      <c r="A101" t="s">
        <v>125</v>
      </c>
      <c r="E101" s="12"/>
    </row>
    <row r="102" spans="1:5" ht="12.75">
      <c r="A102" t="s">
        <v>114</v>
      </c>
      <c r="E102" s="12"/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32</v>
      </c>
      <c r="D106">
        <v>16</v>
      </c>
      <c r="E106" s="12">
        <f>+D106/C106*100</f>
        <v>50</v>
      </c>
      <c r="F106">
        <v>220</v>
      </c>
      <c r="G106">
        <v>1</v>
      </c>
      <c r="H106">
        <v>29</v>
      </c>
      <c r="I106">
        <v>2</v>
      </c>
      <c r="J106" s="8">
        <f>+G106/C106*100</f>
        <v>3.125</v>
      </c>
      <c r="K106" s="12">
        <f>+I106/C106*100</f>
        <v>6.25</v>
      </c>
      <c r="L106" s="12">
        <f>+F106/C106</f>
        <v>6.875</v>
      </c>
      <c r="M106" s="12">
        <f>100*(S106+U106+W106+Y106)/6</f>
        <v>56.770833333333336</v>
      </c>
      <c r="R106">
        <f>+(E106-30)/20</f>
        <v>1</v>
      </c>
      <c r="S106" s="2">
        <f>IF(R106&lt;0,0,IF(R106&gt;2.375,2.375,R106))</f>
        <v>1</v>
      </c>
      <c r="T106" s="6">
        <f>+(L106-3)/4</f>
        <v>0.96875</v>
      </c>
      <c r="U106" s="2">
        <f>IF(T106&lt;0,0,IF(T106&gt;2.375,2.375,T106))</f>
        <v>0.96875</v>
      </c>
      <c r="V106">
        <f>+J106/5</f>
        <v>0.625</v>
      </c>
      <c r="W106" s="2">
        <f>IF(V106&lt;0,0,IF(V106&gt;2.375,2.375,V106))</f>
        <v>0.625</v>
      </c>
      <c r="X106">
        <f>(9.5-K106)/4</f>
        <v>0.8125</v>
      </c>
      <c r="Y106" s="2">
        <f>IF(X106&lt;0,0,X106)</f>
        <v>0.8125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6" ht="12.75">
      <c r="A114" t="s">
        <v>129</v>
      </c>
      <c r="F114" s="12" t="e">
        <f>+E114/C114</f>
        <v>#DIV/0!</v>
      </c>
    </row>
    <row r="115" spans="1:9" ht="12.75">
      <c r="A115" t="s">
        <v>117</v>
      </c>
      <c r="C115">
        <v>3</v>
      </c>
      <c r="D115">
        <v>2</v>
      </c>
      <c r="E115">
        <v>9</v>
      </c>
      <c r="F115" s="12">
        <f>+E115/C115</f>
        <v>3</v>
      </c>
      <c r="G115">
        <v>9</v>
      </c>
      <c r="H115">
        <v>0</v>
      </c>
      <c r="I115">
        <v>1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2</v>
      </c>
      <c r="D120">
        <v>38</v>
      </c>
      <c r="E120" s="12">
        <f aca="true" t="shared" si="2" ref="E120:E126">+D120/C120</f>
        <v>19</v>
      </c>
      <c r="F120">
        <v>30</v>
      </c>
      <c r="G120">
        <v>0</v>
      </c>
      <c r="H120">
        <v>0</v>
      </c>
    </row>
    <row r="121" spans="1:5" ht="12.75">
      <c r="A121" t="s">
        <v>129</v>
      </c>
      <c r="E121" s="12" t="e">
        <f t="shared" si="2"/>
        <v>#DIV/0!</v>
      </c>
    </row>
    <row r="122" spans="1:8" ht="12.75">
      <c r="A122" t="s">
        <v>117</v>
      </c>
      <c r="C122">
        <v>1</v>
      </c>
      <c r="D122">
        <v>27</v>
      </c>
      <c r="E122" s="12">
        <f t="shared" si="2"/>
        <v>27</v>
      </c>
      <c r="F122">
        <v>27</v>
      </c>
      <c r="G122">
        <v>0</v>
      </c>
      <c r="H122">
        <v>0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3</v>
      </c>
      <c r="D129">
        <v>102</v>
      </c>
      <c r="E129" s="12">
        <f>+D129/C129</f>
        <v>34</v>
      </c>
      <c r="F129">
        <v>44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6</v>
      </c>
      <c r="D132">
        <v>5</v>
      </c>
      <c r="E132">
        <v>2</v>
      </c>
      <c r="F132">
        <v>2</v>
      </c>
      <c r="G132">
        <v>4</v>
      </c>
      <c r="H132">
        <v>4</v>
      </c>
      <c r="I132" s="12">
        <f>+H132/G132*100</f>
        <v>100</v>
      </c>
      <c r="J132">
        <v>46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133</v>
      </c>
      <c r="C135">
        <v>1</v>
      </c>
      <c r="D135">
        <v>40</v>
      </c>
      <c r="E135" s="12">
        <f>+D135/C135</f>
        <v>40</v>
      </c>
      <c r="F135">
        <v>40</v>
      </c>
      <c r="G135">
        <v>0</v>
      </c>
      <c r="H135">
        <v>1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140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11</v>
      </c>
      <c r="H160" t="s">
        <v>93</v>
      </c>
      <c r="M160">
        <v>16</v>
      </c>
    </row>
    <row r="161" spans="1:13" ht="12.75">
      <c r="A161" t="s">
        <v>94</v>
      </c>
      <c r="D161">
        <v>4</v>
      </c>
      <c r="H161" t="s">
        <v>94</v>
      </c>
      <c r="M161">
        <v>9</v>
      </c>
    </row>
    <row r="162" spans="1:13" ht="12.75">
      <c r="A162" t="s">
        <v>95</v>
      </c>
      <c r="D162">
        <f>D161/D160*100</f>
        <v>36.36363636363637</v>
      </c>
      <c r="H162" t="s">
        <v>95</v>
      </c>
      <c r="M162">
        <f>+M161/M160*100</f>
        <v>56.25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162"/>
  <sheetViews>
    <sheetView zoomScalePageLayoutView="0" workbookViewId="0" topLeftCell="A40">
      <selection activeCell="W106" sqref="W106:W11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7</v>
      </c>
      <c r="H6" s="1" t="s">
        <v>29</v>
      </c>
      <c r="M6" s="2">
        <f>M7+M8+M9</f>
        <v>34</v>
      </c>
    </row>
    <row r="7" spans="1:13" ht="12.75">
      <c r="A7" s="1" t="s">
        <v>103</v>
      </c>
      <c r="D7" s="2">
        <v>5</v>
      </c>
      <c r="H7" s="1" t="s">
        <v>103</v>
      </c>
      <c r="M7" s="2">
        <v>16</v>
      </c>
    </row>
    <row r="8" spans="1:13" ht="12.75">
      <c r="A8" s="1" t="s">
        <v>105</v>
      </c>
      <c r="D8" s="2">
        <v>2</v>
      </c>
      <c r="H8" s="1" t="s">
        <v>105</v>
      </c>
      <c r="M8" s="2">
        <v>16</v>
      </c>
    </row>
    <row r="9" spans="1:13" ht="12.75">
      <c r="A9" s="1" t="s">
        <v>104</v>
      </c>
      <c r="D9" s="2">
        <v>0</v>
      </c>
      <c r="H9" s="1" t="s">
        <v>104</v>
      </c>
      <c r="M9" s="2">
        <v>2</v>
      </c>
    </row>
    <row r="11" spans="1:23" ht="12.75">
      <c r="A11" t="s">
        <v>1</v>
      </c>
      <c r="D11" s="2">
        <v>22</v>
      </c>
      <c r="H11" t="s">
        <v>1</v>
      </c>
      <c r="M11" s="2">
        <v>44</v>
      </c>
      <c r="V11">
        <f>+D11</f>
        <v>22</v>
      </c>
      <c r="W11">
        <f>+M11</f>
        <v>44</v>
      </c>
    </row>
    <row r="12" spans="1:23" ht="12.75">
      <c r="A12" t="s">
        <v>2</v>
      </c>
      <c r="D12" s="2">
        <v>87</v>
      </c>
      <c r="H12" t="s">
        <v>2</v>
      </c>
      <c r="M12" s="2">
        <v>198</v>
      </c>
      <c r="U12" s="13"/>
      <c r="V12">
        <f>+D16</f>
        <v>8</v>
      </c>
      <c r="W12">
        <f>+M16</f>
        <v>28</v>
      </c>
    </row>
    <row r="13" spans="1:23" ht="12.75">
      <c r="A13" s="1" t="s">
        <v>3</v>
      </c>
      <c r="D13" s="8">
        <f>+D12/D11</f>
        <v>3.9545454545454546</v>
      </c>
      <c r="H13" s="1" t="s">
        <v>3</v>
      </c>
      <c r="M13" s="8">
        <f>+M12/M11</f>
        <v>4.5</v>
      </c>
      <c r="V13">
        <f>+(D15-D16)/2</f>
        <v>4</v>
      </c>
      <c r="W13">
        <f>+(M15-M16)/2</f>
        <v>5.5</v>
      </c>
    </row>
    <row r="14" spans="22:23" ht="12.75">
      <c r="V14">
        <f>+D38/2</f>
        <v>3.5</v>
      </c>
      <c r="W14">
        <f>+M38/2</f>
        <v>1</v>
      </c>
    </row>
    <row r="15" spans="1:23" ht="12.75">
      <c r="A15" t="s">
        <v>4</v>
      </c>
      <c r="D15" s="2">
        <v>16</v>
      </c>
      <c r="H15" t="s">
        <v>4</v>
      </c>
      <c r="M15" s="2">
        <v>39</v>
      </c>
      <c r="V15">
        <f>+D42/2</f>
        <v>0</v>
      </c>
      <c r="W15">
        <f>+M42/2</f>
        <v>2.5</v>
      </c>
    </row>
    <row r="16" spans="1:23" ht="12.75">
      <c r="A16" t="s">
        <v>5</v>
      </c>
      <c r="D16" s="2">
        <v>8</v>
      </c>
      <c r="H16" t="s">
        <v>5</v>
      </c>
      <c r="M16" s="2">
        <v>28</v>
      </c>
      <c r="V16">
        <f>+D48/2</f>
        <v>3</v>
      </c>
      <c r="W16">
        <f>+M48/2</f>
        <v>0.5</v>
      </c>
    </row>
    <row r="17" spans="1:13" ht="12.75">
      <c r="A17" t="s">
        <v>6</v>
      </c>
      <c r="D17" s="8">
        <f>+D16/D15*100</f>
        <v>50</v>
      </c>
      <c r="H17" t="s">
        <v>6</v>
      </c>
      <c r="M17" s="8">
        <f>+M16/M15*100</f>
        <v>71.7948717948718</v>
      </c>
    </row>
    <row r="18" spans="1:24" ht="12.75">
      <c r="A18" t="s">
        <v>7</v>
      </c>
      <c r="D18" s="2">
        <v>60</v>
      </c>
      <c r="H18" t="s">
        <v>7</v>
      </c>
      <c r="M18" s="2">
        <v>361</v>
      </c>
      <c r="V18">
        <f>SUM(V11:V16)</f>
        <v>40.5</v>
      </c>
      <c r="W18">
        <f>SUM(W11:W16)</f>
        <v>81.5</v>
      </c>
      <c r="X18">
        <f>+W18+V18</f>
        <v>122</v>
      </c>
    </row>
    <row r="19" spans="1:23" ht="12.75">
      <c r="A19" t="s">
        <v>8</v>
      </c>
      <c r="D19" s="2">
        <v>2</v>
      </c>
      <c r="H19" t="s">
        <v>8</v>
      </c>
      <c r="M19" s="2">
        <v>0</v>
      </c>
      <c r="V19">
        <f>+V18/X18</f>
        <v>0.3319672131147541</v>
      </c>
      <c r="W19">
        <f>+W18/X18</f>
        <v>0.6680327868852459</v>
      </c>
    </row>
    <row r="20" spans="1:23" ht="12.75">
      <c r="A20" t="s">
        <v>9</v>
      </c>
      <c r="D20" s="2">
        <v>19</v>
      </c>
      <c r="H20" t="s">
        <v>9</v>
      </c>
      <c r="M20" s="2">
        <v>0</v>
      </c>
      <c r="V20">
        <f>+V19*60</f>
        <v>19.918032786885245</v>
      </c>
      <c r="W20">
        <f>+W19*60</f>
        <v>40.08196721311476</v>
      </c>
    </row>
    <row r="21" spans="1:23" ht="12.75">
      <c r="A21" t="s">
        <v>10</v>
      </c>
      <c r="D21">
        <f>+D18-D20</f>
        <v>41</v>
      </c>
      <c r="H21" t="s">
        <v>10</v>
      </c>
      <c r="M21">
        <f>+M18-M20</f>
        <v>361</v>
      </c>
      <c r="V21">
        <f>+V20-INT(V20)</f>
        <v>0.9180327868852451</v>
      </c>
      <c r="W21">
        <f>+W20-INT(W20)</f>
        <v>0.08196721311475841</v>
      </c>
    </row>
    <row r="22" spans="1:23" ht="12.75">
      <c r="A22" t="s">
        <v>11</v>
      </c>
      <c r="D22" s="7">
        <f>+D21/(D15+D19)</f>
        <v>2.2777777777777777</v>
      </c>
      <c r="H22" t="s">
        <v>11</v>
      </c>
      <c r="M22" s="7">
        <f>+M21/(M15+M19)</f>
        <v>9.256410256410257</v>
      </c>
      <c r="V22">
        <f>+V21*60</f>
        <v>55.08196721311471</v>
      </c>
      <c r="W22">
        <f>+W21*60</f>
        <v>4.9180327868855045</v>
      </c>
    </row>
    <row r="23" spans="1:23" ht="12.75">
      <c r="A23" t="s">
        <v>12</v>
      </c>
      <c r="D23" s="7">
        <f>+D18/D16</f>
        <v>7.5</v>
      </c>
      <c r="H23" t="s">
        <v>12</v>
      </c>
      <c r="M23" s="7">
        <f>+M18/M16</f>
        <v>12.892857142857142</v>
      </c>
      <c r="U23">
        <v>0</v>
      </c>
      <c r="V23" s="11">
        <f>ROUND(V22,0)</f>
        <v>55</v>
      </c>
      <c r="W23">
        <f>ROUND(W22,0)</f>
        <v>5</v>
      </c>
    </row>
    <row r="24" spans="22:23" ht="12.75">
      <c r="V24">
        <f>INT(V20)</f>
        <v>19</v>
      </c>
      <c r="W24">
        <f>INT(W20)</f>
        <v>40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128</v>
      </c>
      <c r="H26" t="s">
        <v>14</v>
      </c>
      <c r="M26">
        <f>+M21+M12</f>
        <v>559</v>
      </c>
      <c r="Q26" s="9"/>
      <c r="R26" s="9"/>
      <c r="V26" s="14" t="str">
        <f>+V24&amp;V25&amp;V23</f>
        <v>19:55</v>
      </c>
      <c r="W26" s="9" t="str">
        <f>+W24&amp;W25&amp;W23</f>
        <v>40:5</v>
      </c>
    </row>
    <row r="27" spans="1:23" ht="12.75">
      <c r="A27" t="s">
        <v>15</v>
      </c>
      <c r="D27" s="7">
        <f>+D12/D26*100</f>
        <v>67.96875</v>
      </c>
      <c r="H27" t="s">
        <v>15</v>
      </c>
      <c r="M27" s="7">
        <f>+M12/M26*100</f>
        <v>35.42039355992844</v>
      </c>
      <c r="V27" s="9" t="str">
        <f>IF(V23&lt;10,+V24&amp;V25&amp;$U$23&amp;V23,+V24&amp;V25&amp;V23)</f>
        <v>19:55</v>
      </c>
      <c r="W27" s="9" t="str">
        <f>IF(W23&lt;10,+W24&amp;W25&amp;$U$23&amp;W23,+W24&amp;W25&amp;W23)</f>
        <v>40:05</v>
      </c>
    </row>
    <row r="28" spans="1:13" ht="12.75">
      <c r="A28" s="1" t="s">
        <v>86</v>
      </c>
      <c r="D28" s="7">
        <f>+D21/D26*100</f>
        <v>32.03125</v>
      </c>
      <c r="H28" s="1" t="s">
        <v>86</v>
      </c>
      <c r="M28" s="7">
        <f>+M21/M26*100</f>
        <v>64.57960644007156</v>
      </c>
    </row>
    <row r="30" spans="1:13" ht="12.75">
      <c r="A30" t="s">
        <v>16</v>
      </c>
      <c r="D30">
        <f>+D11+D15+D19</f>
        <v>40</v>
      </c>
      <c r="H30" t="s">
        <v>16</v>
      </c>
      <c r="M30">
        <f>+M11+M15+M19</f>
        <v>83</v>
      </c>
    </row>
    <row r="31" spans="1:13" ht="12.75">
      <c r="A31" t="s">
        <v>17</v>
      </c>
      <c r="D31" s="8">
        <f>+D26/D30</f>
        <v>3.2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6.734939759036145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1</v>
      </c>
    </row>
    <row r="35" spans="1:13" ht="12.75">
      <c r="A35" t="s">
        <v>20</v>
      </c>
      <c r="D35" s="2">
        <v>0</v>
      </c>
      <c r="H35" t="s">
        <v>20</v>
      </c>
      <c r="M35" s="2">
        <v>26</v>
      </c>
    </row>
    <row r="36" spans="1:13" ht="12.75">
      <c r="A36" t="s">
        <v>21</v>
      </c>
      <c r="D36" s="2">
        <v>0</v>
      </c>
      <c r="H36" t="s">
        <v>21</v>
      </c>
      <c r="M36" s="2">
        <v>1</v>
      </c>
    </row>
    <row r="38" spans="1:13" ht="12.75">
      <c r="A38" t="s">
        <v>22</v>
      </c>
      <c r="D38" s="2">
        <v>7</v>
      </c>
      <c r="H38" t="s">
        <v>22</v>
      </c>
      <c r="M38" s="2">
        <v>2</v>
      </c>
    </row>
    <row r="39" spans="1:13" ht="12.75">
      <c r="A39" t="s">
        <v>23</v>
      </c>
      <c r="D39" s="2">
        <v>326</v>
      </c>
      <c r="H39" t="s">
        <v>23</v>
      </c>
      <c r="M39" s="2">
        <v>79</v>
      </c>
    </row>
    <row r="40" spans="1:13" ht="12.75">
      <c r="A40" t="s">
        <v>24</v>
      </c>
      <c r="D40" s="8">
        <f>+D39/D38</f>
        <v>46.57142857142857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39.5</v>
      </c>
    </row>
    <row r="42" spans="1:13" ht="12.75">
      <c r="A42" t="s">
        <v>25</v>
      </c>
      <c r="D42" s="2">
        <v>0</v>
      </c>
      <c r="H42" t="s">
        <v>25</v>
      </c>
      <c r="M42" s="2">
        <v>5</v>
      </c>
    </row>
    <row r="43" spans="1:13" ht="12.75">
      <c r="A43" t="s">
        <v>26</v>
      </c>
      <c r="D43" s="2">
        <v>0</v>
      </c>
      <c r="H43" t="s">
        <v>26</v>
      </c>
      <c r="M43" s="2">
        <v>38</v>
      </c>
    </row>
    <row r="44" spans="1:13" ht="12.75">
      <c r="A44" t="s">
        <v>27</v>
      </c>
      <c r="D44" s="8">
        <v>0</v>
      </c>
      <c r="H44" t="s">
        <v>27</v>
      </c>
      <c r="M44" s="8">
        <f>+M43/M42</f>
        <v>7.6</v>
      </c>
    </row>
    <row r="45" spans="1:13" ht="12.75">
      <c r="A45" t="s">
        <v>106</v>
      </c>
      <c r="D45" s="2">
        <v>1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1</v>
      </c>
    </row>
    <row r="49" spans="1:13" ht="12.75">
      <c r="A49" t="s">
        <v>26</v>
      </c>
      <c r="D49" s="2">
        <v>125</v>
      </c>
      <c r="H49" t="s">
        <v>26</v>
      </c>
      <c r="M49" s="2">
        <v>21</v>
      </c>
    </row>
    <row r="50" spans="1:13" ht="12.75">
      <c r="A50" t="s">
        <v>27</v>
      </c>
      <c r="D50" s="8">
        <f>+D49/D48</f>
        <v>20.833333333333332</v>
      </c>
      <c r="H50" t="s">
        <v>27</v>
      </c>
      <c r="M50" s="8">
        <f>+M49/M48</f>
        <v>21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4</v>
      </c>
      <c r="H53" t="s">
        <v>31</v>
      </c>
      <c r="M53" s="2">
        <v>2</v>
      </c>
    </row>
    <row r="54" spans="1:13" ht="12.75">
      <c r="A54" t="s">
        <v>32</v>
      </c>
      <c r="D54" s="2">
        <v>20</v>
      </c>
      <c r="H54" t="s">
        <v>32</v>
      </c>
      <c r="M54" s="2">
        <v>25</v>
      </c>
    </row>
    <row r="56" spans="1:13" ht="12.75">
      <c r="A56" t="s">
        <v>33</v>
      </c>
      <c r="D56" s="2">
        <v>1</v>
      </c>
      <c r="H56" t="s">
        <v>33</v>
      </c>
      <c r="M56" s="2">
        <v>2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7</v>
      </c>
      <c r="H59" t="s">
        <v>34</v>
      </c>
      <c r="M59" s="2">
        <v>40</v>
      </c>
    </row>
    <row r="60" spans="1:13" ht="12.75">
      <c r="A60" t="s">
        <v>35</v>
      </c>
      <c r="D60" s="2">
        <v>1</v>
      </c>
      <c r="H60" t="s">
        <v>35</v>
      </c>
      <c r="M60" s="2">
        <v>4</v>
      </c>
    </row>
    <row r="61" spans="1:13" ht="12.75">
      <c r="A61" t="s">
        <v>36</v>
      </c>
      <c r="D61" s="2">
        <v>0</v>
      </c>
      <c r="H61" t="s">
        <v>36</v>
      </c>
      <c r="M61" s="2">
        <v>3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4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0</v>
      </c>
      <c r="H66" t="s">
        <v>41</v>
      </c>
      <c r="M66" s="2">
        <v>4</v>
      </c>
    </row>
    <row r="67" spans="1:13" ht="12.75">
      <c r="A67" t="s">
        <v>42</v>
      </c>
      <c r="D67" s="2">
        <v>1</v>
      </c>
      <c r="H67" t="s">
        <v>42</v>
      </c>
      <c r="M67" s="2">
        <v>4</v>
      </c>
    </row>
    <row r="68" spans="1:13" ht="12.75">
      <c r="A68" t="s">
        <v>43</v>
      </c>
      <c r="D68" s="7">
        <f>+D66/D67*100</f>
        <v>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89</v>
      </c>
      <c r="D69" s="10" t="str">
        <f>IF(V23&lt;10,V27,V26)</f>
        <v>19:55</v>
      </c>
      <c r="E69" s="8"/>
      <c r="F69" s="8"/>
      <c r="H69" t="s">
        <v>89</v>
      </c>
      <c r="M69" s="10" t="str">
        <f>IF(W23&lt;10,W27,W26)</f>
        <v>40:05</v>
      </c>
    </row>
    <row r="70" spans="1:13" ht="12.75">
      <c r="A70" t="s">
        <v>102</v>
      </c>
      <c r="D70" s="23">
        <f>D162</f>
        <v>33.33333333333333</v>
      </c>
      <c r="E70" s="8"/>
      <c r="F70" s="8"/>
      <c r="H70" t="s">
        <v>102</v>
      </c>
      <c r="M70" s="23">
        <f>M162</f>
        <v>46.15384615384615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14</v>
      </c>
      <c r="D74">
        <v>67</v>
      </c>
      <c r="E74" s="12">
        <f aca="true" t="shared" si="0" ref="E74:E84">+D74/C74</f>
        <v>4.785714285714286</v>
      </c>
      <c r="F74">
        <v>16</v>
      </c>
      <c r="G74">
        <v>0</v>
      </c>
      <c r="H74">
        <v>1</v>
      </c>
    </row>
    <row r="75" spans="1:8" ht="12.75">
      <c r="A75" t="s">
        <v>110</v>
      </c>
      <c r="C75">
        <v>1</v>
      </c>
      <c r="D75">
        <v>0</v>
      </c>
      <c r="E75" s="12">
        <f t="shared" si="0"/>
        <v>0</v>
      </c>
      <c r="F75">
        <v>0</v>
      </c>
      <c r="G75">
        <v>0</v>
      </c>
      <c r="H75">
        <v>0</v>
      </c>
    </row>
    <row r="76" spans="1:8" ht="12.75">
      <c r="A76" t="s">
        <v>111</v>
      </c>
      <c r="C76">
        <v>6</v>
      </c>
      <c r="D76">
        <v>19</v>
      </c>
      <c r="E76" s="12">
        <f t="shared" si="0"/>
        <v>3.1666666666666665</v>
      </c>
      <c r="F76">
        <v>6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107</v>
      </c>
      <c r="C80">
        <v>2</v>
      </c>
      <c r="D80">
        <v>2</v>
      </c>
      <c r="E80" s="12">
        <f t="shared" si="0"/>
        <v>1</v>
      </c>
      <c r="F80">
        <v>1</v>
      </c>
      <c r="G80">
        <v>0</v>
      </c>
      <c r="H80">
        <v>0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2</v>
      </c>
      <c r="D87">
        <v>2</v>
      </c>
      <c r="E87" s="12">
        <f aca="true" t="shared" si="1" ref="E87:E102">+D87/C87</f>
        <v>1</v>
      </c>
      <c r="F87">
        <v>2</v>
      </c>
      <c r="G87">
        <v>0</v>
      </c>
      <c r="H87">
        <v>0</v>
      </c>
    </row>
    <row r="88" spans="1:8" ht="12.75">
      <c r="A88" t="s">
        <v>109</v>
      </c>
      <c r="C88">
        <v>1</v>
      </c>
      <c r="D88">
        <v>2</v>
      </c>
      <c r="E88" s="12">
        <f t="shared" si="1"/>
        <v>2</v>
      </c>
      <c r="F88">
        <v>2</v>
      </c>
      <c r="G88">
        <v>0</v>
      </c>
      <c r="H88">
        <v>0</v>
      </c>
    </row>
    <row r="89" spans="1:8" ht="12.75">
      <c r="A89" t="s">
        <v>117</v>
      </c>
      <c r="C89">
        <v>3</v>
      </c>
      <c r="D89">
        <v>19</v>
      </c>
      <c r="E89" s="12">
        <f t="shared" si="1"/>
        <v>6.333333333333333</v>
      </c>
      <c r="F89">
        <v>10</v>
      </c>
      <c r="G89">
        <v>0</v>
      </c>
      <c r="H89">
        <v>0</v>
      </c>
    </row>
    <row r="90" spans="1:5" ht="12.75">
      <c r="A90" t="s">
        <v>116</v>
      </c>
      <c r="E90" s="12" t="e">
        <f t="shared" si="1"/>
        <v>#DIV/0!</v>
      </c>
    </row>
    <row r="91" spans="1:8" ht="12.75">
      <c r="A91" t="s">
        <v>112</v>
      </c>
      <c r="C91">
        <v>1</v>
      </c>
      <c r="D91">
        <v>8</v>
      </c>
      <c r="E91" s="12">
        <f t="shared" si="1"/>
        <v>8</v>
      </c>
      <c r="F91">
        <v>8</v>
      </c>
      <c r="G91">
        <v>0</v>
      </c>
      <c r="H91">
        <v>0</v>
      </c>
    </row>
    <row r="92" spans="1:5" ht="12.75">
      <c r="A92" t="s">
        <v>120</v>
      </c>
      <c r="E92" s="12" t="e">
        <f t="shared" si="1"/>
        <v>#DIV/0!</v>
      </c>
    </row>
    <row r="93" spans="1:8" ht="12.75">
      <c r="A93" t="s">
        <v>121</v>
      </c>
      <c r="C93">
        <v>1</v>
      </c>
      <c r="D93">
        <v>29</v>
      </c>
      <c r="E93" s="12">
        <f t="shared" si="1"/>
        <v>29</v>
      </c>
      <c r="F93">
        <v>29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111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16</v>
      </c>
      <c r="D106">
        <v>8</v>
      </c>
      <c r="E106" s="12">
        <f>+D106/C106*100</f>
        <v>50</v>
      </c>
      <c r="F106">
        <v>60</v>
      </c>
      <c r="G106">
        <v>0</v>
      </c>
      <c r="H106">
        <v>29</v>
      </c>
      <c r="I106">
        <v>0</v>
      </c>
      <c r="J106" s="8">
        <f>+G106/C106*100</f>
        <v>0</v>
      </c>
      <c r="K106" s="12">
        <f>+I106/C106*100</f>
        <v>0</v>
      </c>
      <c r="L106" s="12">
        <f>+F106/C106</f>
        <v>3.75</v>
      </c>
      <c r="M106" s="12">
        <f>100*(S106+U106+W106+Y106)/6</f>
        <v>59.375</v>
      </c>
      <c r="R106">
        <f>+(E106-30)/20</f>
        <v>1</v>
      </c>
      <c r="S106" s="2">
        <f>IF(R106&lt;0,0,IF(R106&gt;2.375,2.375,R106))</f>
        <v>1</v>
      </c>
      <c r="T106" s="6">
        <f>+(L106-3)/4</f>
        <v>0.1875</v>
      </c>
      <c r="U106" s="2">
        <f>IF(T106&lt;0,0,IF(T106&gt;2.375,2.375,T106))</f>
        <v>0.1875</v>
      </c>
      <c r="V106">
        <f>+J106/5</f>
        <v>0</v>
      </c>
      <c r="W106" s="2">
        <f>IF(V106&lt;0,0,IF(V106&gt;2.375,2.375,V106))</f>
        <v>0</v>
      </c>
      <c r="X106">
        <f>(9.5-K106)/4</f>
        <v>2.375</v>
      </c>
      <c r="Y106" s="2">
        <f>IF(X106&lt;0,0,X106)</f>
        <v>2.375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6" ht="12.75">
      <c r="A114" t="s">
        <v>129</v>
      </c>
      <c r="F114" s="12" t="e">
        <f>+E114/C114</f>
        <v>#DIV/0!</v>
      </c>
    </row>
    <row r="115" spans="1:9" ht="12.75">
      <c r="A115" t="s">
        <v>117</v>
      </c>
      <c r="C115">
        <v>0</v>
      </c>
      <c r="D115">
        <v>1</v>
      </c>
      <c r="E115">
        <v>0</v>
      </c>
      <c r="F115" s="12">
        <v>0</v>
      </c>
      <c r="G115">
        <v>0</v>
      </c>
      <c r="H115">
        <v>0</v>
      </c>
      <c r="I115">
        <v>0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5</v>
      </c>
      <c r="D120">
        <v>111</v>
      </c>
      <c r="E120" s="12">
        <f aca="true" t="shared" si="2" ref="E120:E126">+D120/C120</f>
        <v>22.2</v>
      </c>
      <c r="F120">
        <v>39</v>
      </c>
      <c r="G120">
        <v>0</v>
      </c>
      <c r="H120">
        <v>0</v>
      </c>
    </row>
    <row r="121" spans="1:5" ht="12.75">
      <c r="A121" t="s">
        <v>129</v>
      </c>
      <c r="E121" s="12" t="e">
        <f t="shared" si="2"/>
        <v>#DIV/0!</v>
      </c>
    </row>
    <row r="122" spans="1:8" ht="12.75">
      <c r="A122" t="s">
        <v>117</v>
      </c>
      <c r="C122">
        <v>1</v>
      </c>
      <c r="D122">
        <v>14</v>
      </c>
      <c r="E122" s="12">
        <f t="shared" si="2"/>
        <v>14</v>
      </c>
      <c r="F122">
        <v>14</v>
      </c>
      <c r="G122">
        <v>0</v>
      </c>
      <c r="H122">
        <v>0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7</v>
      </c>
      <c r="D129">
        <v>326</v>
      </c>
      <c r="E129" s="12">
        <f>+D129/C129</f>
        <v>46.57142857142857</v>
      </c>
      <c r="F129">
        <v>62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2</v>
      </c>
      <c r="D132">
        <v>1</v>
      </c>
      <c r="E132">
        <v>0</v>
      </c>
      <c r="F132">
        <v>0</v>
      </c>
      <c r="G132">
        <v>1</v>
      </c>
      <c r="H132">
        <v>0</v>
      </c>
      <c r="I132" s="12">
        <f>+H132/G132*100</f>
        <v>0</v>
      </c>
      <c r="J132">
        <v>0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8" ht="12.75">
      <c r="A136" t="s">
        <v>134</v>
      </c>
      <c r="C136">
        <v>1</v>
      </c>
      <c r="D136">
        <v>26</v>
      </c>
      <c r="E136" s="12">
        <f aca="true" t="shared" si="3" ref="E136:E143">+D136/C136</f>
        <v>26</v>
      </c>
      <c r="F136">
        <v>26</v>
      </c>
      <c r="G136">
        <v>1</v>
      </c>
      <c r="H136">
        <v>0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140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12</v>
      </c>
      <c r="H160" t="s">
        <v>93</v>
      </c>
      <c r="M160">
        <v>13</v>
      </c>
    </row>
    <row r="161" spans="1:13" ht="12.75">
      <c r="A161" t="s">
        <v>94</v>
      </c>
      <c r="D161">
        <v>4</v>
      </c>
      <c r="H161" t="s">
        <v>94</v>
      </c>
      <c r="M161">
        <v>6</v>
      </c>
    </row>
    <row r="162" spans="1:13" ht="12.75">
      <c r="A162" t="s">
        <v>95</v>
      </c>
      <c r="D162" s="8">
        <f>D161/D160*100</f>
        <v>33.33333333333333</v>
      </c>
      <c r="H162" t="s">
        <v>95</v>
      </c>
      <c r="M162" s="8">
        <f>+M161/M160*100</f>
        <v>46.15384615384615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62"/>
  <sheetViews>
    <sheetView zoomScalePageLayoutView="0" workbookViewId="0" topLeftCell="A1">
      <selection activeCell="W106" sqref="W106:W11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16" ht="12.75">
      <c r="A3" s="2" t="s">
        <v>0</v>
      </c>
      <c r="H3" s="2" t="s">
        <v>44</v>
      </c>
      <c r="P3" s="16"/>
    </row>
    <row r="6" spans="1:13" ht="12.75">
      <c r="A6" s="1" t="s">
        <v>29</v>
      </c>
      <c r="D6" s="2">
        <f>D7+D8+D9</f>
        <v>10</v>
      </c>
      <c r="H6" s="1" t="s">
        <v>29</v>
      </c>
      <c r="M6" s="2">
        <f>M7+M8+M9</f>
        <v>25</v>
      </c>
    </row>
    <row r="7" spans="1:13" ht="12.75">
      <c r="A7" s="1" t="s">
        <v>103</v>
      </c>
      <c r="D7" s="2">
        <v>3</v>
      </c>
      <c r="H7" s="1" t="s">
        <v>103</v>
      </c>
      <c r="M7" s="2">
        <v>11</v>
      </c>
    </row>
    <row r="8" spans="1:13" ht="12.75">
      <c r="A8" s="1" t="s">
        <v>105</v>
      </c>
      <c r="D8" s="2">
        <v>6</v>
      </c>
      <c r="H8" s="1" t="s">
        <v>105</v>
      </c>
      <c r="M8" s="2">
        <v>12</v>
      </c>
    </row>
    <row r="9" spans="1:13" ht="12.75">
      <c r="A9" s="1" t="s">
        <v>104</v>
      </c>
      <c r="D9" s="2">
        <v>1</v>
      </c>
      <c r="H9" s="1" t="s">
        <v>104</v>
      </c>
      <c r="M9" s="2">
        <v>2</v>
      </c>
    </row>
    <row r="11" spans="1:23" ht="12.75">
      <c r="A11" t="s">
        <v>1</v>
      </c>
      <c r="D11" s="2">
        <v>27</v>
      </c>
      <c r="H11" t="s">
        <v>1</v>
      </c>
      <c r="M11" s="2">
        <v>33</v>
      </c>
      <c r="V11">
        <f>+D11</f>
        <v>27</v>
      </c>
      <c r="W11">
        <f>+M11</f>
        <v>33</v>
      </c>
    </row>
    <row r="12" spans="1:23" ht="12.75">
      <c r="A12" t="s">
        <v>2</v>
      </c>
      <c r="D12" s="2">
        <v>89</v>
      </c>
      <c r="H12" t="s">
        <v>2</v>
      </c>
      <c r="M12" s="2">
        <v>113</v>
      </c>
      <c r="U12" s="13"/>
      <c r="V12">
        <f>+D16</f>
        <v>14</v>
      </c>
      <c r="W12">
        <f>+M16</f>
        <v>18</v>
      </c>
    </row>
    <row r="13" spans="1:23" ht="12.75">
      <c r="A13" s="1" t="s">
        <v>3</v>
      </c>
      <c r="D13" s="8">
        <f>+D12/D11</f>
        <v>3.2962962962962963</v>
      </c>
      <c r="H13" s="1" t="s">
        <v>3</v>
      </c>
      <c r="M13" s="8">
        <f>+M12/M11</f>
        <v>3.4242424242424243</v>
      </c>
      <c r="V13">
        <f>+(D15-D16)/2</f>
        <v>6</v>
      </c>
      <c r="W13">
        <f>+(M15-M16)/2</f>
        <v>8</v>
      </c>
    </row>
    <row r="14" spans="16:23" ht="12.75">
      <c r="P14" s="18"/>
      <c r="V14">
        <f>+D38/2</f>
        <v>5.5</v>
      </c>
      <c r="W14">
        <f>+M38/2</f>
        <v>3</v>
      </c>
    </row>
    <row r="15" spans="1:23" ht="12.75">
      <c r="A15" t="s">
        <v>4</v>
      </c>
      <c r="D15" s="2">
        <v>26</v>
      </c>
      <c r="F15" s="17"/>
      <c r="H15" t="s">
        <v>4</v>
      </c>
      <c r="M15" s="2">
        <v>34</v>
      </c>
      <c r="V15">
        <f>+D42/2</f>
        <v>1</v>
      </c>
      <c r="W15">
        <f>+M42/2</f>
        <v>4.5</v>
      </c>
    </row>
    <row r="16" spans="1:23" ht="12.75">
      <c r="A16" t="s">
        <v>5</v>
      </c>
      <c r="D16" s="2">
        <v>14</v>
      </c>
      <c r="F16" s="19"/>
      <c r="H16" t="s">
        <v>5</v>
      </c>
      <c r="M16" s="2">
        <v>18</v>
      </c>
      <c r="V16">
        <f>+D48/2</f>
        <v>4</v>
      </c>
      <c r="W16">
        <f>+M48/2</f>
        <v>0.5</v>
      </c>
    </row>
    <row r="17" spans="1:13" ht="12.75">
      <c r="A17" t="s">
        <v>6</v>
      </c>
      <c r="D17" s="8">
        <f>+D16/D15*100</f>
        <v>53.84615384615385</v>
      </c>
      <c r="F17" s="19"/>
      <c r="H17" t="s">
        <v>6</v>
      </c>
      <c r="M17" s="8">
        <f>+M16/M15*100</f>
        <v>52.94117647058824</v>
      </c>
    </row>
    <row r="18" spans="1:24" ht="12.75">
      <c r="A18" t="s">
        <v>7</v>
      </c>
      <c r="D18" s="2">
        <v>109</v>
      </c>
      <c r="F18" s="19"/>
      <c r="H18" t="s">
        <v>7</v>
      </c>
      <c r="M18" s="2">
        <v>233</v>
      </c>
      <c r="V18">
        <f>SUM(V11:V16)</f>
        <v>57.5</v>
      </c>
      <c r="W18">
        <f>SUM(W11:W16)</f>
        <v>67</v>
      </c>
      <c r="X18">
        <f>+W18+V18</f>
        <v>124.5</v>
      </c>
    </row>
    <row r="19" spans="1:23" ht="12.75">
      <c r="A19" t="s">
        <v>8</v>
      </c>
      <c r="D19" s="2">
        <v>6</v>
      </c>
      <c r="F19" s="19"/>
      <c r="H19" t="s">
        <v>8</v>
      </c>
      <c r="M19" s="2">
        <v>1</v>
      </c>
      <c r="V19">
        <f>+V18/X18</f>
        <v>0.46184738955823296</v>
      </c>
      <c r="W19">
        <f>+W18/X18</f>
        <v>0.5381526104417671</v>
      </c>
    </row>
    <row r="20" spans="1:23" ht="12.75">
      <c r="A20" t="s">
        <v>9</v>
      </c>
      <c r="D20" s="2">
        <v>36</v>
      </c>
      <c r="F20" s="19"/>
      <c r="H20" t="s">
        <v>9</v>
      </c>
      <c r="M20" s="2">
        <v>3</v>
      </c>
      <c r="V20">
        <f>+V19*60</f>
        <v>27.710843373493976</v>
      </c>
      <c r="W20">
        <f>+W19*60</f>
        <v>32.28915662650603</v>
      </c>
    </row>
    <row r="21" spans="1:23" ht="12.75">
      <c r="A21" t="s">
        <v>10</v>
      </c>
      <c r="D21">
        <f>+D18-D20</f>
        <v>73</v>
      </c>
      <c r="F21" s="19"/>
      <c r="H21" t="s">
        <v>10</v>
      </c>
      <c r="M21">
        <f>+M18-M20</f>
        <v>230</v>
      </c>
      <c r="V21">
        <f>+V20-INT(V20)</f>
        <v>0.7108433734939759</v>
      </c>
      <c r="W21">
        <f>+W20-INT(W20)</f>
        <v>0.2891566265060277</v>
      </c>
    </row>
    <row r="22" spans="1:23" ht="12.75">
      <c r="A22" t="s">
        <v>11</v>
      </c>
      <c r="D22" s="7">
        <f>+D21/(D15+D19)</f>
        <v>2.28125</v>
      </c>
      <c r="F22" s="19"/>
      <c r="H22" t="s">
        <v>11</v>
      </c>
      <c r="M22" s="7">
        <f>+M21/(M15+M19)</f>
        <v>6.571428571428571</v>
      </c>
      <c r="V22">
        <f>+V21*60</f>
        <v>42.65060240963855</v>
      </c>
      <c r="W22">
        <f>+W21*60</f>
        <v>17.34939759036166</v>
      </c>
    </row>
    <row r="23" spans="1:23" ht="12.75">
      <c r="A23" t="s">
        <v>12</v>
      </c>
      <c r="D23" s="7">
        <f>+D18/D16</f>
        <v>7.785714285714286</v>
      </c>
      <c r="F23" s="19"/>
      <c r="H23" t="s">
        <v>12</v>
      </c>
      <c r="M23" s="7">
        <f>+M18/M16</f>
        <v>12.944444444444445</v>
      </c>
      <c r="U23">
        <v>0</v>
      </c>
      <c r="V23" s="11">
        <f>ROUND(V22,0)</f>
        <v>43</v>
      </c>
      <c r="W23">
        <f>ROUND(W22,0)</f>
        <v>17</v>
      </c>
    </row>
    <row r="24" spans="6:23" ht="12.75">
      <c r="F24" s="19"/>
      <c r="V24">
        <f>INT(V20)</f>
        <v>27</v>
      </c>
      <c r="W24">
        <f>INT(W20)</f>
        <v>32</v>
      </c>
    </row>
    <row r="25" spans="1:23" ht="12.75">
      <c r="A25" t="s">
        <v>13</v>
      </c>
      <c r="F25" s="19"/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162</v>
      </c>
      <c r="F26" s="19"/>
      <c r="H26" t="s">
        <v>14</v>
      </c>
      <c r="M26">
        <f>+M21+M12</f>
        <v>343</v>
      </c>
      <c r="Q26" s="9"/>
      <c r="R26" s="9"/>
      <c r="V26" s="14" t="str">
        <f>+V24&amp;V25&amp;V23</f>
        <v>27:43</v>
      </c>
      <c r="W26" s="9" t="str">
        <f>+W24&amp;W25&amp;W23</f>
        <v>32:17</v>
      </c>
    </row>
    <row r="27" spans="1:23" ht="12.75">
      <c r="A27" t="s">
        <v>15</v>
      </c>
      <c r="D27" s="7">
        <f>+D12/D26*100</f>
        <v>54.93827160493827</v>
      </c>
      <c r="F27" s="19"/>
      <c r="H27" t="s">
        <v>15</v>
      </c>
      <c r="M27" s="7">
        <f>+M12/M26*100</f>
        <v>32.94460641399417</v>
      </c>
      <c r="V27" s="9" t="str">
        <f>IF(V23&lt;10,+V24&amp;V25&amp;$U$23&amp;V23,+V24&amp;V25&amp;V23)</f>
        <v>27:43</v>
      </c>
      <c r="W27" s="9" t="str">
        <f>IF(W23&lt;10,+W24&amp;W25&amp;$U$23&amp;W23,+W24&amp;W25&amp;W23)</f>
        <v>32:17</v>
      </c>
    </row>
    <row r="28" spans="1:13" ht="12.75">
      <c r="A28" s="1" t="s">
        <v>86</v>
      </c>
      <c r="D28" s="7">
        <f>+D21/D26*100</f>
        <v>45.06172839506173</v>
      </c>
      <c r="F28" s="19"/>
      <c r="H28" s="1" t="s">
        <v>86</v>
      </c>
      <c r="M28" s="7">
        <f>+M21/M26*100</f>
        <v>67.05539358600583</v>
      </c>
    </row>
    <row r="29" ht="12.75">
      <c r="F29" s="19"/>
    </row>
    <row r="30" spans="1:13" ht="12.75">
      <c r="A30" t="s">
        <v>16</v>
      </c>
      <c r="D30">
        <f>+D6+D15+D19</f>
        <v>42</v>
      </c>
      <c r="F30" s="19"/>
      <c r="H30" t="s">
        <v>16</v>
      </c>
      <c r="M30">
        <f>+M11+M15+M19</f>
        <v>68</v>
      </c>
    </row>
    <row r="31" spans="1:13" ht="12.75">
      <c r="A31" t="s">
        <v>17</v>
      </c>
      <c r="D31" s="8">
        <f>+D26/D30</f>
        <v>3.857142857142857</v>
      </c>
      <c r="E31" s="7"/>
      <c r="F31" s="20"/>
      <c r="G31" s="7"/>
      <c r="H31" s="7" t="s">
        <v>17</v>
      </c>
      <c r="I31" s="7"/>
      <c r="J31" s="7"/>
      <c r="K31" s="7"/>
      <c r="L31" s="7"/>
      <c r="M31" s="8">
        <f>+M26/M30</f>
        <v>5.044117647058823</v>
      </c>
    </row>
    <row r="32" ht="12.75">
      <c r="F32" s="19"/>
    </row>
    <row r="33" spans="1:8" ht="12.75">
      <c r="A33" t="s">
        <v>18</v>
      </c>
      <c r="F33" s="17"/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11</v>
      </c>
      <c r="H38" t="s">
        <v>22</v>
      </c>
      <c r="M38" s="2">
        <v>6</v>
      </c>
    </row>
    <row r="39" spans="1:13" ht="12.75">
      <c r="A39" t="s">
        <v>23</v>
      </c>
      <c r="D39" s="2">
        <v>518</v>
      </c>
      <c r="H39" t="s">
        <v>23</v>
      </c>
      <c r="M39" s="2">
        <v>246</v>
      </c>
    </row>
    <row r="40" spans="1:13" ht="12.75">
      <c r="A40" t="s">
        <v>24</v>
      </c>
      <c r="D40" s="8">
        <f>+D39/D38</f>
        <v>47.09090909090909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41</v>
      </c>
    </row>
    <row r="42" spans="1:13" ht="12.75">
      <c r="A42" t="s">
        <v>25</v>
      </c>
      <c r="D42" s="2">
        <v>2</v>
      </c>
      <c r="H42" t="s">
        <v>25</v>
      </c>
      <c r="M42" s="2">
        <v>9</v>
      </c>
    </row>
    <row r="43" spans="1:13" ht="12.75">
      <c r="A43" t="s">
        <v>26</v>
      </c>
      <c r="D43" s="2">
        <v>9</v>
      </c>
      <c r="H43" t="s">
        <v>26</v>
      </c>
      <c r="M43" s="2">
        <v>222</v>
      </c>
    </row>
    <row r="44" spans="1:13" ht="12.75">
      <c r="A44" t="s">
        <v>27</v>
      </c>
      <c r="D44" s="8">
        <f>+D43/D42</f>
        <v>4.5</v>
      </c>
      <c r="H44" t="s">
        <v>27</v>
      </c>
      <c r="M44" s="8">
        <f>+M43/M42</f>
        <v>24.666666666666668</v>
      </c>
    </row>
    <row r="45" spans="1:13" ht="12.75">
      <c r="A45" t="s">
        <v>106</v>
      </c>
      <c r="D45" s="2">
        <v>2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8</v>
      </c>
      <c r="H48" t="s">
        <v>30</v>
      </c>
      <c r="M48" s="2">
        <v>1</v>
      </c>
    </row>
    <row r="49" spans="1:13" ht="12.75">
      <c r="A49" t="s">
        <v>26</v>
      </c>
      <c r="D49" s="2">
        <v>147</v>
      </c>
      <c r="H49" t="s">
        <v>26</v>
      </c>
      <c r="M49" s="2">
        <v>27</v>
      </c>
    </row>
    <row r="50" spans="1:13" ht="12.75">
      <c r="A50" t="s">
        <v>27</v>
      </c>
      <c r="D50" s="8">
        <f>+D49/D48</f>
        <v>18.375</v>
      </c>
      <c r="H50" t="s">
        <v>27</v>
      </c>
      <c r="M50" s="8">
        <f>+M49/M48</f>
        <v>27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4</v>
      </c>
      <c r="H53" t="s">
        <v>31</v>
      </c>
      <c r="M53" s="2">
        <v>4</v>
      </c>
    </row>
    <row r="54" spans="1:13" ht="12.75">
      <c r="A54" t="s">
        <v>32</v>
      </c>
      <c r="D54" s="2">
        <v>42</v>
      </c>
      <c r="H54" t="s">
        <v>32</v>
      </c>
      <c r="M54" s="2">
        <v>25</v>
      </c>
    </row>
    <row r="56" spans="1:13" ht="12.75">
      <c r="A56" t="s">
        <v>33</v>
      </c>
      <c r="D56" s="2">
        <v>0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10</v>
      </c>
      <c r="H59" t="s">
        <v>34</v>
      </c>
      <c r="M59" s="2">
        <v>45</v>
      </c>
    </row>
    <row r="60" spans="1:13" ht="12.75">
      <c r="A60" t="s">
        <v>35</v>
      </c>
      <c r="D60" s="2">
        <v>1</v>
      </c>
      <c r="H60" t="s">
        <v>35</v>
      </c>
      <c r="M60" s="2">
        <v>6</v>
      </c>
    </row>
    <row r="61" spans="1:13" ht="12.75">
      <c r="A61" t="s">
        <v>36</v>
      </c>
      <c r="D61" s="2">
        <v>1</v>
      </c>
      <c r="H61" t="s">
        <v>36</v>
      </c>
      <c r="M61" s="2">
        <v>4</v>
      </c>
    </row>
    <row r="62" spans="1:13" ht="12.75">
      <c r="A62" t="s">
        <v>37</v>
      </c>
      <c r="D62" s="2">
        <v>0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6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1</v>
      </c>
    </row>
    <row r="67" spans="1:13" ht="12.75">
      <c r="A67" t="s">
        <v>42</v>
      </c>
      <c r="D67" s="2">
        <v>1</v>
      </c>
      <c r="H67" t="s">
        <v>42</v>
      </c>
      <c r="M67" s="2">
        <v>1</v>
      </c>
    </row>
    <row r="68" spans="1:13" ht="12.75">
      <c r="A68" t="s">
        <v>43</v>
      </c>
      <c r="D68" s="7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89</v>
      </c>
      <c r="D69" s="10" t="str">
        <f>IF(V23&lt;10,V27,V26)</f>
        <v>27:43</v>
      </c>
      <c r="E69" s="8"/>
      <c r="F69" s="8"/>
      <c r="H69" t="s">
        <v>89</v>
      </c>
      <c r="M69" s="10" t="str">
        <f>IF(W23&lt;10,W27,W26)</f>
        <v>32:17</v>
      </c>
    </row>
    <row r="70" spans="1:13" ht="12.75">
      <c r="A70" t="s">
        <v>102</v>
      </c>
      <c r="D70" s="23">
        <f>D162</f>
        <v>12.5</v>
      </c>
      <c r="E70" s="8"/>
      <c r="F70" s="8"/>
      <c r="H70" t="s">
        <v>102</v>
      </c>
      <c r="M70" s="23">
        <f>M162</f>
        <v>43.75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19</v>
      </c>
      <c r="D74">
        <v>83</v>
      </c>
      <c r="E74" s="12">
        <f aca="true" t="shared" si="0" ref="E74:E84">+D74/C74</f>
        <v>4.368421052631579</v>
      </c>
      <c r="F74">
        <v>41</v>
      </c>
      <c r="G74">
        <v>1</v>
      </c>
      <c r="H74">
        <v>0</v>
      </c>
    </row>
    <row r="75" spans="1:5" ht="12.75">
      <c r="A75" t="s">
        <v>110</v>
      </c>
      <c r="E75" s="12" t="e">
        <f t="shared" si="0"/>
        <v>#DIV/0!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5</v>
      </c>
      <c r="D77">
        <v>-4</v>
      </c>
      <c r="E77" s="12">
        <f t="shared" si="0"/>
        <v>-0.8</v>
      </c>
      <c r="F77">
        <v>3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107</v>
      </c>
      <c r="C80">
        <v>3</v>
      </c>
      <c r="D80">
        <v>10</v>
      </c>
      <c r="E80" s="12">
        <f t="shared" si="0"/>
        <v>3.3333333333333335</v>
      </c>
      <c r="F80">
        <v>5</v>
      </c>
      <c r="G80">
        <v>0</v>
      </c>
      <c r="H80">
        <v>0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5" ht="12.75">
      <c r="A87" t="s">
        <v>119</v>
      </c>
      <c r="E87" s="12" t="e">
        <f aca="true" t="shared" si="1" ref="E87:E102">+D87/C87</f>
        <v>#DIV/0!</v>
      </c>
    </row>
    <row r="88" spans="1:8" ht="12.75">
      <c r="A88" t="s">
        <v>109</v>
      </c>
      <c r="C88">
        <v>3</v>
      </c>
      <c r="D88">
        <v>1</v>
      </c>
      <c r="E88" s="12">
        <f t="shared" si="1"/>
        <v>0.3333333333333333</v>
      </c>
      <c r="F88">
        <v>2</v>
      </c>
      <c r="G88">
        <v>0</v>
      </c>
      <c r="H88">
        <v>0</v>
      </c>
    </row>
    <row r="89" spans="1:8" ht="12.75">
      <c r="A89" t="s">
        <v>117</v>
      </c>
      <c r="C89">
        <v>3</v>
      </c>
      <c r="D89">
        <v>53</v>
      </c>
      <c r="E89" s="12">
        <f t="shared" si="1"/>
        <v>17.666666666666668</v>
      </c>
      <c r="F89">
        <v>29</v>
      </c>
      <c r="G89">
        <v>0</v>
      </c>
      <c r="H89">
        <v>0</v>
      </c>
    </row>
    <row r="90" spans="1:8" ht="12.75">
      <c r="A90" t="s">
        <v>116</v>
      </c>
      <c r="C90">
        <v>1</v>
      </c>
      <c r="D90">
        <v>10</v>
      </c>
      <c r="E90" s="12">
        <f t="shared" si="1"/>
        <v>10</v>
      </c>
      <c r="F90">
        <v>10</v>
      </c>
      <c r="G90">
        <v>0</v>
      </c>
      <c r="H90">
        <v>0</v>
      </c>
    </row>
    <row r="91" spans="1:8" ht="12.75">
      <c r="A91" t="s">
        <v>112</v>
      </c>
      <c r="C91">
        <v>2</v>
      </c>
      <c r="D91">
        <v>5</v>
      </c>
      <c r="E91" s="12">
        <f t="shared" si="1"/>
        <v>2.5</v>
      </c>
      <c r="F91">
        <v>5</v>
      </c>
      <c r="G91">
        <v>0</v>
      </c>
      <c r="H91">
        <v>0</v>
      </c>
    </row>
    <row r="92" spans="1:8" ht="12.75">
      <c r="A92" t="s">
        <v>120</v>
      </c>
      <c r="C92">
        <v>2</v>
      </c>
      <c r="D92">
        <v>21</v>
      </c>
      <c r="E92" s="12">
        <f t="shared" si="1"/>
        <v>10.5</v>
      </c>
      <c r="F92">
        <v>11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8" ht="12.75">
      <c r="A95" t="s">
        <v>111</v>
      </c>
      <c r="C95">
        <v>3</v>
      </c>
      <c r="D95">
        <v>19</v>
      </c>
      <c r="E95" s="12">
        <f t="shared" si="1"/>
        <v>6.333333333333333</v>
      </c>
      <c r="F95">
        <v>9</v>
      </c>
      <c r="G95">
        <v>0</v>
      </c>
      <c r="H95">
        <v>0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26</v>
      </c>
      <c r="D106">
        <v>14</v>
      </c>
      <c r="E106" s="12">
        <f>+D106/C106*100</f>
        <v>53.84615384615385</v>
      </c>
      <c r="F106">
        <v>109</v>
      </c>
      <c r="G106">
        <v>0</v>
      </c>
      <c r="H106">
        <v>29</v>
      </c>
      <c r="I106">
        <v>0</v>
      </c>
      <c r="J106" s="8">
        <f>+G106/C106*100</f>
        <v>0</v>
      </c>
      <c r="K106" s="12">
        <f>+I106/C106*100</f>
        <v>0</v>
      </c>
      <c r="L106" s="12">
        <f>+F106/C106</f>
        <v>4.1923076923076925</v>
      </c>
      <c r="M106" s="12">
        <f>100*(S106+U106+W106+Y106)/6</f>
        <v>64.42307692307692</v>
      </c>
      <c r="R106">
        <f>+(E106-30)/20</f>
        <v>1.1923076923076923</v>
      </c>
      <c r="S106" s="2">
        <f>IF(R106&lt;0,0,IF(R106&gt;2.375,2.375,R106))</f>
        <v>1.1923076923076923</v>
      </c>
      <c r="T106" s="6">
        <f>+(L106-3)/4</f>
        <v>0.29807692307692313</v>
      </c>
      <c r="U106" s="2">
        <f>IF(T106&lt;0,0,IF(T106&gt;2.375,2.375,T106))</f>
        <v>0.29807692307692313</v>
      </c>
      <c r="V106">
        <f>+J106/5</f>
        <v>0</v>
      </c>
      <c r="W106" s="2">
        <f>IF(V106&lt;0,0,IF(V106&gt;2.375,2.375,V106))</f>
        <v>0</v>
      </c>
      <c r="X106">
        <f>(9.5-K106)/4</f>
        <v>2.375</v>
      </c>
      <c r="Y106" s="2">
        <f>IF(X106&lt;0,0,X106)</f>
        <v>2.375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2</v>
      </c>
      <c r="D114">
        <v>2</v>
      </c>
      <c r="E114">
        <v>9</v>
      </c>
      <c r="F114" s="12">
        <f>+E114/C114</f>
        <v>4.5</v>
      </c>
      <c r="G114">
        <v>9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4</v>
      </c>
      <c r="D120">
        <v>82</v>
      </c>
      <c r="E120" s="12">
        <f aca="true" t="shared" si="2" ref="E120:E126">+D120/C120</f>
        <v>20.5</v>
      </c>
      <c r="F120">
        <v>31</v>
      </c>
      <c r="G120">
        <v>0</v>
      </c>
      <c r="H120">
        <v>0</v>
      </c>
    </row>
    <row r="121" spans="1:8" ht="12.75">
      <c r="A121" t="s">
        <v>129</v>
      </c>
      <c r="C121">
        <v>4</v>
      </c>
      <c r="D121">
        <v>65</v>
      </c>
      <c r="E121" s="12">
        <f t="shared" si="2"/>
        <v>16.25</v>
      </c>
      <c r="F121">
        <v>26</v>
      </c>
      <c r="G121">
        <v>0</v>
      </c>
      <c r="H121">
        <v>0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11</v>
      </c>
      <c r="D129">
        <v>518</v>
      </c>
      <c r="E129" s="12">
        <f>+D129/C129</f>
        <v>47.09090909090909</v>
      </c>
      <c r="F129">
        <v>60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3</v>
      </c>
      <c r="D132">
        <v>2</v>
      </c>
      <c r="E132">
        <v>1</v>
      </c>
      <c r="F132">
        <v>1</v>
      </c>
      <c r="G132">
        <v>1</v>
      </c>
      <c r="H132">
        <v>1</v>
      </c>
      <c r="I132" s="12">
        <f>+H132/G132*100</f>
        <v>100</v>
      </c>
      <c r="J132">
        <v>38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140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spans="1:3" ht="12.75">
      <c r="A154" t="s">
        <v>138</v>
      </c>
      <c r="C154">
        <v>1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16</v>
      </c>
      <c r="H160" t="s">
        <v>93</v>
      </c>
      <c r="M160">
        <v>16</v>
      </c>
    </row>
    <row r="161" spans="1:13" ht="12.75">
      <c r="A161" t="s">
        <v>94</v>
      </c>
      <c r="D161">
        <v>2</v>
      </c>
      <c r="H161" t="s">
        <v>94</v>
      </c>
      <c r="M161">
        <v>7</v>
      </c>
    </row>
    <row r="162" spans="1:13" ht="12.75">
      <c r="A162" t="s">
        <v>95</v>
      </c>
      <c r="D162">
        <f>D161/D160*100</f>
        <v>12.5</v>
      </c>
      <c r="H162" t="s">
        <v>95</v>
      </c>
      <c r="M162">
        <f>+M161/M160*100</f>
        <v>43.75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Y162"/>
  <sheetViews>
    <sheetView zoomScalePageLayoutView="0" workbookViewId="0" topLeftCell="A1">
      <selection activeCell="W106" sqref="W10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14</v>
      </c>
      <c r="H6" s="1" t="s">
        <v>29</v>
      </c>
      <c r="M6" s="2">
        <f>M7+M8+M9</f>
        <v>20</v>
      </c>
    </row>
    <row r="7" spans="1:13" ht="12.75">
      <c r="A7" s="1" t="s">
        <v>103</v>
      </c>
      <c r="D7" s="2">
        <v>6</v>
      </c>
      <c r="H7" s="1" t="s">
        <v>103</v>
      </c>
      <c r="M7" s="2">
        <v>10</v>
      </c>
    </row>
    <row r="8" spans="1:13" ht="12.75">
      <c r="A8" s="1" t="s">
        <v>105</v>
      </c>
      <c r="D8" s="2">
        <v>7</v>
      </c>
      <c r="H8" s="1" t="s">
        <v>105</v>
      </c>
      <c r="M8" s="2">
        <v>10</v>
      </c>
    </row>
    <row r="9" spans="1:13" ht="12.75">
      <c r="A9" s="1" t="s">
        <v>104</v>
      </c>
      <c r="D9" s="2">
        <v>1</v>
      </c>
      <c r="H9" s="1" t="s">
        <v>104</v>
      </c>
      <c r="M9" s="2">
        <v>0</v>
      </c>
    </row>
    <row r="11" spans="1:23" ht="12.75">
      <c r="A11" t="s">
        <v>1</v>
      </c>
      <c r="D11" s="2">
        <v>28</v>
      </c>
      <c r="H11" t="s">
        <v>1</v>
      </c>
      <c r="M11" s="2">
        <v>39</v>
      </c>
      <c r="V11">
        <f>+D11</f>
        <v>28</v>
      </c>
      <c r="W11">
        <f>+M11</f>
        <v>39</v>
      </c>
    </row>
    <row r="12" spans="1:23" ht="12.75">
      <c r="A12" t="s">
        <v>2</v>
      </c>
      <c r="D12" s="2">
        <v>78</v>
      </c>
      <c r="H12" t="s">
        <v>2</v>
      </c>
      <c r="M12" s="2">
        <v>125</v>
      </c>
      <c r="U12" s="13"/>
      <c r="V12">
        <f>+D16</f>
        <v>14</v>
      </c>
      <c r="W12">
        <f>+M16</f>
        <v>19</v>
      </c>
    </row>
    <row r="13" spans="1:23" ht="12.75">
      <c r="A13" s="1" t="s">
        <v>3</v>
      </c>
      <c r="D13" s="8">
        <f>+D12/D11</f>
        <v>2.7857142857142856</v>
      </c>
      <c r="H13" s="1" t="s">
        <v>3</v>
      </c>
      <c r="M13" s="8">
        <f>+M12/M11</f>
        <v>3.2051282051282053</v>
      </c>
      <c r="V13">
        <f>+(D15-D16)/2</f>
        <v>6.5</v>
      </c>
      <c r="W13">
        <f>+(M15-M16)/2</f>
        <v>6</v>
      </c>
    </row>
    <row r="14" spans="22:23" ht="12.75">
      <c r="V14">
        <f>+D38/2</f>
        <v>2.5</v>
      </c>
      <c r="W14">
        <f>+M38/2</f>
        <v>3</v>
      </c>
    </row>
    <row r="15" spans="1:23" ht="12.75">
      <c r="A15" t="s">
        <v>4</v>
      </c>
      <c r="D15" s="2">
        <v>27</v>
      </c>
      <c r="H15" t="s">
        <v>4</v>
      </c>
      <c r="M15" s="2">
        <v>31</v>
      </c>
      <c r="V15">
        <f>+D42/2</f>
        <v>1.5</v>
      </c>
      <c r="W15">
        <f>+M42/2</f>
        <v>2</v>
      </c>
    </row>
    <row r="16" spans="1:23" ht="12.75">
      <c r="A16" t="s">
        <v>5</v>
      </c>
      <c r="D16" s="2">
        <v>14</v>
      </c>
      <c r="H16" t="s">
        <v>5</v>
      </c>
      <c r="M16" s="2">
        <v>19</v>
      </c>
      <c r="V16">
        <f>+D48/2</f>
        <v>1</v>
      </c>
      <c r="W16">
        <f>+M48/2</f>
        <v>1</v>
      </c>
    </row>
    <row r="17" spans="1:13" ht="12.75">
      <c r="A17" t="s">
        <v>6</v>
      </c>
      <c r="D17" s="8">
        <f>+D16/D15*100</f>
        <v>51.85185185185185</v>
      </c>
      <c r="H17" t="s">
        <v>6</v>
      </c>
      <c r="M17" s="8">
        <f>+M16/M15*100</f>
        <v>61.29032258064516</v>
      </c>
    </row>
    <row r="18" spans="1:24" ht="12.75">
      <c r="A18" t="s">
        <v>7</v>
      </c>
      <c r="D18" s="2">
        <v>190</v>
      </c>
      <c r="H18" t="s">
        <v>7</v>
      </c>
      <c r="M18" s="2">
        <v>177</v>
      </c>
      <c r="V18">
        <f>SUM(V11:V16)</f>
        <v>53.5</v>
      </c>
      <c r="W18">
        <f>SUM(W11:W16)</f>
        <v>70</v>
      </c>
      <c r="X18">
        <f>+W18+V18</f>
        <v>123.5</v>
      </c>
    </row>
    <row r="19" spans="1:23" ht="12.75">
      <c r="A19" t="s">
        <v>8</v>
      </c>
      <c r="D19" s="2">
        <v>5</v>
      </c>
      <c r="H19" t="s">
        <v>8</v>
      </c>
      <c r="M19" s="2">
        <v>1</v>
      </c>
      <c r="V19">
        <f>+V18/X18</f>
        <v>0.4331983805668016</v>
      </c>
      <c r="W19">
        <f>+W18/X18</f>
        <v>0.5668016194331984</v>
      </c>
    </row>
    <row r="20" spans="1:23" ht="12.75">
      <c r="A20" t="s">
        <v>9</v>
      </c>
      <c r="D20" s="2">
        <v>46</v>
      </c>
      <c r="H20" t="s">
        <v>9</v>
      </c>
      <c r="M20" s="2">
        <v>8</v>
      </c>
      <c r="V20">
        <f>+V19*60</f>
        <v>25.991902834008094</v>
      </c>
      <c r="W20">
        <f>+W19*60</f>
        <v>34.008097165991906</v>
      </c>
    </row>
    <row r="21" spans="1:23" ht="12.75">
      <c r="A21" t="s">
        <v>10</v>
      </c>
      <c r="D21">
        <f>+D18-D20</f>
        <v>144</v>
      </c>
      <c r="H21" t="s">
        <v>10</v>
      </c>
      <c r="M21">
        <f>+M18-M20</f>
        <v>169</v>
      </c>
      <c r="V21">
        <f>+V20-INT(V20)</f>
        <v>0.9919028340080942</v>
      </c>
      <c r="W21">
        <f>+W20-INT(W20)</f>
        <v>0.008097165991905797</v>
      </c>
    </row>
    <row r="22" spans="1:23" ht="12.75">
      <c r="A22" t="s">
        <v>11</v>
      </c>
      <c r="D22" s="7">
        <f>+D21/(D15+D19)</f>
        <v>4.5</v>
      </c>
      <c r="H22" t="s">
        <v>11</v>
      </c>
      <c r="M22" s="7">
        <f>+M21/(M15+M19)</f>
        <v>5.28125</v>
      </c>
      <c r="V22">
        <f>+V21*60</f>
        <v>59.51417004048565</v>
      </c>
      <c r="W22">
        <f>+W21*60</f>
        <v>0.4858299595143478</v>
      </c>
    </row>
    <row r="23" spans="1:23" ht="12.75">
      <c r="A23" t="s">
        <v>12</v>
      </c>
      <c r="D23" s="7">
        <f>+D18/D16</f>
        <v>13.571428571428571</v>
      </c>
      <c r="H23" t="s">
        <v>12</v>
      </c>
      <c r="M23" s="7">
        <f>+M18/M16</f>
        <v>9.31578947368421</v>
      </c>
      <c r="U23">
        <v>0</v>
      </c>
      <c r="V23" s="11">
        <f>ROUND(V22,0)</f>
        <v>60</v>
      </c>
      <c r="W23">
        <f>ROUND(W22,0)</f>
        <v>0</v>
      </c>
    </row>
    <row r="24" spans="22:23" ht="12.75">
      <c r="V24">
        <f>INT(V20)</f>
        <v>25</v>
      </c>
      <c r="W24">
        <f>INT(W20)</f>
        <v>34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222</v>
      </c>
      <c r="H26" t="s">
        <v>14</v>
      </c>
      <c r="M26">
        <f>+M21+M12</f>
        <v>294</v>
      </c>
      <c r="Q26" s="9"/>
      <c r="R26" s="9"/>
      <c r="V26" s="14" t="str">
        <f>+V24&amp;V25&amp;V23</f>
        <v>25:60</v>
      </c>
      <c r="W26" s="9" t="str">
        <f>+W24&amp;W25&amp;W23</f>
        <v>34:0</v>
      </c>
    </row>
    <row r="27" spans="1:23" ht="12.75">
      <c r="A27" t="s">
        <v>15</v>
      </c>
      <c r="D27" s="7">
        <f>+D12/D26*100</f>
        <v>35.13513513513514</v>
      </c>
      <c r="H27" t="s">
        <v>15</v>
      </c>
      <c r="M27" s="7">
        <f>+M12/M26*100</f>
        <v>42.517006802721085</v>
      </c>
      <c r="V27" s="9" t="str">
        <f>IF(V23&lt;10,+V24&amp;V25&amp;$U$23&amp;V23,+V24&amp;V25&amp;V23)</f>
        <v>25:60</v>
      </c>
      <c r="W27" s="9" t="str">
        <f>IF(W23&lt;10,+W24&amp;W25&amp;$U$23&amp;W23,+W24&amp;W25&amp;W23)</f>
        <v>34:00</v>
      </c>
    </row>
    <row r="28" spans="1:13" ht="12.75">
      <c r="A28" s="1" t="s">
        <v>86</v>
      </c>
      <c r="D28" s="7">
        <f>+D21/D26*100</f>
        <v>64.86486486486487</v>
      </c>
      <c r="H28" s="1" t="s">
        <v>86</v>
      </c>
      <c r="M28" s="7">
        <f>+M21/M26*100</f>
        <v>57.48299319727891</v>
      </c>
    </row>
    <row r="30" spans="1:13" ht="12.75">
      <c r="A30" t="s">
        <v>16</v>
      </c>
      <c r="D30">
        <f>+D11+D15+D19</f>
        <v>60</v>
      </c>
      <c r="H30" t="s">
        <v>16</v>
      </c>
      <c r="M30">
        <f>+M11+M15+M19</f>
        <v>71</v>
      </c>
    </row>
    <row r="31" spans="1:13" ht="12.75">
      <c r="A31" t="s">
        <v>17</v>
      </c>
      <c r="D31" s="8">
        <f>+D26/D30</f>
        <v>3.7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4.140845070422535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2</v>
      </c>
    </row>
    <row r="35" spans="1:13" ht="12.75">
      <c r="A35" t="s">
        <v>20</v>
      </c>
      <c r="D35" s="2">
        <v>14</v>
      </c>
      <c r="H35" t="s">
        <v>20</v>
      </c>
      <c r="M35" s="2">
        <v>70</v>
      </c>
    </row>
    <row r="36" spans="1:13" ht="12.75">
      <c r="A36" t="s">
        <v>21</v>
      </c>
      <c r="D36" s="2">
        <v>0</v>
      </c>
      <c r="H36" t="s">
        <v>21</v>
      </c>
      <c r="M36" s="2">
        <v>1</v>
      </c>
    </row>
    <row r="38" spans="1:13" ht="12.75">
      <c r="A38" t="s">
        <v>22</v>
      </c>
      <c r="D38" s="2">
        <v>5</v>
      </c>
      <c r="H38" t="s">
        <v>22</v>
      </c>
      <c r="M38" s="2">
        <v>6</v>
      </c>
    </row>
    <row r="39" spans="1:13" ht="12.75">
      <c r="A39" t="s">
        <v>23</v>
      </c>
      <c r="D39" s="2">
        <v>219</v>
      </c>
      <c r="H39" t="s">
        <v>23</v>
      </c>
      <c r="M39" s="2">
        <v>241</v>
      </c>
    </row>
    <row r="40" spans="1:13" ht="12.75">
      <c r="A40" t="s">
        <v>24</v>
      </c>
      <c r="D40" s="8">
        <f>+D39/D38</f>
        <v>43.8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40.166666666666664</v>
      </c>
    </row>
    <row r="42" spans="1:13" ht="12.75">
      <c r="A42" t="s">
        <v>25</v>
      </c>
      <c r="D42" s="2">
        <v>3</v>
      </c>
      <c r="H42" t="s">
        <v>25</v>
      </c>
      <c r="M42" s="2">
        <v>4</v>
      </c>
    </row>
    <row r="43" spans="1:13" ht="12.75">
      <c r="A43" t="s">
        <v>26</v>
      </c>
      <c r="D43" s="2">
        <v>4</v>
      </c>
      <c r="H43" t="s">
        <v>26</v>
      </c>
      <c r="M43" s="2">
        <v>49</v>
      </c>
    </row>
    <row r="44" spans="1:13" ht="12.75">
      <c r="A44" t="s">
        <v>27</v>
      </c>
      <c r="D44" s="8">
        <f>+D43/D42</f>
        <v>1.3333333333333333</v>
      </c>
      <c r="H44" t="s">
        <v>27</v>
      </c>
      <c r="M44" s="8">
        <f>+M43/M42</f>
        <v>12.25</v>
      </c>
    </row>
    <row r="45" spans="1:13" ht="12.75">
      <c r="A45" t="s">
        <v>106</v>
      </c>
      <c r="D45" s="2">
        <v>2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2</v>
      </c>
    </row>
    <row r="49" spans="1:13" ht="12.75">
      <c r="A49" t="s">
        <v>26</v>
      </c>
      <c r="D49" s="2">
        <v>34</v>
      </c>
      <c r="H49" t="s">
        <v>26</v>
      </c>
      <c r="M49" s="2">
        <v>37</v>
      </c>
    </row>
    <row r="50" spans="1:13" ht="12.75">
      <c r="A50" t="s">
        <v>27</v>
      </c>
      <c r="D50" s="8">
        <f>+D49/D48</f>
        <v>17</v>
      </c>
      <c r="H50" t="s">
        <v>27</v>
      </c>
      <c r="M50" s="8">
        <f>+M49/M48</f>
        <v>18.5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2</v>
      </c>
      <c r="H53" t="s">
        <v>31</v>
      </c>
      <c r="M53" s="2">
        <v>2</v>
      </c>
    </row>
    <row r="54" spans="1:13" ht="12.75">
      <c r="A54" t="s">
        <v>32</v>
      </c>
      <c r="D54" s="2">
        <v>20</v>
      </c>
      <c r="H54" t="s">
        <v>32</v>
      </c>
      <c r="M54" s="2">
        <v>21</v>
      </c>
    </row>
    <row r="56" spans="1:13" ht="12.75">
      <c r="A56" t="s">
        <v>33</v>
      </c>
      <c r="D56" s="2">
        <v>0</v>
      </c>
      <c r="H56" t="s">
        <v>33</v>
      </c>
      <c r="M56" s="2">
        <v>2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14</v>
      </c>
      <c r="H59" t="s">
        <v>34</v>
      </c>
      <c r="M59" s="2">
        <v>21</v>
      </c>
    </row>
    <row r="60" spans="1:13" ht="12.75">
      <c r="A60" t="s">
        <v>35</v>
      </c>
      <c r="D60" s="2">
        <v>2</v>
      </c>
      <c r="H60" t="s">
        <v>35</v>
      </c>
      <c r="M60" s="2">
        <v>3</v>
      </c>
    </row>
    <row r="61" spans="1:13" ht="12.75">
      <c r="A61" t="s">
        <v>36</v>
      </c>
      <c r="D61" s="2">
        <v>1</v>
      </c>
      <c r="H61" t="s">
        <v>36</v>
      </c>
      <c r="M61" s="2">
        <v>2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0</v>
      </c>
      <c r="H66" t="s">
        <v>41</v>
      </c>
      <c r="M66" s="2">
        <v>0</v>
      </c>
    </row>
    <row r="67" spans="1:13" ht="12.75">
      <c r="A67" t="s">
        <v>42</v>
      </c>
      <c r="D67" s="2">
        <v>3</v>
      </c>
      <c r="H67" t="s">
        <v>42</v>
      </c>
      <c r="M67" s="2">
        <v>1</v>
      </c>
    </row>
    <row r="68" spans="1:13" ht="12.75">
      <c r="A68" t="s">
        <v>43</v>
      </c>
      <c r="D68" s="8">
        <f>+D66/D67*100</f>
        <v>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0</v>
      </c>
    </row>
    <row r="69" spans="1:13" ht="12.75">
      <c r="A69" t="s">
        <v>89</v>
      </c>
      <c r="D69" s="10" t="str">
        <f>IF(V23&lt;10,V27,V26)</f>
        <v>25:60</v>
      </c>
      <c r="E69" s="8"/>
      <c r="F69" s="8"/>
      <c r="H69" t="s">
        <v>89</v>
      </c>
      <c r="M69" s="10" t="str">
        <f>IF(W23&lt;10,W27,W26)</f>
        <v>34:00</v>
      </c>
    </row>
    <row r="70" spans="1:13" ht="12.75">
      <c r="A70" t="s">
        <v>102</v>
      </c>
      <c r="D70" s="23">
        <f>D162</f>
        <v>30.76923076923077</v>
      </c>
      <c r="E70" s="8"/>
      <c r="F70" s="8"/>
      <c r="H70" t="s">
        <v>102</v>
      </c>
      <c r="M70" s="23">
        <f>M162</f>
        <v>28.57142857142857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17</v>
      </c>
      <c r="D74">
        <v>77</v>
      </c>
      <c r="E74" s="12">
        <f aca="true" t="shared" si="0" ref="E74:E84">+D74/C74</f>
        <v>4.529411764705882</v>
      </c>
      <c r="F74">
        <v>15</v>
      </c>
      <c r="G74">
        <v>0</v>
      </c>
      <c r="H74">
        <v>0</v>
      </c>
    </row>
    <row r="75" spans="1:8" ht="12.75">
      <c r="A75" t="s">
        <v>110</v>
      </c>
      <c r="C75">
        <v>7</v>
      </c>
      <c r="D75">
        <v>-4</v>
      </c>
      <c r="E75" s="12">
        <f t="shared" si="0"/>
        <v>-0.5714285714285714</v>
      </c>
      <c r="F75">
        <v>6</v>
      </c>
      <c r="G75">
        <v>1</v>
      </c>
      <c r="H75">
        <v>0</v>
      </c>
    </row>
    <row r="76" spans="1:8" ht="12.75">
      <c r="A76" t="s">
        <v>111</v>
      </c>
      <c r="C76">
        <v>2</v>
      </c>
      <c r="D76">
        <v>2</v>
      </c>
      <c r="E76" s="12">
        <f t="shared" si="0"/>
        <v>1</v>
      </c>
      <c r="F76">
        <v>4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107</v>
      </c>
      <c r="C80">
        <v>2</v>
      </c>
      <c r="D80">
        <v>3</v>
      </c>
      <c r="E80" s="12">
        <f t="shared" si="0"/>
        <v>1.5</v>
      </c>
      <c r="F80">
        <v>2</v>
      </c>
      <c r="G80">
        <v>0</v>
      </c>
      <c r="H80">
        <v>0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1</v>
      </c>
      <c r="D87">
        <v>26</v>
      </c>
      <c r="E87" s="12">
        <f aca="true" t="shared" si="1" ref="E87:E102">+D87/C87</f>
        <v>26</v>
      </c>
      <c r="F87">
        <v>26</v>
      </c>
      <c r="G87">
        <v>0</v>
      </c>
      <c r="H87">
        <v>0</v>
      </c>
    </row>
    <row r="88" spans="1:8" ht="12.75">
      <c r="A88" t="s">
        <v>109</v>
      </c>
      <c r="C88">
        <v>3</v>
      </c>
      <c r="D88">
        <v>17</v>
      </c>
      <c r="E88" s="12">
        <f t="shared" si="1"/>
        <v>5.666666666666667</v>
      </c>
      <c r="F88">
        <v>7</v>
      </c>
      <c r="G88">
        <v>0</v>
      </c>
      <c r="H88">
        <v>0</v>
      </c>
    </row>
    <row r="89" spans="1:8" ht="12.75">
      <c r="A89" t="s">
        <v>117</v>
      </c>
      <c r="C89">
        <v>2</v>
      </c>
      <c r="D89">
        <v>18</v>
      </c>
      <c r="E89" s="12">
        <f t="shared" si="1"/>
        <v>9</v>
      </c>
      <c r="F89">
        <v>12</v>
      </c>
      <c r="G89">
        <v>0</v>
      </c>
      <c r="H89">
        <v>0</v>
      </c>
    </row>
    <row r="90" spans="1:8" ht="12.75">
      <c r="A90" t="s">
        <v>116</v>
      </c>
      <c r="C90">
        <v>2</v>
      </c>
      <c r="D90">
        <v>27</v>
      </c>
      <c r="E90" s="12">
        <f t="shared" si="1"/>
        <v>13.5</v>
      </c>
      <c r="F90">
        <v>20</v>
      </c>
      <c r="G90">
        <v>0</v>
      </c>
      <c r="H90">
        <v>0</v>
      </c>
    </row>
    <row r="91" spans="1:8" ht="12.75">
      <c r="A91" t="s">
        <v>112</v>
      </c>
      <c r="C91">
        <v>2</v>
      </c>
      <c r="D91">
        <v>49</v>
      </c>
      <c r="E91" s="12">
        <f t="shared" si="1"/>
        <v>24.5</v>
      </c>
      <c r="F91">
        <v>44</v>
      </c>
      <c r="G91">
        <v>0</v>
      </c>
      <c r="H91">
        <v>0</v>
      </c>
    </row>
    <row r="92" spans="1:8" ht="12.75">
      <c r="A92" t="s">
        <v>120</v>
      </c>
      <c r="C92">
        <v>1</v>
      </c>
      <c r="D92">
        <v>3</v>
      </c>
      <c r="E92" s="12">
        <f t="shared" si="1"/>
        <v>3</v>
      </c>
      <c r="F92">
        <v>3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24</v>
      </c>
      <c r="E93" s="12">
        <f t="shared" si="1"/>
        <v>24</v>
      </c>
      <c r="F93">
        <v>24</v>
      </c>
      <c r="G93">
        <v>0</v>
      </c>
      <c r="H93">
        <v>0</v>
      </c>
    </row>
    <row r="94" spans="1:8" ht="12.75">
      <c r="A94" t="s">
        <v>122</v>
      </c>
      <c r="C94">
        <v>1</v>
      </c>
      <c r="D94">
        <v>12</v>
      </c>
      <c r="E94" s="12">
        <f t="shared" si="1"/>
        <v>12</v>
      </c>
      <c r="F94">
        <v>12</v>
      </c>
      <c r="G94">
        <v>0</v>
      </c>
      <c r="H94">
        <v>0</v>
      </c>
    </row>
    <row r="95" spans="1:8" ht="12.75">
      <c r="A95" t="s">
        <v>111</v>
      </c>
      <c r="C95">
        <v>1</v>
      </c>
      <c r="D95">
        <v>14</v>
      </c>
      <c r="E95" s="12">
        <f t="shared" si="1"/>
        <v>14</v>
      </c>
      <c r="F95">
        <v>14</v>
      </c>
      <c r="G95">
        <v>0</v>
      </c>
      <c r="H95">
        <v>0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27</v>
      </c>
      <c r="D106">
        <v>14</v>
      </c>
      <c r="E106" s="12">
        <f>+D106/C106*100</f>
        <v>51.85185185185185</v>
      </c>
      <c r="F106">
        <v>190</v>
      </c>
      <c r="G106">
        <v>0</v>
      </c>
      <c r="H106">
        <v>44</v>
      </c>
      <c r="I106">
        <v>1</v>
      </c>
      <c r="J106" s="8">
        <f>+G106/C106*100</f>
        <v>0</v>
      </c>
      <c r="K106" s="12">
        <f>+I106/C106*100</f>
        <v>3.7037037037037033</v>
      </c>
      <c r="L106" s="12">
        <f>+F106/C106</f>
        <v>7.037037037037037</v>
      </c>
      <c r="M106" s="12">
        <f>100*(S106+U106+W106+Y106)/6</f>
        <v>59.182098765432094</v>
      </c>
      <c r="R106">
        <f>+(E106-30)/20</f>
        <v>1.0925925925925923</v>
      </c>
      <c r="S106" s="2">
        <f>IF(R106&lt;0,0,IF(R106&gt;2.375,2.375,R106))</f>
        <v>1.0925925925925923</v>
      </c>
      <c r="T106" s="6">
        <f>+(L106-3)/4</f>
        <v>1.0092592592592593</v>
      </c>
      <c r="U106" s="2">
        <f>IF(T106&lt;0,0,IF(T106&gt;2.375,2.375,T106))</f>
        <v>1.0092592592592593</v>
      </c>
      <c r="V106">
        <f>+J106/5</f>
        <v>0</v>
      </c>
      <c r="W106" s="2">
        <f>IF(V106&lt;0,0,IF(V106&gt;2.375,2.375,V106))</f>
        <v>0</v>
      </c>
      <c r="X106">
        <f>(9.5-K106)/4</f>
        <v>1.4490740740740742</v>
      </c>
      <c r="Y106" s="2">
        <f>IF(X106&lt;0,0,X106)</f>
        <v>1.4490740740740742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3</v>
      </c>
      <c r="D114">
        <v>0</v>
      </c>
      <c r="E114">
        <v>4</v>
      </c>
      <c r="F114" s="12">
        <f>+E114/C114</f>
        <v>1.3333333333333333</v>
      </c>
      <c r="G114">
        <v>3</v>
      </c>
      <c r="H114">
        <v>0</v>
      </c>
      <c r="I114">
        <v>0</v>
      </c>
    </row>
    <row r="115" spans="1:9" ht="12.75">
      <c r="A115" t="s">
        <v>117</v>
      </c>
      <c r="C115">
        <v>0</v>
      </c>
      <c r="D115">
        <v>2</v>
      </c>
      <c r="E115">
        <v>0</v>
      </c>
      <c r="F115" s="12">
        <v>0</v>
      </c>
      <c r="G115">
        <v>0</v>
      </c>
      <c r="H115">
        <v>0</v>
      </c>
      <c r="I115">
        <v>0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1</v>
      </c>
      <c r="D120">
        <v>10</v>
      </c>
      <c r="E120" s="12">
        <f aca="true" t="shared" si="2" ref="E120:E126">+D120/C120</f>
        <v>10</v>
      </c>
      <c r="F120">
        <v>10</v>
      </c>
      <c r="G120">
        <v>0</v>
      </c>
      <c r="H120">
        <v>0</v>
      </c>
    </row>
    <row r="121" spans="1:5" ht="12.75">
      <c r="A121" t="s">
        <v>129</v>
      </c>
      <c r="E121" s="12" t="e">
        <f t="shared" si="2"/>
        <v>#DIV/0!</v>
      </c>
    </row>
    <row r="122" spans="1:8" ht="12.75">
      <c r="A122" t="s">
        <v>117</v>
      </c>
      <c r="C122">
        <v>1</v>
      </c>
      <c r="D122">
        <v>24</v>
      </c>
      <c r="E122" s="12">
        <f t="shared" si="2"/>
        <v>24</v>
      </c>
      <c r="F122">
        <v>24</v>
      </c>
      <c r="G122">
        <v>0</v>
      </c>
      <c r="H122">
        <v>0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5</v>
      </c>
      <c r="D129">
        <v>219</v>
      </c>
      <c r="E129" s="12">
        <f>+D129/C129</f>
        <v>43.8</v>
      </c>
      <c r="F129">
        <v>48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3</v>
      </c>
      <c r="D132">
        <v>1</v>
      </c>
      <c r="E132">
        <v>2</v>
      </c>
      <c r="F132">
        <v>2</v>
      </c>
      <c r="G132">
        <v>3</v>
      </c>
      <c r="H132">
        <v>0</v>
      </c>
      <c r="I132" s="12">
        <f>+H132/G132*100</f>
        <v>0</v>
      </c>
      <c r="J132">
        <v>0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8" ht="12.75">
      <c r="A135" t="s">
        <v>133</v>
      </c>
      <c r="C135">
        <v>1</v>
      </c>
      <c r="D135">
        <v>0</v>
      </c>
      <c r="E135" s="12">
        <f>+D135/C135</f>
        <v>0</v>
      </c>
      <c r="F135">
        <v>0</v>
      </c>
      <c r="G135">
        <v>0</v>
      </c>
      <c r="H135">
        <v>0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8" ht="12.75">
      <c r="A140" t="s">
        <v>113</v>
      </c>
      <c r="C140">
        <v>1</v>
      </c>
      <c r="D140">
        <v>70</v>
      </c>
      <c r="E140" s="12">
        <f t="shared" si="3"/>
        <v>70</v>
      </c>
      <c r="F140">
        <v>70</v>
      </c>
      <c r="G140">
        <v>1</v>
      </c>
      <c r="H140">
        <v>0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spans="1:3" ht="12.75">
      <c r="A146" t="s">
        <v>140</v>
      </c>
      <c r="C146">
        <v>1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13</v>
      </c>
      <c r="H160" t="s">
        <v>93</v>
      </c>
      <c r="M160">
        <v>14</v>
      </c>
    </row>
    <row r="161" spans="1:13" ht="12.75">
      <c r="A161" t="s">
        <v>94</v>
      </c>
      <c r="D161">
        <v>4</v>
      </c>
      <c r="H161" t="s">
        <v>94</v>
      </c>
      <c r="M161">
        <v>4</v>
      </c>
    </row>
    <row r="162" spans="1:13" ht="12.75">
      <c r="A162" t="s">
        <v>95</v>
      </c>
      <c r="D162" s="8">
        <f>D161/D160*100</f>
        <v>30.76923076923077</v>
      </c>
      <c r="H162" t="s">
        <v>95</v>
      </c>
      <c r="M162" s="8">
        <f>+M161/M160*100</f>
        <v>28.57142857142857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62"/>
  <sheetViews>
    <sheetView zoomScalePageLayoutView="0" workbookViewId="0" topLeftCell="A1">
      <selection activeCell="Q70" sqref="Q7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21</v>
      </c>
      <c r="H6" s="1" t="s">
        <v>29</v>
      </c>
      <c r="M6" s="2">
        <f>M7+M8+M9</f>
        <v>24</v>
      </c>
    </row>
    <row r="7" spans="1:13" ht="12.75">
      <c r="A7" s="1" t="s">
        <v>103</v>
      </c>
      <c r="D7" s="2">
        <v>4</v>
      </c>
      <c r="H7" s="1" t="s">
        <v>103</v>
      </c>
      <c r="M7" s="2">
        <v>11</v>
      </c>
    </row>
    <row r="8" spans="1:13" ht="12.75">
      <c r="A8" s="1" t="s">
        <v>105</v>
      </c>
      <c r="D8" s="2">
        <v>15</v>
      </c>
      <c r="H8" s="1" t="s">
        <v>105</v>
      </c>
      <c r="M8" s="2">
        <v>10</v>
      </c>
    </row>
    <row r="9" spans="1:13" ht="12.75">
      <c r="A9" s="1" t="s">
        <v>104</v>
      </c>
      <c r="D9" s="2">
        <v>2</v>
      </c>
      <c r="H9" s="1" t="s">
        <v>104</v>
      </c>
      <c r="M9" s="2">
        <v>3</v>
      </c>
    </row>
    <row r="11" spans="1:23" ht="12.75">
      <c r="A11" t="s">
        <v>1</v>
      </c>
      <c r="D11" s="2">
        <v>18</v>
      </c>
      <c r="H11" t="s">
        <v>1</v>
      </c>
      <c r="M11" s="2">
        <v>37</v>
      </c>
      <c r="V11">
        <f>+D11</f>
        <v>18</v>
      </c>
      <c r="W11">
        <f>+M11</f>
        <v>37</v>
      </c>
    </row>
    <row r="12" spans="1:23" ht="12.75">
      <c r="A12" t="s">
        <v>2</v>
      </c>
      <c r="D12" s="2">
        <v>61</v>
      </c>
      <c r="H12" t="s">
        <v>2</v>
      </c>
      <c r="M12" s="2">
        <v>169</v>
      </c>
      <c r="U12" s="13"/>
      <c r="V12">
        <f>+D16</f>
        <v>24</v>
      </c>
      <c r="W12">
        <f>+M16</f>
        <v>15</v>
      </c>
    </row>
    <row r="13" spans="1:23" ht="12.75">
      <c r="A13" s="1" t="s">
        <v>3</v>
      </c>
      <c r="D13" s="8">
        <f>+D12/D11</f>
        <v>3.388888888888889</v>
      </c>
      <c r="H13" s="1" t="s">
        <v>3</v>
      </c>
      <c r="M13" s="8">
        <f>+M12/M11</f>
        <v>4.5675675675675675</v>
      </c>
      <c r="V13">
        <f>+(D15-D16)/2</f>
        <v>6</v>
      </c>
      <c r="W13">
        <f>+(M15-M16)/2</f>
        <v>5</v>
      </c>
    </row>
    <row r="14" spans="22:23" ht="12.75">
      <c r="V14">
        <f>+D38/2</f>
        <v>2</v>
      </c>
      <c r="W14">
        <f>+M38/2</f>
        <v>2</v>
      </c>
    </row>
    <row r="15" spans="1:23" ht="12.75">
      <c r="A15" t="s">
        <v>4</v>
      </c>
      <c r="D15" s="2">
        <v>36</v>
      </c>
      <c r="H15" t="s">
        <v>4</v>
      </c>
      <c r="M15" s="2">
        <v>25</v>
      </c>
      <c r="V15">
        <f>+D42/2</f>
        <v>1</v>
      </c>
      <c r="W15">
        <f>+M42/2</f>
        <v>1.5</v>
      </c>
    </row>
    <row r="16" spans="1:23" ht="12.75">
      <c r="A16" t="s">
        <v>5</v>
      </c>
      <c r="D16" s="2">
        <v>24</v>
      </c>
      <c r="H16" t="s">
        <v>5</v>
      </c>
      <c r="M16" s="2">
        <v>15</v>
      </c>
      <c r="V16">
        <f>+D48/2</f>
        <v>2</v>
      </c>
      <c r="W16">
        <f>+M48/2</f>
        <v>1</v>
      </c>
    </row>
    <row r="17" spans="1:13" ht="12.75">
      <c r="A17" t="s">
        <v>6</v>
      </c>
      <c r="D17" s="8">
        <f>+D16/D15*100</f>
        <v>66.66666666666666</v>
      </c>
      <c r="H17" t="s">
        <v>6</v>
      </c>
      <c r="M17" s="8">
        <f>+M16/M15*100</f>
        <v>60</v>
      </c>
    </row>
    <row r="18" spans="1:24" ht="12.75">
      <c r="A18" t="s">
        <v>7</v>
      </c>
      <c r="D18" s="2">
        <v>353</v>
      </c>
      <c r="H18" t="s">
        <v>7</v>
      </c>
      <c r="M18" s="2">
        <v>166</v>
      </c>
      <c r="V18">
        <f>SUM(V11:V16)</f>
        <v>53</v>
      </c>
      <c r="W18">
        <f>SUM(W11:W16)</f>
        <v>61.5</v>
      </c>
      <c r="X18">
        <f>+W18+V18</f>
        <v>114.5</v>
      </c>
    </row>
    <row r="19" spans="1:23" ht="12.75">
      <c r="A19" t="s">
        <v>8</v>
      </c>
      <c r="D19" s="2">
        <v>5</v>
      </c>
      <c r="H19" t="s">
        <v>8</v>
      </c>
      <c r="M19" s="2">
        <v>2</v>
      </c>
      <c r="V19">
        <f>+V18/X18</f>
        <v>0.462882096069869</v>
      </c>
      <c r="W19">
        <f>+W18/X18</f>
        <v>0.537117903930131</v>
      </c>
    </row>
    <row r="20" spans="1:23" ht="12.75">
      <c r="A20" t="s">
        <v>9</v>
      </c>
      <c r="D20" s="2">
        <v>32</v>
      </c>
      <c r="H20" t="s">
        <v>9</v>
      </c>
      <c r="M20" s="2">
        <v>10</v>
      </c>
      <c r="V20">
        <f>+V19*60</f>
        <v>27.77292576419214</v>
      </c>
      <c r="W20">
        <f>+W19*60</f>
        <v>32.22707423580786</v>
      </c>
    </row>
    <row r="21" spans="1:23" ht="12.75">
      <c r="A21" t="s">
        <v>10</v>
      </c>
      <c r="D21">
        <f>+D18-D20</f>
        <v>321</v>
      </c>
      <c r="H21" t="s">
        <v>10</v>
      </c>
      <c r="M21">
        <f>+M18-M20</f>
        <v>156</v>
      </c>
      <c r="V21">
        <f>+V20-INT(V20)</f>
        <v>0.7729257641921414</v>
      </c>
      <c r="W21">
        <f>+W20-INT(W20)</f>
        <v>0.22707423580786212</v>
      </c>
    </row>
    <row r="22" spans="1:23" ht="12.75">
      <c r="A22" t="s">
        <v>11</v>
      </c>
      <c r="D22" s="7">
        <f>+D21/(D15+D19)</f>
        <v>7.829268292682927</v>
      </c>
      <c r="H22" t="s">
        <v>11</v>
      </c>
      <c r="M22" s="7">
        <f>+M21/(M15+M19)</f>
        <v>5.777777777777778</v>
      </c>
      <c r="V22">
        <f>+V21*60</f>
        <v>46.375545851528486</v>
      </c>
      <c r="W22">
        <f>+W21*60</f>
        <v>13.624454148471727</v>
      </c>
    </row>
    <row r="23" spans="1:23" ht="12.75">
      <c r="A23" t="s">
        <v>12</v>
      </c>
      <c r="D23" s="7">
        <f>+D18/D16</f>
        <v>14.708333333333334</v>
      </c>
      <c r="H23" t="s">
        <v>12</v>
      </c>
      <c r="M23" s="7">
        <f>+M18/M16</f>
        <v>11.066666666666666</v>
      </c>
      <c r="U23">
        <v>0</v>
      </c>
      <c r="V23" s="11">
        <f>ROUND(V22,0)</f>
        <v>46</v>
      </c>
      <c r="W23">
        <f>ROUND(W22,0)</f>
        <v>14</v>
      </c>
    </row>
    <row r="24" spans="22:23" ht="12.75">
      <c r="V24">
        <f>INT(V20)</f>
        <v>27</v>
      </c>
      <c r="W24">
        <f>INT(W20)</f>
        <v>32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382</v>
      </c>
      <c r="H26" t="s">
        <v>14</v>
      </c>
      <c r="M26">
        <f>+M21+M12</f>
        <v>325</v>
      </c>
      <c r="Q26" s="9"/>
      <c r="R26" s="9"/>
      <c r="V26" s="14" t="str">
        <f>+V24&amp;V25&amp;V23</f>
        <v>27:46</v>
      </c>
      <c r="W26" s="9" t="str">
        <f>+W24&amp;W25&amp;W23</f>
        <v>32:14</v>
      </c>
    </row>
    <row r="27" spans="1:23" ht="12.75">
      <c r="A27" t="s">
        <v>15</v>
      </c>
      <c r="D27" s="7">
        <f>+D12/D26*100</f>
        <v>15.968586387434556</v>
      </c>
      <c r="H27" t="s">
        <v>15</v>
      </c>
      <c r="M27" s="7">
        <f>+M12/M26*100</f>
        <v>52</v>
      </c>
      <c r="V27" s="9" t="str">
        <f>IF(V23&lt;10,+V24&amp;V25&amp;$U$23&amp;V23,+V24&amp;V25&amp;V23)</f>
        <v>27:46</v>
      </c>
      <c r="W27" s="9" t="str">
        <f>IF(W23&lt;10,+W24&amp;W25&amp;$U$23&amp;W23,+W24&amp;W25&amp;W23)</f>
        <v>32:14</v>
      </c>
    </row>
    <row r="28" spans="1:13" ht="12.75">
      <c r="A28" s="1" t="s">
        <v>86</v>
      </c>
      <c r="D28" s="7">
        <f>+D21/D26*100</f>
        <v>84.03141361256544</v>
      </c>
      <c r="H28" s="1" t="s">
        <v>86</v>
      </c>
      <c r="M28" s="7">
        <f>+M21/M26*100</f>
        <v>48</v>
      </c>
    </row>
    <row r="30" spans="1:13" ht="12.75">
      <c r="A30" t="s">
        <v>16</v>
      </c>
      <c r="D30">
        <f>+D11+D15+D19</f>
        <v>59</v>
      </c>
      <c r="H30" t="s">
        <v>16</v>
      </c>
      <c r="M30">
        <f>+M11+M15+M19</f>
        <v>64</v>
      </c>
    </row>
    <row r="31" spans="1:13" ht="12.75">
      <c r="A31" t="s">
        <v>17</v>
      </c>
      <c r="D31" s="8">
        <f>+D26/D30</f>
        <v>6.47457627118644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5.078125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1</v>
      </c>
    </row>
    <row r="35" spans="1:13" ht="12.75">
      <c r="A35" t="s">
        <v>20</v>
      </c>
      <c r="D35" s="2">
        <v>0</v>
      </c>
      <c r="H35" t="s">
        <v>20</v>
      </c>
      <c r="M35" s="2">
        <v>5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4</v>
      </c>
    </row>
    <row r="39" spans="1:13" ht="12.75">
      <c r="A39" t="s">
        <v>23</v>
      </c>
      <c r="D39" s="2">
        <v>179</v>
      </c>
      <c r="H39" t="s">
        <v>23</v>
      </c>
      <c r="M39" s="2">
        <v>184</v>
      </c>
    </row>
    <row r="40" spans="1:13" ht="12.75">
      <c r="A40" t="s">
        <v>24</v>
      </c>
      <c r="D40" s="8">
        <f>+D39/D38</f>
        <v>44.75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46</v>
      </c>
    </row>
    <row r="41" ht="12.75">
      <c r="D41" s="2"/>
    </row>
    <row r="42" spans="1:13" ht="12.75">
      <c r="A42" t="s">
        <v>25</v>
      </c>
      <c r="D42" s="2">
        <v>2</v>
      </c>
      <c r="H42" t="s">
        <v>25</v>
      </c>
      <c r="M42" s="2">
        <v>3</v>
      </c>
    </row>
    <row r="43" spans="1:13" ht="12.75">
      <c r="A43" t="s">
        <v>26</v>
      </c>
      <c r="D43" s="2">
        <v>4</v>
      </c>
      <c r="H43" t="s">
        <v>26</v>
      </c>
      <c r="M43" s="2">
        <v>23</v>
      </c>
    </row>
    <row r="44" spans="1:13" ht="12.75">
      <c r="A44" t="s">
        <v>27</v>
      </c>
      <c r="D44" s="8">
        <f>+D43/D42</f>
        <v>2</v>
      </c>
      <c r="H44" t="s">
        <v>27</v>
      </c>
      <c r="M44" s="8">
        <f>+M43/M42</f>
        <v>7.666666666666667</v>
      </c>
    </row>
    <row r="45" spans="1:13" ht="12.75">
      <c r="A45" t="s">
        <v>106</v>
      </c>
      <c r="D45" s="2">
        <v>1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2</v>
      </c>
    </row>
    <row r="49" spans="1:13" ht="12.75">
      <c r="A49" t="s">
        <v>26</v>
      </c>
      <c r="D49" s="2">
        <v>58</v>
      </c>
      <c r="H49" t="s">
        <v>26</v>
      </c>
      <c r="M49" s="2">
        <v>31</v>
      </c>
    </row>
    <row r="50" spans="1:13" ht="12.75">
      <c r="A50" t="s">
        <v>27</v>
      </c>
      <c r="D50" s="8">
        <f>+D49/D48</f>
        <v>14.5</v>
      </c>
      <c r="H50" t="s">
        <v>27</v>
      </c>
      <c r="M50" s="8">
        <f>+M49/M48</f>
        <v>15.5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11</v>
      </c>
      <c r="H53" t="s">
        <v>31</v>
      </c>
      <c r="M53" s="2">
        <v>10</v>
      </c>
    </row>
    <row r="54" spans="1:13" ht="12.75">
      <c r="A54" t="s">
        <v>32</v>
      </c>
      <c r="D54" s="2">
        <v>68</v>
      </c>
      <c r="H54" t="s">
        <v>32</v>
      </c>
      <c r="M54" s="2">
        <v>77</v>
      </c>
    </row>
    <row r="55" ht="12.75">
      <c r="M55" s="2"/>
    </row>
    <row r="56" spans="1:13" ht="12.75">
      <c r="A56" t="s">
        <v>33</v>
      </c>
      <c r="D56" s="2">
        <v>0</v>
      </c>
      <c r="H56" t="s">
        <v>33</v>
      </c>
      <c r="M56" s="2">
        <v>0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20</v>
      </c>
      <c r="H59" t="s">
        <v>34</v>
      </c>
      <c r="M59" s="2">
        <v>24</v>
      </c>
    </row>
    <row r="60" spans="1:13" ht="12.75">
      <c r="A60" t="s">
        <v>35</v>
      </c>
      <c r="D60" s="2">
        <v>2</v>
      </c>
      <c r="H60" t="s">
        <v>35</v>
      </c>
      <c r="M60" s="2">
        <v>2</v>
      </c>
    </row>
    <row r="61" spans="1:13" ht="12.75">
      <c r="A61" t="s">
        <v>36</v>
      </c>
      <c r="D61" s="2">
        <v>2</v>
      </c>
      <c r="H61" t="s">
        <v>36</v>
      </c>
      <c r="M61" s="2">
        <v>2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1</v>
      </c>
    </row>
    <row r="67" spans="1:13" ht="12.75">
      <c r="A67" t="s">
        <v>42</v>
      </c>
      <c r="D67" s="2">
        <v>2</v>
      </c>
      <c r="H67" t="s">
        <v>42</v>
      </c>
      <c r="M67" s="2">
        <v>1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27:46</v>
      </c>
      <c r="E69" s="8"/>
      <c r="F69" s="8"/>
      <c r="H69" t="s">
        <v>92</v>
      </c>
      <c r="M69" s="10" t="str">
        <f>IF(W23&lt;10,W27,W26)</f>
        <v>32:14</v>
      </c>
    </row>
    <row r="70" spans="1:13" ht="12.75">
      <c r="A70" t="s">
        <v>102</v>
      </c>
      <c r="D70" s="23">
        <f>D162</f>
        <v>46.15384615384615</v>
      </c>
      <c r="E70" s="8"/>
      <c r="F70" s="8"/>
      <c r="H70" t="s">
        <v>102</v>
      </c>
      <c r="M70" s="23">
        <f>M162</f>
        <v>41.66666666666667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8</v>
      </c>
      <c r="D74">
        <v>37</v>
      </c>
      <c r="E74" s="12">
        <f aca="true" t="shared" si="0" ref="E74:E84">+D74/C74</f>
        <v>4.625</v>
      </c>
      <c r="F74">
        <v>19</v>
      </c>
      <c r="G74">
        <v>1</v>
      </c>
      <c r="H74">
        <v>0</v>
      </c>
    </row>
    <row r="75" spans="1:8" ht="12.75">
      <c r="A75" t="s">
        <v>110</v>
      </c>
      <c r="C75">
        <v>6</v>
      </c>
      <c r="D75">
        <v>-6</v>
      </c>
      <c r="E75" s="12">
        <f t="shared" si="0"/>
        <v>-1</v>
      </c>
      <c r="F75">
        <v>3</v>
      </c>
      <c r="G75">
        <v>1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1</v>
      </c>
      <c r="D77">
        <v>4</v>
      </c>
      <c r="E77" s="12">
        <f t="shared" si="0"/>
        <v>4</v>
      </c>
      <c r="F77">
        <v>4</v>
      </c>
      <c r="G77">
        <v>0</v>
      </c>
      <c r="H77">
        <v>0</v>
      </c>
    </row>
    <row r="78" spans="1:8" ht="12.75">
      <c r="A78" t="s">
        <v>113</v>
      </c>
      <c r="C78">
        <v>1</v>
      </c>
      <c r="D78">
        <v>27</v>
      </c>
      <c r="E78" s="12">
        <f t="shared" si="0"/>
        <v>27</v>
      </c>
      <c r="F78">
        <v>27</v>
      </c>
      <c r="G78">
        <v>0</v>
      </c>
      <c r="H78">
        <v>0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107</v>
      </c>
      <c r="C80">
        <v>2</v>
      </c>
      <c r="D80">
        <v>-1</v>
      </c>
      <c r="E80" s="12">
        <f t="shared" si="0"/>
        <v>-0.5</v>
      </c>
      <c r="F80">
        <v>4</v>
      </c>
      <c r="G80">
        <v>0</v>
      </c>
      <c r="H80">
        <v>0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6</v>
      </c>
      <c r="D87">
        <v>75</v>
      </c>
      <c r="E87" s="12">
        <f aca="true" t="shared" si="1" ref="E87:E102">+D87/C87</f>
        <v>12.5</v>
      </c>
      <c r="F87">
        <v>27</v>
      </c>
      <c r="G87">
        <v>0</v>
      </c>
      <c r="H87">
        <v>0</v>
      </c>
    </row>
    <row r="88" spans="1:8" ht="12.75">
      <c r="A88" t="s">
        <v>109</v>
      </c>
      <c r="C88">
        <v>3</v>
      </c>
      <c r="D88">
        <v>22</v>
      </c>
      <c r="E88" s="12">
        <f t="shared" si="1"/>
        <v>7.333333333333333</v>
      </c>
      <c r="F88">
        <v>15</v>
      </c>
      <c r="G88">
        <v>0</v>
      </c>
      <c r="H88">
        <v>0</v>
      </c>
    </row>
    <row r="89" spans="1:8" ht="12.75">
      <c r="A89" t="s">
        <v>117</v>
      </c>
      <c r="C89">
        <v>2</v>
      </c>
      <c r="D89">
        <v>52</v>
      </c>
      <c r="E89" s="12">
        <f t="shared" si="1"/>
        <v>26</v>
      </c>
      <c r="F89">
        <v>30</v>
      </c>
      <c r="G89">
        <v>0</v>
      </c>
      <c r="H89">
        <v>0</v>
      </c>
    </row>
    <row r="90" spans="1:8" ht="12.75">
      <c r="A90" t="s">
        <v>116</v>
      </c>
      <c r="C90">
        <v>6</v>
      </c>
      <c r="D90">
        <v>57</v>
      </c>
      <c r="E90" s="12">
        <f t="shared" si="1"/>
        <v>9.5</v>
      </c>
      <c r="F90">
        <v>28</v>
      </c>
      <c r="G90">
        <v>0</v>
      </c>
      <c r="H90">
        <v>0</v>
      </c>
    </row>
    <row r="91" spans="1:8" ht="12.75">
      <c r="A91" t="s">
        <v>112</v>
      </c>
      <c r="C91">
        <v>2</v>
      </c>
      <c r="D91">
        <v>17</v>
      </c>
      <c r="E91" s="12">
        <f t="shared" si="1"/>
        <v>8.5</v>
      </c>
      <c r="F91">
        <v>9</v>
      </c>
      <c r="G91">
        <v>0</v>
      </c>
      <c r="H91">
        <v>0</v>
      </c>
    </row>
    <row r="92" spans="1:8" ht="12.75">
      <c r="A92" t="s">
        <v>120</v>
      </c>
      <c r="C92">
        <v>1</v>
      </c>
      <c r="D92">
        <v>17</v>
      </c>
      <c r="E92" s="12">
        <f t="shared" si="1"/>
        <v>17</v>
      </c>
      <c r="F92">
        <v>17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28</v>
      </c>
      <c r="E93" s="12">
        <f t="shared" si="1"/>
        <v>28</v>
      </c>
      <c r="F93">
        <v>28</v>
      </c>
      <c r="G93">
        <v>0</v>
      </c>
      <c r="H93">
        <v>0</v>
      </c>
    </row>
    <row r="94" spans="1:8" ht="12.75">
      <c r="A94" t="s">
        <v>122</v>
      </c>
      <c r="C94">
        <v>2</v>
      </c>
      <c r="D94">
        <v>50</v>
      </c>
      <c r="E94" s="12">
        <f t="shared" si="1"/>
        <v>25</v>
      </c>
      <c r="F94">
        <v>29</v>
      </c>
      <c r="G94">
        <v>0</v>
      </c>
      <c r="H94">
        <v>0</v>
      </c>
    </row>
    <row r="95" spans="1:5" ht="12.75">
      <c r="A95" t="s">
        <v>111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8" ht="12.75">
      <c r="A97" t="s">
        <v>110</v>
      </c>
      <c r="C97">
        <v>1</v>
      </c>
      <c r="D97">
        <v>35</v>
      </c>
      <c r="E97" s="12">
        <f t="shared" si="1"/>
        <v>35</v>
      </c>
      <c r="F97">
        <v>35</v>
      </c>
      <c r="G97">
        <v>0</v>
      </c>
      <c r="H97">
        <v>0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36</v>
      </c>
      <c r="D106">
        <v>24</v>
      </c>
      <c r="E106" s="12">
        <f>+D106/C106*100</f>
        <v>66.66666666666666</v>
      </c>
      <c r="F106">
        <v>353</v>
      </c>
      <c r="G106">
        <v>0</v>
      </c>
      <c r="H106">
        <v>30</v>
      </c>
      <c r="I106">
        <v>1</v>
      </c>
      <c r="J106" s="8">
        <f>+G106/C106*100</f>
        <v>0</v>
      </c>
      <c r="K106" s="12">
        <f>+I106/C106*100</f>
        <v>2.7777777777777777</v>
      </c>
      <c r="L106" s="12">
        <f>+F106/C106</f>
        <v>9.805555555555555</v>
      </c>
      <c r="M106" s="12">
        <f>100*(S106+U106+W106+Y106)/6</f>
        <v>86.92129629629629</v>
      </c>
      <c r="R106">
        <f>+(E106-30)/20</f>
        <v>1.8333333333333328</v>
      </c>
      <c r="S106" s="2">
        <f>IF(R106&lt;0,0,IF(R106&gt;2.375,2.375,R106))</f>
        <v>1.8333333333333328</v>
      </c>
      <c r="T106" s="6">
        <f>+(L106-3)/4</f>
        <v>1.7013888888888888</v>
      </c>
      <c r="U106" s="2">
        <f>IF(T106&lt;0,0,IF(T106&gt;2.375,2.375,T106))</f>
        <v>1.7013888888888888</v>
      </c>
      <c r="V106">
        <f>+J106/5</f>
        <v>0</v>
      </c>
      <c r="W106" s="2">
        <f>IF(V106&lt;0,0,IF(V106&gt;2.375,2.375,V106))</f>
        <v>0</v>
      </c>
      <c r="X106">
        <f>(9.5-K106)/4</f>
        <v>1.6805555555555556</v>
      </c>
      <c r="Y106" s="2">
        <f>IF(X106&lt;0,0,X106)</f>
        <v>1.6805555555555556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2</v>
      </c>
      <c r="D114">
        <v>1</v>
      </c>
      <c r="E114">
        <v>4</v>
      </c>
      <c r="F114" s="12">
        <f>+E114/C114</f>
        <v>2</v>
      </c>
      <c r="G114">
        <v>4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3</v>
      </c>
      <c r="D120">
        <v>46</v>
      </c>
      <c r="E120" s="12">
        <f aca="true" t="shared" si="2" ref="E120:E126">+D120/C120</f>
        <v>15.333333333333334</v>
      </c>
      <c r="F120">
        <v>17</v>
      </c>
      <c r="G120">
        <v>0</v>
      </c>
      <c r="H120">
        <v>0</v>
      </c>
    </row>
    <row r="121" spans="1:8" ht="12.75">
      <c r="A121" t="s">
        <v>129</v>
      </c>
      <c r="C121">
        <v>1</v>
      </c>
      <c r="D121">
        <v>12</v>
      </c>
      <c r="E121" s="12">
        <f t="shared" si="2"/>
        <v>12</v>
      </c>
      <c r="F121">
        <v>12</v>
      </c>
      <c r="G121">
        <v>0</v>
      </c>
      <c r="H121">
        <v>0</v>
      </c>
    </row>
    <row r="122" spans="1:5" ht="12.75">
      <c r="A122" t="s">
        <v>117</v>
      </c>
      <c r="E122" s="12" t="e">
        <f t="shared" si="2"/>
        <v>#DIV/0!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7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</row>
    <row r="129" spans="1:7" ht="12.75">
      <c r="A129" t="s">
        <v>127</v>
      </c>
      <c r="C129">
        <v>4</v>
      </c>
      <c r="D129">
        <v>179</v>
      </c>
      <c r="E129" s="12">
        <f>+D129/C129</f>
        <v>44.75</v>
      </c>
      <c r="F129">
        <v>54</v>
      </c>
      <c r="G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5</v>
      </c>
      <c r="D132">
        <v>3</v>
      </c>
      <c r="E132">
        <v>2</v>
      </c>
      <c r="F132">
        <v>2</v>
      </c>
      <c r="G132">
        <v>2</v>
      </c>
      <c r="H132">
        <v>2</v>
      </c>
      <c r="I132" s="12">
        <f>+H132/G132*100</f>
        <v>100</v>
      </c>
      <c r="J132">
        <v>47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8" ht="12.75">
      <c r="A138" t="s">
        <v>129</v>
      </c>
      <c r="C138">
        <v>1</v>
      </c>
      <c r="D138">
        <v>5</v>
      </c>
      <c r="E138" s="12">
        <f t="shared" si="3"/>
        <v>5</v>
      </c>
      <c r="F138">
        <v>5</v>
      </c>
      <c r="G138">
        <v>0</v>
      </c>
      <c r="H138">
        <v>0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140</v>
      </c>
    </row>
    <row r="147" spans="1:3" ht="12.75">
      <c r="A147" t="s">
        <v>141</v>
      </c>
      <c r="C147">
        <v>1</v>
      </c>
    </row>
    <row r="148" ht="12.75">
      <c r="A148" t="s">
        <v>142</v>
      </c>
    </row>
    <row r="149" spans="1:3" ht="12.75">
      <c r="A149" t="s">
        <v>143</v>
      </c>
      <c r="C149">
        <v>1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ht="12.75">
      <c r="A155" t="s">
        <v>113</v>
      </c>
    </row>
    <row r="156" ht="12.75">
      <c r="A156" t="s">
        <v>146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13</v>
      </c>
      <c r="H160" t="s">
        <v>93</v>
      </c>
      <c r="M160">
        <v>12</v>
      </c>
    </row>
    <row r="161" spans="1:13" ht="12.75">
      <c r="A161" t="s">
        <v>94</v>
      </c>
      <c r="D161">
        <v>6</v>
      </c>
      <c r="H161" t="s">
        <v>94</v>
      </c>
      <c r="M161">
        <v>5</v>
      </c>
    </row>
    <row r="162" spans="1:13" ht="12.75">
      <c r="A162" t="s">
        <v>95</v>
      </c>
      <c r="D162" s="8">
        <f>D161/D160*100</f>
        <v>46.15384615384615</v>
      </c>
      <c r="H162" t="s">
        <v>95</v>
      </c>
      <c r="M162" s="8">
        <f>+M161/M160*100</f>
        <v>41.66666666666667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Y162"/>
  <sheetViews>
    <sheetView zoomScalePageLayoutView="0" workbookViewId="0" topLeftCell="A4">
      <selection activeCell="D7" sqref="D7:D6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12</v>
      </c>
      <c r="H6" s="1" t="s">
        <v>29</v>
      </c>
      <c r="M6" s="2">
        <f>M7+M8+M9</f>
        <v>24</v>
      </c>
    </row>
    <row r="7" spans="1:13" ht="12.75">
      <c r="A7" s="1" t="s">
        <v>103</v>
      </c>
      <c r="D7" s="2">
        <v>6</v>
      </c>
      <c r="H7" s="1" t="s">
        <v>103</v>
      </c>
      <c r="M7" s="2">
        <v>11</v>
      </c>
    </row>
    <row r="8" spans="1:13" ht="12.75">
      <c r="A8" s="1" t="s">
        <v>105</v>
      </c>
      <c r="D8" s="2">
        <v>5</v>
      </c>
      <c r="H8" s="1" t="s">
        <v>105</v>
      </c>
      <c r="M8" s="2">
        <v>13</v>
      </c>
    </row>
    <row r="9" spans="1:13" ht="12.75">
      <c r="A9" s="1" t="s">
        <v>104</v>
      </c>
      <c r="D9" s="2">
        <v>1</v>
      </c>
      <c r="H9" s="1" t="s">
        <v>104</v>
      </c>
      <c r="M9" s="2">
        <v>0</v>
      </c>
    </row>
    <row r="11" spans="1:23" ht="12.75">
      <c r="A11" t="s">
        <v>1</v>
      </c>
      <c r="D11" s="2">
        <v>23</v>
      </c>
      <c r="H11" t="s">
        <v>1</v>
      </c>
      <c r="M11" s="2">
        <v>50</v>
      </c>
      <c r="V11">
        <f>+D11</f>
        <v>23</v>
      </c>
      <c r="W11">
        <f>+M11</f>
        <v>50</v>
      </c>
    </row>
    <row r="12" spans="1:23" ht="12.75">
      <c r="A12" t="s">
        <v>2</v>
      </c>
      <c r="D12" s="2">
        <v>81</v>
      </c>
      <c r="H12" t="s">
        <v>2</v>
      </c>
      <c r="M12" s="2">
        <v>184</v>
      </c>
      <c r="U12" s="13"/>
      <c r="V12">
        <f>+D16</f>
        <v>11</v>
      </c>
      <c r="W12">
        <f>+M16</f>
        <v>18</v>
      </c>
    </row>
    <row r="13" spans="1:23" ht="12.75">
      <c r="A13" s="1" t="s">
        <v>3</v>
      </c>
      <c r="D13" s="8">
        <f>+D12/D11</f>
        <v>3.5217391304347827</v>
      </c>
      <c r="H13" s="1" t="s">
        <v>3</v>
      </c>
      <c r="M13" s="8">
        <f>+M12/M11</f>
        <v>3.68</v>
      </c>
      <c r="V13">
        <f>+(D15-D16)/2</f>
        <v>6.5</v>
      </c>
      <c r="W13">
        <f>+(M15-M16)/2</f>
        <v>5</v>
      </c>
    </row>
    <row r="14" spans="22:23" ht="12.75">
      <c r="V14">
        <f>+D38/2</f>
        <v>2</v>
      </c>
      <c r="W14">
        <f>+M38/2</f>
        <v>0.5</v>
      </c>
    </row>
    <row r="15" spans="1:23" ht="12.75">
      <c r="A15" t="s">
        <v>4</v>
      </c>
      <c r="D15" s="2">
        <v>24</v>
      </c>
      <c r="H15" t="s">
        <v>4</v>
      </c>
      <c r="M15" s="2">
        <v>28</v>
      </c>
      <c r="V15">
        <f>+D42/2</f>
        <v>0.5</v>
      </c>
      <c r="W15">
        <f>+M42/2</f>
        <v>1</v>
      </c>
    </row>
    <row r="16" spans="1:23" ht="12.75">
      <c r="A16" t="s">
        <v>5</v>
      </c>
      <c r="D16" s="2">
        <v>11</v>
      </c>
      <c r="H16" t="s">
        <v>5</v>
      </c>
      <c r="M16" s="2">
        <v>18</v>
      </c>
      <c r="V16">
        <f>+D48/2</f>
        <v>3.5</v>
      </c>
      <c r="W16">
        <f>+M48/2</f>
        <v>1.5</v>
      </c>
    </row>
    <row r="17" spans="1:13" ht="12.75">
      <c r="A17" t="s">
        <v>6</v>
      </c>
      <c r="D17" s="8">
        <f>+D16/D15*100</f>
        <v>45.83333333333333</v>
      </c>
      <c r="H17" t="s">
        <v>6</v>
      </c>
      <c r="M17" s="8">
        <f>+M16/M15*100</f>
        <v>64.28571428571429</v>
      </c>
    </row>
    <row r="18" spans="1:24" ht="12.75">
      <c r="A18" t="s">
        <v>7</v>
      </c>
      <c r="D18" s="2">
        <v>133</v>
      </c>
      <c r="H18" t="s">
        <v>7</v>
      </c>
      <c r="M18" s="2">
        <v>278</v>
      </c>
      <c r="V18">
        <f>SUM(V11:V16)</f>
        <v>46.5</v>
      </c>
      <c r="W18">
        <f>SUM(W11:W16)</f>
        <v>76</v>
      </c>
      <c r="X18">
        <f>+W18+V18</f>
        <v>122.5</v>
      </c>
    </row>
    <row r="19" spans="1:23" ht="12.75">
      <c r="A19" t="s">
        <v>8</v>
      </c>
      <c r="D19" s="2">
        <v>3</v>
      </c>
      <c r="H19" t="s">
        <v>8</v>
      </c>
      <c r="M19" s="2">
        <v>2</v>
      </c>
      <c r="V19">
        <f>+V18/X18</f>
        <v>0.3795918367346939</v>
      </c>
      <c r="W19">
        <f>+W18/X18</f>
        <v>0.6204081632653061</v>
      </c>
    </row>
    <row r="20" spans="1:23" ht="12.75">
      <c r="A20" t="s">
        <v>9</v>
      </c>
      <c r="D20" s="2">
        <v>29</v>
      </c>
      <c r="H20" t="s">
        <v>9</v>
      </c>
      <c r="M20" s="2">
        <v>18</v>
      </c>
      <c r="V20">
        <f>+V19*60</f>
        <v>22.775510204081634</v>
      </c>
      <c r="W20">
        <f>+W19*60</f>
        <v>37.224489795918366</v>
      </c>
    </row>
    <row r="21" spans="1:23" ht="12.75">
      <c r="A21" t="s">
        <v>10</v>
      </c>
      <c r="D21">
        <f>+D18-D20</f>
        <v>104</v>
      </c>
      <c r="H21" t="s">
        <v>10</v>
      </c>
      <c r="M21">
        <f>+M18-M20</f>
        <v>260</v>
      </c>
      <c r="V21">
        <f>+V20-INT(V20)</f>
        <v>0.775510204081634</v>
      </c>
      <c r="W21">
        <f>+W20-INT(W20)</f>
        <v>0.22448979591836604</v>
      </c>
    </row>
    <row r="22" spans="1:23" ht="12.75">
      <c r="A22" t="s">
        <v>11</v>
      </c>
      <c r="D22" s="7">
        <f>+D21/(D15+D19)</f>
        <v>3.8518518518518516</v>
      </c>
      <c r="H22" t="s">
        <v>11</v>
      </c>
      <c r="M22" s="7">
        <f>+M21/(M15+M19)</f>
        <v>8.666666666666666</v>
      </c>
      <c r="V22">
        <f>+V21*60</f>
        <v>46.53061224489804</v>
      </c>
      <c r="W22">
        <f>+W21*60</f>
        <v>13.469387755101963</v>
      </c>
    </row>
    <row r="23" spans="1:23" ht="12.75">
      <c r="A23" t="s">
        <v>12</v>
      </c>
      <c r="D23" s="7">
        <f>+D18/D16</f>
        <v>12.090909090909092</v>
      </c>
      <c r="H23" t="s">
        <v>12</v>
      </c>
      <c r="M23" s="7">
        <f>+M18/M16</f>
        <v>15.444444444444445</v>
      </c>
      <c r="U23">
        <v>0</v>
      </c>
      <c r="V23" s="11">
        <f>ROUND(V22,0)</f>
        <v>47</v>
      </c>
      <c r="W23">
        <f>ROUND(W22,0)</f>
        <v>13</v>
      </c>
    </row>
    <row r="24" spans="22:23" ht="12.75">
      <c r="V24">
        <f>INT(V20)</f>
        <v>22</v>
      </c>
      <c r="W24">
        <f>INT(W20)</f>
        <v>37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185</v>
      </c>
      <c r="H26" t="s">
        <v>14</v>
      </c>
      <c r="M26">
        <f>+M21+M12</f>
        <v>444</v>
      </c>
      <c r="V26" s="14" t="str">
        <f>+V24&amp;V25&amp;V23</f>
        <v>22:47</v>
      </c>
      <c r="W26" s="9" t="str">
        <f>+W24&amp;W25&amp;W23</f>
        <v>37:13</v>
      </c>
    </row>
    <row r="27" spans="1:23" ht="12.75">
      <c r="A27" t="s">
        <v>15</v>
      </c>
      <c r="D27" s="7">
        <f>+D12/D26*100</f>
        <v>43.78378378378379</v>
      </c>
      <c r="H27" t="s">
        <v>15</v>
      </c>
      <c r="M27" s="7">
        <f>+M12/M26*100</f>
        <v>41.44144144144144</v>
      </c>
      <c r="V27" s="9" t="str">
        <f>IF(V23&lt;10,+V24&amp;V25&amp;$U$23&amp;V23,+V24&amp;V25&amp;V23)</f>
        <v>22:47</v>
      </c>
      <c r="W27" s="9" t="str">
        <f>IF(W23&lt;10,+W24&amp;W25&amp;$U$23&amp;W23,+W24&amp;W25&amp;W23)</f>
        <v>37:13</v>
      </c>
    </row>
    <row r="28" spans="1:13" ht="12.75">
      <c r="A28" s="1" t="s">
        <v>86</v>
      </c>
      <c r="D28" s="7">
        <f>+D21/D26*100</f>
        <v>56.21621621621622</v>
      </c>
      <c r="H28" s="1" t="s">
        <v>86</v>
      </c>
      <c r="M28" s="7">
        <f>+M21/M26*100</f>
        <v>58.55855855855856</v>
      </c>
    </row>
    <row r="30" spans="1:13" ht="12.75">
      <c r="A30" t="s">
        <v>16</v>
      </c>
      <c r="D30">
        <f>+D11+D15+D19</f>
        <v>50</v>
      </c>
      <c r="H30" t="s">
        <v>16</v>
      </c>
      <c r="M30">
        <f>+M11+M15+M19</f>
        <v>80</v>
      </c>
    </row>
    <row r="31" spans="1:13" ht="12.75">
      <c r="A31" t="s">
        <v>17</v>
      </c>
      <c r="D31" s="8">
        <f>+D26/D30</f>
        <v>3.7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5.55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0</v>
      </c>
    </row>
    <row r="35" spans="1:13" ht="12.75">
      <c r="A35" t="s">
        <v>20</v>
      </c>
      <c r="D35" s="2">
        <v>35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1</v>
      </c>
    </row>
    <row r="39" spans="1:13" ht="12.75">
      <c r="A39" t="s">
        <v>23</v>
      </c>
      <c r="D39" s="2">
        <v>159</v>
      </c>
      <c r="H39" t="s">
        <v>23</v>
      </c>
      <c r="M39" s="2">
        <v>45</v>
      </c>
    </row>
    <row r="40" spans="1:13" ht="12.75">
      <c r="A40" t="s">
        <v>24</v>
      </c>
      <c r="D40" s="8">
        <f>+D39/D38</f>
        <v>39.75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45</v>
      </c>
    </row>
    <row r="42" spans="1:13" ht="12.75">
      <c r="A42" t="s">
        <v>25</v>
      </c>
      <c r="D42" s="2">
        <v>1</v>
      </c>
      <c r="H42" t="s">
        <v>25</v>
      </c>
      <c r="M42" s="2">
        <v>2</v>
      </c>
    </row>
    <row r="43" spans="1:13" ht="12.75">
      <c r="A43" t="s">
        <v>26</v>
      </c>
      <c r="D43" s="2">
        <v>1</v>
      </c>
      <c r="H43" t="s">
        <v>26</v>
      </c>
      <c r="M43" s="2">
        <v>10</v>
      </c>
    </row>
    <row r="44" spans="1:13" ht="12.75">
      <c r="A44" t="s">
        <v>27</v>
      </c>
      <c r="D44" s="8">
        <f>+D43/D42</f>
        <v>1</v>
      </c>
      <c r="H44" t="s">
        <v>27</v>
      </c>
      <c r="M44" s="8">
        <f>+M43/M42</f>
        <v>5</v>
      </c>
    </row>
    <row r="45" spans="1:13" ht="12.75">
      <c r="A45" t="s">
        <v>106</v>
      </c>
      <c r="D45" s="2">
        <v>0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7</v>
      </c>
      <c r="H48" t="s">
        <v>30</v>
      </c>
      <c r="M48" s="2">
        <v>3</v>
      </c>
    </row>
    <row r="49" spans="1:13" ht="12.75">
      <c r="A49" t="s">
        <v>26</v>
      </c>
      <c r="D49" s="2">
        <v>188</v>
      </c>
      <c r="H49" t="s">
        <v>26</v>
      </c>
      <c r="M49" s="2">
        <v>50</v>
      </c>
    </row>
    <row r="50" spans="1:13" ht="12.75">
      <c r="A50" t="s">
        <v>27</v>
      </c>
      <c r="D50" s="8">
        <f>+D49/D48</f>
        <v>26.857142857142858</v>
      </c>
      <c r="H50" t="s">
        <v>27</v>
      </c>
      <c r="M50" s="8">
        <f>+M49/M48</f>
        <v>16.666666666666668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6</v>
      </c>
      <c r="H53" t="s">
        <v>31</v>
      </c>
      <c r="M53" s="2">
        <v>6</v>
      </c>
    </row>
    <row r="54" spans="1:13" ht="12.75">
      <c r="A54" t="s">
        <v>32</v>
      </c>
      <c r="D54" s="2">
        <v>45</v>
      </c>
      <c r="H54" t="s">
        <v>32</v>
      </c>
      <c r="M54" s="2">
        <v>45</v>
      </c>
    </row>
    <row r="56" spans="1:13" ht="12.75">
      <c r="A56" t="s">
        <v>33</v>
      </c>
      <c r="D56" s="2">
        <v>1</v>
      </c>
      <c r="H56" t="s">
        <v>33</v>
      </c>
      <c r="M56" s="2">
        <v>2</v>
      </c>
    </row>
    <row r="57" spans="1:13" ht="12.75">
      <c r="A57" t="s">
        <v>101</v>
      </c>
      <c r="D57" s="2">
        <v>1</v>
      </c>
      <c r="H57" t="s">
        <v>101</v>
      </c>
      <c r="M57" s="2">
        <v>2</v>
      </c>
    </row>
    <row r="59" spans="1:13" ht="12.75">
      <c r="A59" t="s">
        <v>34</v>
      </c>
      <c r="D59" s="2">
        <v>13</v>
      </c>
      <c r="H59" t="s">
        <v>34</v>
      </c>
      <c r="M59" s="2">
        <v>28</v>
      </c>
    </row>
    <row r="60" spans="1:13" ht="12.75">
      <c r="A60" t="s">
        <v>35</v>
      </c>
      <c r="D60" s="2">
        <v>1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1</v>
      </c>
    </row>
    <row r="62" spans="1:13" ht="12.75">
      <c r="A62" t="s">
        <v>37</v>
      </c>
      <c r="D62" s="2">
        <v>0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7</v>
      </c>
    </row>
    <row r="67" spans="1:13" ht="12.75">
      <c r="A67" t="s">
        <v>42</v>
      </c>
      <c r="D67" s="2">
        <v>2</v>
      </c>
      <c r="H67" t="s">
        <v>42</v>
      </c>
      <c r="M67" s="2">
        <v>7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22:47</v>
      </c>
      <c r="E69" s="8"/>
      <c r="F69" s="8"/>
      <c r="H69" t="s">
        <v>89</v>
      </c>
      <c r="M69" s="10" t="str">
        <f>IF(W23&lt;10,W27,W26)</f>
        <v>37:13</v>
      </c>
    </row>
    <row r="70" spans="1:13" ht="12.75">
      <c r="A70" t="s">
        <v>102</v>
      </c>
      <c r="D70" s="23">
        <f>D162</f>
        <v>25</v>
      </c>
      <c r="E70" s="8"/>
      <c r="F70" s="8"/>
      <c r="H70" t="s">
        <v>102</v>
      </c>
      <c r="M70" s="23">
        <f>M162</f>
        <v>44.44444444444444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14</v>
      </c>
      <c r="D74">
        <v>21</v>
      </c>
      <c r="E74" s="12">
        <f aca="true" t="shared" si="0" ref="E74:E84">+D74/C74</f>
        <v>1.5</v>
      </c>
      <c r="F74">
        <v>6</v>
      </c>
      <c r="G74">
        <v>0</v>
      </c>
      <c r="H74">
        <v>0</v>
      </c>
    </row>
    <row r="75" spans="1:8" ht="12.75">
      <c r="A75" t="s">
        <v>110</v>
      </c>
      <c r="C75">
        <v>8</v>
      </c>
      <c r="D75">
        <v>54</v>
      </c>
      <c r="E75" s="12">
        <f t="shared" si="0"/>
        <v>6.75</v>
      </c>
      <c r="F75">
        <v>36</v>
      </c>
      <c r="G75">
        <v>1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1</v>
      </c>
      <c r="D77">
        <v>6</v>
      </c>
      <c r="E77" s="12">
        <f t="shared" si="0"/>
        <v>6</v>
      </c>
      <c r="F77">
        <v>6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107</v>
      </c>
      <c r="E80" s="12" t="e">
        <f t="shared" si="0"/>
        <v>#DIV/0!</v>
      </c>
    </row>
    <row r="81" spans="1:5" ht="12.75">
      <c r="A81" t="s">
        <v>115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spans="1:5" ht="12.75">
      <c r="A83" t="s">
        <v>117</v>
      </c>
      <c r="E83" s="12" t="e">
        <f t="shared" si="0"/>
        <v>#DIV/0!</v>
      </c>
    </row>
    <row r="84" spans="1:5" ht="12.75">
      <c r="A84" t="s">
        <v>118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119</v>
      </c>
      <c r="C87">
        <v>1</v>
      </c>
      <c r="D87">
        <v>27</v>
      </c>
      <c r="E87" s="12">
        <f aca="true" t="shared" si="1" ref="E87:E102">+D87/C87</f>
        <v>27</v>
      </c>
      <c r="F87">
        <v>27</v>
      </c>
      <c r="G87">
        <v>0</v>
      </c>
      <c r="H87">
        <v>0</v>
      </c>
    </row>
    <row r="88" spans="1:8" ht="12.75">
      <c r="A88" t="s">
        <v>109</v>
      </c>
      <c r="C88">
        <v>2</v>
      </c>
      <c r="D88">
        <v>15</v>
      </c>
      <c r="E88" s="12">
        <f t="shared" si="1"/>
        <v>7.5</v>
      </c>
      <c r="F88">
        <v>13</v>
      </c>
      <c r="G88">
        <v>0</v>
      </c>
      <c r="H88">
        <v>0</v>
      </c>
    </row>
    <row r="89" spans="1:8" ht="12.75">
      <c r="A89" t="s">
        <v>117</v>
      </c>
      <c r="C89">
        <v>1</v>
      </c>
      <c r="D89">
        <v>6</v>
      </c>
      <c r="E89" s="12">
        <f t="shared" si="1"/>
        <v>6</v>
      </c>
      <c r="F89">
        <v>6</v>
      </c>
      <c r="G89">
        <v>0</v>
      </c>
      <c r="H89">
        <v>0</v>
      </c>
    </row>
    <row r="90" spans="1:8" ht="12.75">
      <c r="A90" t="s">
        <v>116</v>
      </c>
      <c r="C90">
        <v>3</v>
      </c>
      <c r="D90">
        <v>59</v>
      </c>
      <c r="E90" s="12">
        <f t="shared" si="1"/>
        <v>19.666666666666668</v>
      </c>
      <c r="F90">
        <v>27</v>
      </c>
      <c r="G90">
        <v>0</v>
      </c>
      <c r="H90">
        <v>0</v>
      </c>
    </row>
    <row r="91" spans="1:8" ht="12.75">
      <c r="A91" t="s">
        <v>112</v>
      </c>
      <c r="C91">
        <v>2</v>
      </c>
      <c r="D91">
        <v>4</v>
      </c>
      <c r="E91" s="12">
        <f t="shared" si="1"/>
        <v>2</v>
      </c>
      <c r="F91">
        <v>2</v>
      </c>
      <c r="G91">
        <v>0</v>
      </c>
      <c r="H91">
        <v>0</v>
      </c>
    </row>
    <row r="92" spans="1:5" ht="12.75">
      <c r="A92" t="s">
        <v>120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8" ht="12.75">
      <c r="A94" t="s">
        <v>122</v>
      </c>
      <c r="C94">
        <v>2</v>
      </c>
      <c r="D94">
        <v>22</v>
      </c>
      <c r="E94" s="12">
        <f t="shared" si="1"/>
        <v>11</v>
      </c>
      <c r="F94">
        <v>17</v>
      </c>
      <c r="G94">
        <v>0</v>
      </c>
      <c r="H94">
        <v>0</v>
      </c>
    </row>
    <row r="95" spans="1:5" ht="12.75">
      <c r="A95" t="s">
        <v>111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110</v>
      </c>
      <c r="E97" s="12" t="e">
        <f t="shared" si="1"/>
        <v>#DIV/0!</v>
      </c>
    </row>
    <row r="98" spans="1:5" ht="12.75">
      <c r="A98" t="s">
        <v>115</v>
      </c>
      <c r="E98" s="12" t="e">
        <f t="shared" si="1"/>
        <v>#DIV/0!</v>
      </c>
    </row>
    <row r="99" spans="1:5" ht="12.75">
      <c r="A99" t="s">
        <v>118</v>
      </c>
      <c r="E99" s="12" t="e">
        <f t="shared" si="1"/>
        <v>#DIV/0!</v>
      </c>
    </row>
    <row r="100" spans="1:5" ht="12.75">
      <c r="A100" t="s">
        <v>124</v>
      </c>
      <c r="E100" s="12" t="e">
        <f t="shared" si="1"/>
        <v>#DIV/0!</v>
      </c>
    </row>
    <row r="101" spans="1:5" ht="12.75">
      <c r="A101" t="s">
        <v>125</v>
      </c>
      <c r="E101" s="12" t="e">
        <f t="shared" si="1"/>
        <v>#DIV/0!</v>
      </c>
    </row>
    <row r="102" spans="1:5" ht="12.75">
      <c r="A102" t="s">
        <v>114</v>
      </c>
      <c r="E102" s="12" t="e">
        <f t="shared" si="1"/>
        <v>#DIV/0!</v>
      </c>
    </row>
    <row r="103" ht="12.75">
      <c r="E103" s="8"/>
    </row>
    <row r="104" spans="1:13" ht="12.75">
      <c r="A104" s="2"/>
      <c r="B104" s="2"/>
      <c r="C104" s="3"/>
      <c r="D104" s="3"/>
      <c r="E104" s="15" t="s">
        <v>57</v>
      </c>
      <c r="F104" s="3" t="s">
        <v>58</v>
      </c>
      <c r="G104" s="3"/>
      <c r="H104" s="3"/>
      <c r="I104" s="3" t="s">
        <v>61</v>
      </c>
      <c r="J104" s="3" t="s">
        <v>63</v>
      </c>
      <c r="K104" s="3" t="s">
        <v>57</v>
      </c>
      <c r="L104" s="3" t="s">
        <v>49</v>
      </c>
      <c r="M104" s="3"/>
    </row>
    <row r="105" spans="1:14" ht="12.75">
      <c r="A105" s="2" t="s">
        <v>54</v>
      </c>
      <c r="B105" s="2"/>
      <c r="C105" s="3" t="s">
        <v>55</v>
      </c>
      <c r="D105" s="3" t="s">
        <v>56</v>
      </c>
      <c r="E105" s="15" t="s">
        <v>56</v>
      </c>
      <c r="F105" s="3" t="s">
        <v>59</v>
      </c>
      <c r="G105" s="3" t="s">
        <v>51</v>
      </c>
      <c r="H105" s="3" t="s">
        <v>60</v>
      </c>
      <c r="I105" s="5" t="s">
        <v>62</v>
      </c>
      <c r="J105" s="3" t="s">
        <v>51</v>
      </c>
      <c r="K105" s="3" t="s">
        <v>64</v>
      </c>
      <c r="L105" s="3" t="s">
        <v>65</v>
      </c>
      <c r="M105" s="3" t="s">
        <v>66</v>
      </c>
      <c r="N105" s="3" t="s">
        <v>80</v>
      </c>
    </row>
    <row r="106" spans="1:25" ht="12.75">
      <c r="A106" t="s">
        <v>107</v>
      </c>
      <c r="C106">
        <v>24</v>
      </c>
      <c r="D106">
        <v>11</v>
      </c>
      <c r="E106" s="12">
        <f>+D106/C106*100</f>
        <v>45.83333333333333</v>
      </c>
      <c r="F106">
        <v>133</v>
      </c>
      <c r="G106">
        <v>0</v>
      </c>
      <c r="H106">
        <v>27</v>
      </c>
      <c r="I106">
        <v>2</v>
      </c>
      <c r="J106" s="8">
        <f>+G106/C106*100</f>
        <v>0</v>
      </c>
      <c r="K106" s="12">
        <f>+I106/C106*100</f>
        <v>8.333333333333332</v>
      </c>
      <c r="L106" s="12">
        <f>+F106/C106</f>
        <v>5.541666666666667</v>
      </c>
      <c r="M106" s="12">
        <f>100*(S106+U106+W106+Y106)/6</f>
        <v>28.645833333333332</v>
      </c>
      <c r="N106">
        <v>1</v>
      </c>
      <c r="R106">
        <f>+(E106-30)/20</f>
        <v>0.7916666666666664</v>
      </c>
      <c r="S106" s="2">
        <f>IF(R106&lt;0,0,IF(R106&gt;2.375,2.375,R106))</f>
        <v>0.7916666666666664</v>
      </c>
      <c r="T106" s="6">
        <f>+(L106-3)/4</f>
        <v>0.6354166666666667</v>
      </c>
      <c r="U106" s="2">
        <f>IF(T106&lt;0,0,IF(T106&gt;2.375,2.375,T106))</f>
        <v>0.6354166666666667</v>
      </c>
      <c r="V106">
        <f>+J106/5</f>
        <v>0</v>
      </c>
      <c r="W106" s="2">
        <f>IF(V106&lt;0,0,IF(V106&gt;2.375,2.375,V106))</f>
        <v>0</v>
      </c>
      <c r="X106">
        <f>(9.5-K106)/4</f>
        <v>0.29166666666666696</v>
      </c>
      <c r="Y106" s="2">
        <f>IF(X106&lt;0,0,X106)</f>
        <v>0.29166666666666696</v>
      </c>
    </row>
    <row r="107" spans="1:25" ht="12.75">
      <c r="A107" t="s">
        <v>114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.75">
      <c r="A108" t="s">
        <v>126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 t="e">
        <f>+J108/5</f>
        <v>#DIV/0!</v>
      </c>
      <c r="W108" s="2" t="e">
        <f>IF(V108&lt;0,0,IF(V108&gt;2.375,2.375,V108))</f>
        <v>#DIV/0!</v>
      </c>
      <c r="X108" t="e">
        <f>(9.5-K108)/4</f>
        <v>#DIV/0!</v>
      </c>
      <c r="Y108" s="2" t="e">
        <f>IF(X108&lt;0,0,X108)</f>
        <v>#DIV/0!</v>
      </c>
    </row>
    <row r="109" spans="1:25" ht="12.75">
      <c r="A109" t="s">
        <v>127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 t="e">
        <f>+J109/5</f>
        <v>#DIV/0!</v>
      </c>
      <c r="W109" s="2" t="e">
        <f>IF(V109&lt;0,0,IF(V109&gt;2.375,2.375,V109))</f>
        <v>#DIV/0!</v>
      </c>
      <c r="X109" t="e">
        <f>(9.5-K109)/4</f>
        <v>#DIV/0!</v>
      </c>
      <c r="Y109" s="2" t="e">
        <f>IF(X109&lt;0,0,X109)</f>
        <v>#DIV/0!</v>
      </c>
    </row>
    <row r="110" spans="1:25" ht="12.75">
      <c r="A110" t="s">
        <v>128</v>
      </c>
      <c r="E110" s="12" t="e">
        <f>+D110/C110*100</f>
        <v>#DIV/0!</v>
      </c>
      <c r="J110" s="8" t="e">
        <f>+G110/C110*100</f>
        <v>#DIV/0!</v>
      </c>
      <c r="K110" s="12" t="e">
        <f>+I110/C110*100</f>
        <v>#DIV/0!</v>
      </c>
      <c r="L110" s="12" t="e">
        <f>+F110/C110</f>
        <v>#DIV/0!</v>
      </c>
      <c r="M110" s="12" t="e">
        <f>100*(S110+U110+W110+Y110)/6</f>
        <v>#DIV/0!</v>
      </c>
      <c r="R110" t="e">
        <f>+(E110-30)/20</f>
        <v>#DIV/0!</v>
      </c>
      <c r="S110" s="2" t="e">
        <f>IF(R110&lt;0,0,IF(R110&gt;2.375,2.375,R110))</f>
        <v>#DIV/0!</v>
      </c>
      <c r="T110" s="6" t="e">
        <f>+(L110-3)/4</f>
        <v>#DIV/0!</v>
      </c>
      <c r="U110" s="2" t="e">
        <f>IF(T110&lt;0,0,IF(T110&gt;2.375,2.375,T110))</f>
        <v>#DIV/0!</v>
      </c>
      <c r="V110" t="e">
        <f>+J110/5</f>
        <v>#DIV/0!</v>
      </c>
      <c r="W110" s="2" t="e">
        <f>IF(V110&lt;0,0,IF(V110&gt;2.375,2.375,V110))</f>
        <v>#DIV/0!</v>
      </c>
      <c r="X110" t="e">
        <f>(9.5-K110)/4</f>
        <v>#DIV/0!</v>
      </c>
      <c r="Y110" s="2" t="e">
        <f>IF(X110&lt;0,0,X110)</f>
        <v>#DIV/0!</v>
      </c>
    </row>
    <row r="113" spans="1:9" ht="12.75">
      <c r="A113" s="2" t="s">
        <v>67</v>
      </c>
      <c r="C113" s="3" t="s">
        <v>68</v>
      </c>
      <c r="D113" s="3" t="s">
        <v>69</v>
      </c>
      <c r="E113" s="3" t="s">
        <v>70</v>
      </c>
      <c r="F113" s="3" t="s">
        <v>49</v>
      </c>
      <c r="G113" s="3" t="s">
        <v>60</v>
      </c>
      <c r="H113" s="3" t="s">
        <v>51</v>
      </c>
      <c r="I113" s="3" t="s">
        <v>80</v>
      </c>
    </row>
    <row r="114" spans="1:9" ht="12.75">
      <c r="A114" t="s">
        <v>129</v>
      </c>
      <c r="C114">
        <v>1</v>
      </c>
      <c r="D114">
        <v>0</v>
      </c>
      <c r="E114">
        <v>1</v>
      </c>
      <c r="F114" s="12">
        <f>+E114/C114</f>
        <v>1</v>
      </c>
      <c r="G114">
        <v>1</v>
      </c>
      <c r="H114">
        <v>0</v>
      </c>
      <c r="I114">
        <v>0</v>
      </c>
    </row>
    <row r="115" spans="1:6" ht="12.75">
      <c r="A115" t="s">
        <v>117</v>
      </c>
      <c r="F115" s="12" t="e">
        <f>+E115/C115</f>
        <v>#DIV/0!</v>
      </c>
    </row>
    <row r="116" spans="1:6" ht="12.75">
      <c r="A116" t="s">
        <v>130</v>
      </c>
      <c r="F116" s="12" t="e">
        <f>+E116/C116</f>
        <v>#DIV/0!</v>
      </c>
    </row>
    <row r="117" spans="1:6" ht="12.75">
      <c r="A117" t="s">
        <v>121</v>
      </c>
      <c r="F117" s="12" t="e">
        <f>+E117/C117</f>
        <v>#DIV/0!</v>
      </c>
    </row>
    <row r="119" spans="1:8" ht="12.75">
      <c r="A119" s="2" t="s">
        <v>30</v>
      </c>
      <c r="C119" s="3" t="s">
        <v>68</v>
      </c>
      <c r="D119" s="3" t="s">
        <v>70</v>
      </c>
      <c r="E119" s="3" t="s">
        <v>49</v>
      </c>
      <c r="F119" s="3" t="s">
        <v>60</v>
      </c>
      <c r="G119" s="3" t="s">
        <v>51</v>
      </c>
      <c r="H119" s="3" t="s">
        <v>80</v>
      </c>
    </row>
    <row r="120" spans="1:8" ht="12.75">
      <c r="A120" t="s">
        <v>112</v>
      </c>
      <c r="C120">
        <v>4</v>
      </c>
      <c r="D120">
        <v>116</v>
      </c>
      <c r="E120" s="12">
        <f aca="true" t="shared" si="2" ref="E120:E126">+D120/C120</f>
        <v>29</v>
      </c>
      <c r="F120">
        <v>50</v>
      </c>
      <c r="G120">
        <v>0</v>
      </c>
      <c r="H120">
        <v>0</v>
      </c>
    </row>
    <row r="121" spans="1:8" ht="12.75">
      <c r="A121" t="s">
        <v>129</v>
      </c>
      <c r="C121">
        <v>2</v>
      </c>
      <c r="D121">
        <v>56</v>
      </c>
      <c r="E121" s="12">
        <f t="shared" si="2"/>
        <v>28</v>
      </c>
      <c r="F121">
        <v>43</v>
      </c>
      <c r="G121">
        <v>0</v>
      </c>
      <c r="H121">
        <v>0</v>
      </c>
    </row>
    <row r="122" spans="1:8" ht="12.75">
      <c r="A122" t="s">
        <v>117</v>
      </c>
      <c r="C122">
        <v>1</v>
      </c>
      <c r="D122">
        <v>16</v>
      </c>
      <c r="E122" s="12">
        <f t="shared" si="2"/>
        <v>16</v>
      </c>
      <c r="F122">
        <v>16</v>
      </c>
      <c r="G122">
        <v>0</v>
      </c>
      <c r="H122">
        <v>0</v>
      </c>
    </row>
    <row r="123" spans="1:5" ht="12.75">
      <c r="A123" t="s">
        <v>115</v>
      </c>
      <c r="E123" s="12" t="e">
        <f t="shared" si="2"/>
        <v>#DIV/0!</v>
      </c>
    </row>
    <row r="124" spans="1:5" ht="12.75">
      <c r="A124" t="s">
        <v>130</v>
      </c>
      <c r="E124" s="12" t="e">
        <f t="shared" si="2"/>
        <v>#DIV/0!</v>
      </c>
    </row>
    <row r="125" spans="1:5" ht="12.75">
      <c r="A125" t="s">
        <v>128</v>
      </c>
      <c r="E125" s="12" t="e">
        <f t="shared" si="2"/>
        <v>#DIV/0!</v>
      </c>
    </row>
    <row r="126" spans="1:5" ht="12.75">
      <c r="A126" t="s">
        <v>131</v>
      </c>
      <c r="E126" s="12" t="e">
        <f t="shared" si="2"/>
        <v>#DIV/0!</v>
      </c>
    </row>
    <row r="128" spans="1:8" ht="12.75">
      <c r="A128" s="2" t="s">
        <v>71</v>
      </c>
      <c r="C128" s="3" t="s">
        <v>68</v>
      </c>
      <c r="D128" s="3" t="s">
        <v>70</v>
      </c>
      <c r="E128" s="3" t="s">
        <v>49</v>
      </c>
      <c r="F128" s="3" t="s">
        <v>60</v>
      </c>
      <c r="G128" s="3" t="s">
        <v>72</v>
      </c>
      <c r="H128" s="3" t="s">
        <v>80</v>
      </c>
    </row>
    <row r="129" spans="1:8" ht="12.75">
      <c r="A129" t="s">
        <v>127</v>
      </c>
      <c r="C129">
        <v>4</v>
      </c>
      <c r="D129">
        <v>159</v>
      </c>
      <c r="E129" s="12">
        <f>+D129/C129</f>
        <v>39.75</v>
      </c>
      <c r="F129">
        <v>48</v>
      </c>
      <c r="G129">
        <v>0</v>
      </c>
      <c r="H129">
        <v>0</v>
      </c>
    </row>
    <row r="130" ht="12.75">
      <c r="I130" s="5" t="s">
        <v>63</v>
      </c>
    </row>
    <row r="131" spans="1:10" ht="12.75">
      <c r="A131" s="4" t="s">
        <v>79</v>
      </c>
      <c r="C131" s="3" t="s">
        <v>73</v>
      </c>
      <c r="D131" s="3" t="s">
        <v>74</v>
      </c>
      <c r="E131" s="3" t="s">
        <v>75</v>
      </c>
      <c r="F131" s="3" t="s">
        <v>76</v>
      </c>
      <c r="G131" s="3" t="s">
        <v>77</v>
      </c>
      <c r="H131" s="3" t="s">
        <v>78</v>
      </c>
      <c r="I131" s="3" t="s">
        <v>82</v>
      </c>
      <c r="J131" s="3" t="s">
        <v>60</v>
      </c>
    </row>
    <row r="132" spans="1:10" ht="12.75">
      <c r="A132" t="s">
        <v>132</v>
      </c>
      <c r="C132">
        <v>4</v>
      </c>
      <c r="D132">
        <v>1</v>
      </c>
      <c r="E132">
        <v>1</v>
      </c>
      <c r="F132">
        <v>1</v>
      </c>
      <c r="G132">
        <v>2</v>
      </c>
      <c r="H132">
        <v>2</v>
      </c>
      <c r="I132" s="12">
        <f>+H132/G132*100</f>
        <v>100</v>
      </c>
      <c r="J132">
        <v>39</v>
      </c>
    </row>
    <row r="134" spans="1:8" ht="12.75">
      <c r="A134" s="2" t="s">
        <v>81</v>
      </c>
      <c r="C134" s="3" t="s">
        <v>68</v>
      </c>
      <c r="D134" s="3" t="s">
        <v>70</v>
      </c>
      <c r="E134" s="3" t="s">
        <v>49</v>
      </c>
      <c r="F134" s="3" t="s">
        <v>60</v>
      </c>
      <c r="G134" s="3" t="s">
        <v>51</v>
      </c>
      <c r="H134" s="3" t="s">
        <v>80</v>
      </c>
    </row>
    <row r="135" spans="1:5" ht="12.75">
      <c r="A135" t="s">
        <v>133</v>
      </c>
      <c r="E135" s="12" t="e">
        <f>+D135/C135</f>
        <v>#DIV/0!</v>
      </c>
    </row>
    <row r="136" spans="1:5" ht="12.75">
      <c r="A136" t="s">
        <v>134</v>
      </c>
      <c r="E136" s="12" t="e">
        <f aca="true" t="shared" si="3" ref="E136:E143">+D136/C136</f>
        <v>#DIV/0!</v>
      </c>
    </row>
    <row r="137" spans="1:5" ht="12.75">
      <c r="A137" t="s">
        <v>135</v>
      </c>
      <c r="E137" s="12" t="e">
        <f t="shared" si="3"/>
        <v>#DIV/0!</v>
      </c>
    </row>
    <row r="138" spans="1:5" ht="12.75">
      <c r="A138" t="s">
        <v>129</v>
      </c>
      <c r="E138" s="12" t="e">
        <f t="shared" si="3"/>
        <v>#DIV/0!</v>
      </c>
    </row>
    <row r="139" spans="1:5" ht="12.75">
      <c r="A139" t="s">
        <v>136</v>
      </c>
      <c r="E139" s="12" t="e">
        <f t="shared" si="3"/>
        <v>#DIV/0!</v>
      </c>
    </row>
    <row r="140" spans="1:5" ht="12.75">
      <c r="A140" t="s">
        <v>113</v>
      </c>
      <c r="E140" s="12" t="e">
        <f t="shared" si="3"/>
        <v>#DIV/0!</v>
      </c>
    </row>
    <row r="141" spans="1:5" ht="12.75">
      <c r="A141" t="s">
        <v>137</v>
      </c>
      <c r="E141" s="12" t="e">
        <f t="shared" si="3"/>
        <v>#DIV/0!</v>
      </c>
    </row>
    <row r="142" spans="1:5" ht="12.75">
      <c r="A142" t="s">
        <v>138</v>
      </c>
      <c r="E142" s="12" t="e">
        <f t="shared" si="3"/>
        <v>#DIV/0!</v>
      </c>
    </row>
    <row r="143" spans="1:5" ht="12.75">
      <c r="A143" t="s">
        <v>139</v>
      </c>
      <c r="E143" s="12" t="e">
        <f t="shared" si="3"/>
        <v>#DIV/0!</v>
      </c>
    </row>
    <row r="145" spans="1:4" ht="12.75">
      <c r="A145" s="2" t="s">
        <v>90</v>
      </c>
      <c r="C145" s="3" t="s">
        <v>68</v>
      </c>
      <c r="D145" s="3"/>
    </row>
    <row r="146" ht="12.75">
      <c r="A146" t="s">
        <v>140</v>
      </c>
    </row>
    <row r="147" ht="12.75">
      <c r="A147" t="s">
        <v>141</v>
      </c>
    </row>
    <row r="148" ht="12.75">
      <c r="A148" t="s">
        <v>142</v>
      </c>
    </row>
    <row r="149" ht="12.75">
      <c r="A149" t="s">
        <v>143</v>
      </c>
    </row>
    <row r="150" ht="12.75">
      <c r="A150" t="s">
        <v>144</v>
      </c>
    </row>
    <row r="151" ht="12.75">
      <c r="A151" t="s">
        <v>145</v>
      </c>
    </row>
    <row r="152" ht="12.75">
      <c r="A152" t="s">
        <v>125</v>
      </c>
    </row>
    <row r="153" ht="12.75">
      <c r="A153" t="s">
        <v>134</v>
      </c>
    </row>
    <row r="154" ht="12.75">
      <c r="A154" t="s">
        <v>138</v>
      </c>
    </row>
    <row r="155" spans="1:3" ht="12.75">
      <c r="A155" t="s">
        <v>113</v>
      </c>
      <c r="C155">
        <v>1</v>
      </c>
    </row>
    <row r="156" spans="1:3" ht="12.75">
      <c r="A156" t="s">
        <v>146</v>
      </c>
      <c r="C156">
        <v>1</v>
      </c>
    </row>
    <row r="157" ht="12.75">
      <c r="A157" t="s">
        <v>137</v>
      </c>
    </row>
    <row r="159" spans="4:14" ht="12.75">
      <c r="D159" s="2" t="s">
        <v>84</v>
      </c>
      <c r="E159" s="2" t="s">
        <v>85</v>
      </c>
      <c r="M159" s="2" t="s">
        <v>84</v>
      </c>
      <c r="N159" s="2" t="s">
        <v>85</v>
      </c>
    </row>
    <row r="160" spans="1:13" ht="12.75">
      <c r="A160" t="s">
        <v>93</v>
      </c>
      <c r="D160">
        <v>12</v>
      </c>
      <c r="H160" t="s">
        <v>93</v>
      </c>
      <c r="M160">
        <v>18</v>
      </c>
    </row>
    <row r="161" spans="1:13" ht="12.75">
      <c r="A161" t="s">
        <v>94</v>
      </c>
      <c r="D161">
        <v>3</v>
      </c>
      <c r="H161" t="s">
        <v>94</v>
      </c>
      <c r="M161">
        <v>8</v>
      </c>
    </row>
    <row r="162" spans="1:13" ht="12.75">
      <c r="A162" t="s">
        <v>95</v>
      </c>
      <c r="D162">
        <f>D161/D160*100</f>
        <v>25</v>
      </c>
      <c r="H162" t="s">
        <v>95</v>
      </c>
      <c r="M162">
        <f>+M161/M160*100</f>
        <v>44.44444444444444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Owner</cp:lastModifiedBy>
  <dcterms:created xsi:type="dcterms:W3CDTF">2004-12-04T00:48:17Z</dcterms:created>
  <dcterms:modified xsi:type="dcterms:W3CDTF">2015-03-22T21:17:28Z</dcterms:modified>
  <cp:category/>
  <cp:version/>
  <cp:contentType/>
  <cp:contentStatus/>
</cp:coreProperties>
</file>