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9570" activeTab="0"/>
  </bookViews>
  <sheets>
    <sheet name="Cumulative Stats" sheetId="1" r:id="rId1"/>
    <sheet name="at DAL" sheetId="2" r:id="rId2"/>
    <sheet name="at PHI" sheetId="3" r:id="rId3"/>
    <sheet name="at PIT" sheetId="4" r:id="rId4"/>
    <sheet name="at MIN" sheetId="5" r:id="rId5"/>
    <sheet name="PHI" sheetId="6" r:id="rId6"/>
    <sheet name="CLE" sheetId="7" r:id="rId7"/>
    <sheet name="STL" sheetId="8" r:id="rId8"/>
    <sheet name="WAS" sheetId="9" r:id="rId9"/>
    <sheet name="at CLE" sheetId="10" r:id="rId10"/>
    <sheet name="at STL" sheetId="11" r:id="rId11"/>
    <sheet name="CHI" sheetId="12" r:id="rId12"/>
    <sheet name="PIT" sheetId="13" r:id="rId13"/>
    <sheet name="at WAS" sheetId="14" r:id="rId14"/>
    <sheet name="DAL" sheetId="15" r:id="rId15"/>
  </sheets>
  <definedNames/>
  <calcPr fullCalcOnLoad="1"/>
</workbook>
</file>

<file path=xl/sharedStrings.xml><?xml version="1.0" encoding="utf-8"?>
<sst xmlns="http://schemas.openxmlformats.org/spreadsheetml/2006/main" count="4313" uniqueCount="171">
  <si>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</si>
  <si>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</si>
  <si>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</si>
  <si>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</si>
  <si>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</si>
  <si>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</si>
  <si>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</si>
  <si>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</si>
  <si>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</si>
  <si>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</si>
  <si>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</si>
  <si>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</si>
  <si>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</si>
  <si>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</si>
  <si>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</si>
  <si>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</si>
  <si>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</si>
  <si>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</si>
  <si>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</si>
  <si>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</si>
  <si>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</si>
  <si>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</si>
  <si>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</si>
  <si>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</si>
  <si>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</si>
  <si>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</si>
  <si>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</si>
  <si>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</si>
  <si>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</si>
  <si>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</si>
  <si>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</si>
  <si>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</si>
  <si>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</si>
  <si>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</si>
  <si>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</si>
  <si>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</si>
  <si>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</si>
  <si>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</si>
  <si>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</si>
  <si>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</si>
  <si>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</si>
  <si>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</si>
  <si>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</si>
  <si>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</si>
  <si>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</si>
  <si>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</si>
  <si>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</si>
  <si>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</si>
  <si>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</si>
  <si>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</si>
  <si>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</si>
  <si>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</si>
  <si>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</si>
  <si>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</si>
  <si>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</si>
  <si>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</si>
  <si>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</si>
  <si>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</si>
  <si>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</si>
  <si>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</si>
  <si>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</si>
  <si>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</si>
  <si>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</si>
  <si>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</si>
  <si>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</si>
  <si>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</si>
  <si>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</si>
  <si>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</si>
  <si>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</si>
  <si>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</si>
  <si>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</si>
  <si>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</si>
  <si>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</si>
  <si>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</si>
  <si>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</si>
  <si>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</si>
  <si>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</si>
  <si>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</si>
  <si>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</si>
  <si>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</si>
  <si>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</si>
  <si>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</si>
  <si>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</si>
  <si>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</si>
  <si>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</si>
  <si>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</si>
  <si>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</si>
  <si>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</si>
  <si>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</si>
  <si>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</si>
  <si>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</si>
  <si>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</si>
  <si>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</si>
  <si>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</si>
  <si>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Fumble Recoveries:</t>
  </si>
  <si>
    <t>Rushing</t>
  </si>
  <si>
    <t>Passing</t>
  </si>
  <si>
    <t>Penalty</t>
  </si>
  <si>
    <t>1965 New York Giants</t>
  </si>
  <si>
    <t>Frederickson</t>
  </si>
  <si>
    <t>Thurlow</t>
  </si>
  <si>
    <t>Koy</t>
  </si>
  <si>
    <t>Wheelwright</t>
  </si>
  <si>
    <t>Reed</t>
  </si>
  <si>
    <t>Wood</t>
  </si>
  <si>
    <t>Mercein</t>
  </si>
  <si>
    <t>Morrall</t>
  </si>
  <si>
    <t>Morrison</t>
  </si>
  <si>
    <t>Jones</t>
  </si>
  <si>
    <t>Thomas</t>
  </si>
  <si>
    <t>Schofner</t>
  </si>
  <si>
    <t>Crespino</t>
  </si>
  <si>
    <t>W.Williams</t>
  </si>
  <si>
    <t>Carroll</t>
  </si>
  <si>
    <t>Lockhart</t>
  </si>
  <si>
    <t>Childs</t>
  </si>
  <si>
    <t>Webb</t>
  </si>
  <si>
    <t>Ros.Brown</t>
  </si>
  <si>
    <t>Stynchula</t>
  </si>
  <si>
    <t>Thimberlake</t>
  </si>
  <si>
    <t>Lynch</t>
  </si>
  <si>
    <t>Underwood</t>
  </si>
  <si>
    <t>Hillebrand</t>
  </si>
  <si>
    <t>Carr</t>
  </si>
  <si>
    <t>Patton</t>
  </si>
  <si>
    <t>ANDERSON</t>
  </si>
  <si>
    <t>BOLIN</t>
  </si>
  <si>
    <t>BROWN</t>
  </si>
  <si>
    <t>BUNDRA</t>
  </si>
  <si>
    <t>CARR</t>
  </si>
  <si>
    <t>CARROLL</t>
  </si>
  <si>
    <t>CASE</t>
  </si>
  <si>
    <t>CHILDS</t>
  </si>
  <si>
    <t>CONDREN</t>
  </si>
  <si>
    <t>COSTELLO</t>
  </si>
  <si>
    <t>CRESPINO</t>
  </si>
  <si>
    <t>DAVIS,ROGER</t>
  </si>
  <si>
    <t>DAVIS,ROSEY</t>
  </si>
  <si>
    <t>FREDERICKSON</t>
  </si>
  <si>
    <t>HILLEBRAND</t>
  </si>
  <si>
    <t>JONES</t>
  </si>
  <si>
    <t>KATCAVAGE</t>
  </si>
  <si>
    <t>KOY</t>
  </si>
  <si>
    <t>LA LONDE</t>
  </si>
  <si>
    <t>LARSON</t>
  </si>
  <si>
    <t>LASKY</t>
  </si>
  <si>
    <t>LOCKHART</t>
  </si>
  <si>
    <t>LOVETERE</t>
  </si>
  <si>
    <t>LYNCH</t>
  </si>
  <si>
    <t>McDOWELL</t>
  </si>
  <si>
    <t>MERCEIN</t>
  </si>
  <si>
    <t>MORRAL</t>
  </si>
  <si>
    <t>MORRISON</t>
  </si>
  <si>
    <t>O'BRIEN</t>
  </si>
  <si>
    <t>PATTON</t>
  </si>
  <si>
    <t>REED</t>
  </si>
  <si>
    <t>SCHOLTZ</t>
  </si>
  <si>
    <t>SHOFNER</t>
  </si>
  <si>
    <t>SLABY</t>
  </si>
  <si>
    <t>STYNCHULA</t>
  </si>
  <si>
    <t>SWAIN</t>
  </si>
  <si>
    <t>THOMAS</t>
  </si>
  <si>
    <t>THURLOW</t>
  </si>
  <si>
    <t>TIMBERLAKE</t>
  </si>
  <si>
    <t>UNDERWOOD</t>
  </si>
  <si>
    <t>WALKER</t>
  </si>
  <si>
    <t>WEBB</t>
  </si>
  <si>
    <t>WHEELWRIGHT</t>
  </si>
  <si>
    <t>WILLIAMS</t>
  </si>
  <si>
    <t>WOOD</t>
  </si>
  <si>
    <t>Davis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</si>
</sst>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.75">
      <c r="A1" s="4" t="s">
        <v>98</v>
      </c>
    </row>
    <row r="2" spans="1:2" ht="12.75">
      <c r="A2" t="s">
        <v>87</v>
      </c>
      <c r="B2" s="2">
        <v>14</v>
      </c>
    </row>
    <row r="3" spans="1:8" ht="12.75">
      <c r="A3" s="2" t="s">
        <v>0</v>
      </c>
      <c r="H3" s="2" t="s">
        <v>48</v>
      </c>
    </row>
    <row r="4" spans="5:15" ht="12.75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.75">
      <c r="A6" s="1" t="s">
        <v>29</v>
      </c>
      <c r="D6" s="2">
        <f>+'at DAL'!D6+'at PHI'!D6+'at PIT'!D6+'at MIN'!D6+PHI!D6+CLE!D6+STL!D6+WAS!D6+'at CLE'!D6+'at STL'!D6+CHI!D6+PIT!D6+'at WAS'!D6+DAL!D6</f>
        <v>229</v>
      </c>
      <c r="E6" s="8">
        <f>+D6/$B$2</f>
        <v>16.357142857142858</v>
      </c>
      <c r="F6" s="8">
        <v>16.428571428571427</v>
      </c>
      <c r="H6" s="1" t="s">
        <v>29</v>
      </c>
      <c r="M6" s="2">
        <f>+'at DAL'!M6+'at PHI'!M6+'at PIT'!M6+'at MIN'!M6+PHI!M6+CLE!M6+STL!M6+WAS!M6+'at CLE'!M6+'at STL'!M6+CHI!M6+PIT!M6+'at WAS'!M6+DAL!M6</f>
        <v>287</v>
      </c>
      <c r="N6" s="8">
        <f>+M6/$B$2</f>
        <v>20.5</v>
      </c>
      <c r="O6" s="8">
        <v>19</v>
      </c>
    </row>
    <row r="7" spans="1:15" ht="12.75">
      <c r="A7" s="9" t="s">
        <v>95</v>
      </c>
      <c r="D7" s="2">
        <f>+'at DAL'!D7+'at PHI'!D7+'at PIT'!D7+'at MIN'!D7+PHI!D7+CLE!D7+STL!D7+WAS!D7+'at CLE'!D7+'at STL'!D7+CHI!D7+PIT!D7+'at WAS'!D7+DAL!D7</f>
        <v>94</v>
      </c>
      <c r="E7" s="8">
        <f>+D7/$B$2</f>
        <v>6.714285714285714</v>
      </c>
      <c r="F7" s="8">
        <v>6.5</v>
      </c>
      <c r="H7" s="9" t="s">
        <v>95</v>
      </c>
      <c r="M7" s="2">
        <f>+'at DAL'!M7+'at PHI'!M7+'at PIT'!M7+'at MIN'!M7+PHI!M7+CLE!M7+STL!M7+WAS!M7+'at CLE'!M7+'at STL'!M7+CHI!M7+PIT!M7+'at WAS'!M7+DAL!M7</f>
        <v>136</v>
      </c>
      <c r="N7" s="8">
        <f>+M7/$B$2</f>
        <v>9.714285714285714</v>
      </c>
      <c r="O7" s="8">
        <v>7.714285714285714</v>
      </c>
    </row>
    <row r="8" spans="1:15" ht="12.75">
      <c r="A8" s="9" t="s">
        <v>96</v>
      </c>
      <c r="D8" s="2">
        <f>+'at DAL'!D8+'at PHI'!D8+'at PIT'!D8+'at MIN'!D8+PHI!D8+CLE!D8+STL!D8+WAS!D8+'at CLE'!D8+'at STL'!D8+CHI!D8+PIT!D8+'at WAS'!D8+DAL!D8</f>
        <v>122</v>
      </c>
      <c r="E8" s="8">
        <f>+D8/$B$2</f>
        <v>8.714285714285714</v>
      </c>
      <c r="F8" s="8">
        <v>8</v>
      </c>
      <c r="H8" s="9" t="s">
        <v>96</v>
      </c>
      <c r="M8" s="2">
        <f>+'at DAL'!M8+'at PHI'!M8+'at PIT'!M8+'at MIN'!M8+PHI!M8+CLE!M8+STL!M8+WAS!M8+'at CLE'!M8+'at STL'!M8+CHI!M8+PIT!M8+'at WAS'!M8+DAL!M8</f>
        <v>138</v>
      </c>
      <c r="N8" s="8">
        <f>+M8/$B$2</f>
        <v>9.857142857142858</v>
      </c>
      <c r="O8" s="8">
        <v>10</v>
      </c>
    </row>
    <row r="9" spans="1:15" ht="12.75">
      <c r="A9" s="9" t="s">
        <v>97</v>
      </c>
      <c r="D9" s="2">
        <f>+'at DAL'!D9+'at PHI'!D9+'at PIT'!D9+'at MIN'!D9+PHI!D9+CLE!D9+STL!D9+WAS!D9+'at CLE'!D9+'at STL'!D9+CHI!D9+PIT!D9+'at WAS'!D9+DAL!D9</f>
        <v>13</v>
      </c>
      <c r="E9" s="8">
        <f>+D9/$B$2</f>
        <v>0.9285714285714286</v>
      </c>
      <c r="F9" s="8">
        <v>1.9285714285714286</v>
      </c>
      <c r="H9" s="9" t="s">
        <v>97</v>
      </c>
      <c r="M9" s="2">
        <f>+'at DAL'!M9+'at PHI'!M9+'at PIT'!M9+'at MIN'!M9+PHI!M9+CLE!M9+STL!M9+WAS!M9+'at CLE'!M9+'at STL'!M9+CHI!M9+PIT!M9+'at WAS'!M9+DAL!M9</f>
        <v>13</v>
      </c>
      <c r="N9" s="8">
        <f>+M9/$B$2</f>
        <v>0.9285714285714286</v>
      </c>
      <c r="O9" s="8">
        <v>1.2857142857142858</v>
      </c>
    </row>
    <row r="10" spans="5:15" ht="12.75">
      <c r="E10" s="8"/>
      <c r="F10" s="8"/>
      <c r="N10" s="8"/>
      <c r="O10" s="8"/>
    </row>
    <row r="11" spans="1:23" ht="12.75">
      <c r="A11" t="s">
        <v>1</v>
      </c>
      <c r="D11" s="2">
        <f>+'at DAL'!D11+'at PHI'!D11+'at PIT'!D11+'at MIN'!D11+PHI!D11+CLE!D11+STL!D11+WAS!D11+'at CLE'!D11+'at STL'!D11+CHI!D11+PIT!D11+'at WAS'!D11+DAL!D11</f>
        <v>438</v>
      </c>
      <c r="E11" s="8">
        <f>+D11/$B$2</f>
        <v>31.285714285714285</v>
      </c>
      <c r="F11" s="8">
        <v>30.214285714285715</v>
      </c>
      <c r="H11" t="s">
        <v>1</v>
      </c>
      <c r="M11" s="2">
        <f>+'at DAL'!M11+'at PHI'!M11+'at PIT'!M11+'at MIN'!M11+PHI!M11+CLE!M11+STL!M11+WAS!M11+'at CLE'!M11+'at STL'!M11+CHI!M11+PIT!M11+'at WAS'!M11+DAL!M11</f>
        <v>471</v>
      </c>
      <c r="N11" s="8">
        <f>+M11/$B$2</f>
        <v>33.642857142857146</v>
      </c>
      <c r="O11" s="8">
        <v>31.928571428571427</v>
      </c>
      <c r="V11">
        <f>+D11</f>
        <v>438</v>
      </c>
      <c r="W11">
        <f>+M11</f>
        <v>471</v>
      </c>
    </row>
    <row r="12" spans="1:23" ht="12.75">
      <c r="A12" t="s">
        <v>2</v>
      </c>
      <c r="D12" s="2">
        <f>+'at DAL'!D12+'at PHI'!D12+'at PIT'!D12+'at MIN'!D12+PHI!D12+CLE!D12+STL!D12+WAS!D12+'at CLE'!D12+'at STL'!D12+CHI!D12+PIT!D12+'at WAS'!D12+DAL!D12</f>
        <v>1722</v>
      </c>
      <c r="E12" s="8">
        <f>+D12/$B$2</f>
        <v>123</v>
      </c>
      <c r="F12" s="8">
        <v>117.92857142857143</v>
      </c>
      <c r="H12" t="s">
        <v>2</v>
      </c>
      <c r="M12" s="2">
        <f>+'at DAL'!M12+'at PHI'!M12+'at PIT'!M12+'at MIN'!M12+PHI!M12+CLE!M12+STL!M12+WAS!M12+'at CLE'!M12+'at STL'!M12+CHI!M12+PIT!M12+'at WAS'!M12+DAL!M12</f>
        <v>2294</v>
      </c>
      <c r="N12" s="8">
        <f>+M12/$B$2</f>
        <v>163.85714285714286</v>
      </c>
      <c r="O12" s="8">
        <v>139.71428571428572</v>
      </c>
      <c r="U12" s="13"/>
      <c r="V12">
        <f>+D16</f>
        <v>192</v>
      </c>
      <c r="W12">
        <f>+M16</f>
        <v>208</v>
      </c>
    </row>
    <row r="13" spans="1:23" ht="12.75">
      <c r="A13" s="1" t="s">
        <v>3</v>
      </c>
      <c r="D13" s="8">
        <f>+D12/D11</f>
        <v>3.9315068493150687</v>
      </c>
      <c r="E13" s="8"/>
      <c r="F13" s="8">
        <v>3.9</v>
      </c>
      <c r="H13" s="1" t="s">
        <v>3</v>
      </c>
      <c r="M13" s="8">
        <f>+M12/M11</f>
        <v>4.870488322717622</v>
      </c>
      <c r="N13" s="8"/>
      <c r="O13" s="8">
        <v>4.4</v>
      </c>
      <c r="V13">
        <f>+(D15-D16)/2</f>
        <v>88.5</v>
      </c>
      <c r="W13">
        <f>+(M15-M16)/2</f>
        <v>85.5</v>
      </c>
    </row>
    <row r="14" spans="5:23" ht="12.75">
      <c r="E14" s="8"/>
      <c r="F14" s="8"/>
      <c r="N14" s="8"/>
      <c r="O14" s="8"/>
      <c r="V14">
        <f>+D38/2</f>
        <v>37.5</v>
      </c>
      <c r="W14">
        <f>+M38/2</f>
        <v>26.5</v>
      </c>
    </row>
    <row r="15" spans="1:23" ht="12.75">
      <c r="A15" t="s">
        <v>4</v>
      </c>
      <c r="D15" s="2">
        <f>+'at DAL'!D15+'at PHI'!D15+'at PIT'!D15+'at MIN'!D15+PHI!D15+CLE!D15+STL!D15+WAS!D15+'at CLE'!D15+'at STL'!D15+CHI!D15+PIT!D15+'at WAS'!D15+DAL!D15</f>
        <v>369</v>
      </c>
      <c r="E15" s="8">
        <f>+D15/$B$2</f>
        <v>26.357142857142858</v>
      </c>
      <c r="F15" s="8">
        <v>24.428571428571427</v>
      </c>
      <c r="H15" t="s">
        <v>4</v>
      </c>
      <c r="M15" s="2">
        <f>+'at DAL'!M15+'at PHI'!M15+'at PIT'!M15+'at MIN'!M15+PHI!M15+CLE!M15+STL!M15+WAS!M15+'at CLE'!M15+'at STL'!M15+CHI!M15+PIT!M15+'at WAS'!M15+DAL!M15</f>
        <v>379</v>
      </c>
      <c r="N15" s="8">
        <f>+M15/$B$2</f>
        <v>27.071428571428573</v>
      </c>
      <c r="O15" s="8">
        <v>28.071428571428573</v>
      </c>
      <c r="V15">
        <f>+D42/2</f>
        <v>14.5</v>
      </c>
      <c r="W15">
        <f>+M42/2</f>
        <v>22.5</v>
      </c>
    </row>
    <row r="16" spans="1:23" ht="12.75">
      <c r="A16" t="s">
        <v>5</v>
      </c>
      <c r="D16" s="2">
        <f>+'at DAL'!D16+'at PHI'!D16+'at PIT'!D16+'at MIN'!D16+PHI!D16+CLE!D16+STL!D16+WAS!D16+'at CLE'!D16+'at STL'!D16+CHI!D16+PIT!D16+'at WAS'!D16+DAL!D16</f>
        <v>192</v>
      </c>
      <c r="E16" s="8">
        <f>+D16/$B$2</f>
        <v>13.714285714285714</v>
      </c>
      <c r="F16" s="8">
        <v>12.214285714285714</v>
      </c>
      <c r="H16" t="s">
        <v>5</v>
      </c>
      <c r="M16" s="2">
        <f>+'at DAL'!M16+'at PHI'!M16+'at PIT'!M16+'at MIN'!M16+PHI!M16+CLE!M16+STL!M16+WAS!M16+'at CLE'!M16+'at STL'!M16+CHI!M16+PIT!M16+'at WAS'!M16+DAL!M16</f>
        <v>208</v>
      </c>
      <c r="N16" s="8">
        <f>+M16/$B$2</f>
        <v>14.857142857142858</v>
      </c>
      <c r="O16" s="8">
        <v>14.857142857142858</v>
      </c>
      <c r="V16">
        <f>+D47/2</f>
        <v>23</v>
      </c>
      <c r="W16">
        <f>+M47/2</f>
        <v>30</v>
      </c>
    </row>
    <row r="17" spans="1:15" ht="12.75">
      <c r="A17" t="s">
        <v>6</v>
      </c>
      <c r="D17" s="8">
        <f>+D16/D15*100</f>
        <v>52.03252032520326</v>
      </c>
      <c r="E17" s="8">
        <f>+E16/E15*100</f>
        <v>52.032520325203244</v>
      </c>
      <c r="F17" s="8">
        <f>+F16/F15*100</f>
        <v>50</v>
      </c>
      <c r="H17" t="s">
        <v>6</v>
      </c>
      <c r="M17" s="8">
        <f>+M16/M15*100</f>
        <v>54.88126649076517</v>
      </c>
      <c r="N17" s="8">
        <f>+N16/N15*100</f>
        <v>54.88126649076517</v>
      </c>
      <c r="O17" s="8">
        <f>+O16/O15*100</f>
        <v>52.926208651399484</v>
      </c>
    </row>
    <row r="18" spans="1:24" ht="12.75">
      <c r="A18" t="s">
        <v>7</v>
      </c>
      <c r="D18" s="2">
        <f>+'at DAL'!D18+'at PHI'!D18+'at PIT'!D18+'at MIN'!D18+PHI!D18+CLE!D18+STL!D18+WAS!D18+'at CLE'!D18+'at STL'!D18+CHI!D18+PIT!D18+'at WAS'!D18+DAL!D18</f>
        <v>3369</v>
      </c>
      <c r="E18" s="8">
        <f>+D18/$B$2</f>
        <v>240.64285714285714</v>
      </c>
      <c r="F18" s="8">
        <v>191.78571428571428</v>
      </c>
      <c r="H18" t="s">
        <v>7</v>
      </c>
      <c r="M18" s="2">
        <f>+'at DAL'!M18+'at PHI'!M18+'at PIT'!M18+'at MIN'!M18+PHI!M18+CLE!M18+STL!M18+WAS!M18+'at CLE'!M18+'at STL'!M18+CHI!M18+PIT!M18+'at WAS'!M18+DAL!M18</f>
        <v>3138</v>
      </c>
      <c r="N18" s="8">
        <f>+M18/$B$2</f>
        <v>224.14285714285714</v>
      </c>
      <c r="O18" s="8">
        <v>232.21428571428572</v>
      </c>
      <c r="V18">
        <f>SUM(V11:V16)</f>
        <v>793.5</v>
      </c>
      <c r="W18">
        <f>SUM(W11:W16)</f>
        <v>843.5</v>
      </c>
      <c r="X18">
        <f>+W18+V18</f>
        <v>1637</v>
      </c>
    </row>
    <row r="19" spans="1:23" ht="12.75">
      <c r="A19" t="s">
        <v>8</v>
      </c>
      <c r="D19" s="2">
        <f>+'at DAL'!D19+'at PHI'!D19+'at PIT'!D19+'at MIN'!D19+PHI!D19+CLE!D19+STL!D19+WAS!D19+'at CLE'!D19+'at STL'!D19+CHI!D19+PIT!D19+'at WAS'!D19+DAL!D19</f>
        <v>33</v>
      </c>
      <c r="E19" s="8">
        <f>+D19/$B$2</f>
        <v>2.357142857142857</v>
      </c>
      <c r="F19" s="8">
        <v>2.2142857142857144</v>
      </c>
      <c r="H19" t="s">
        <v>8</v>
      </c>
      <c r="M19" s="2">
        <f>+'at DAL'!M19+'at PHI'!M19+'at PIT'!M19+'at MIN'!M19+PHI!M19+CLE!M19+STL!M19+WAS!M19+'at CLE'!M19+'at STL'!M19+CHI!M19+PIT!M19+'at WAS'!M19+DAL!M19</f>
        <v>39</v>
      </c>
      <c r="N19" s="8">
        <f>+M19/$B$2</f>
        <v>2.7857142857142856</v>
      </c>
      <c r="O19" s="8">
        <v>2.7857142857142856</v>
      </c>
      <c r="V19">
        <f>+V18/X18</f>
        <v>0.48472816127061696</v>
      </c>
      <c r="W19">
        <f>+W18/X18</f>
        <v>0.515271838729383</v>
      </c>
    </row>
    <row r="20" spans="1:23" ht="12.75">
      <c r="A20" t="s">
        <v>9</v>
      </c>
      <c r="D20" s="2">
        <f>+'at DAL'!D20+'at PHI'!D20+'at PIT'!D20+'at MIN'!D20+PHI!D20+CLE!D20+STL!D20+WAS!D20+'at CLE'!D20+'at STL'!D20+CHI!D20+PIT!D20+'at WAS'!D20+DAL!D20</f>
        <v>245</v>
      </c>
      <c r="E20" s="8">
        <f>+D20/$B$2</f>
        <v>17.5</v>
      </c>
      <c r="F20" s="8">
        <v>18.214285714285715</v>
      </c>
      <c r="H20" t="s">
        <v>9</v>
      </c>
      <c r="M20" s="2">
        <f>+'at DAL'!M20+'at PHI'!M20+'at PIT'!M20+'at MIN'!M20+PHI!M20+CLE!M20+STL!M20+WAS!M20+'at CLE'!M20+'at STL'!M20+CHI!M20+PIT!M20+'at WAS'!M20+DAL!M20</f>
        <v>269</v>
      </c>
      <c r="N20" s="8">
        <f>+M20/$B$2</f>
        <v>19.214285714285715</v>
      </c>
      <c r="O20" s="8">
        <v>21</v>
      </c>
      <c r="V20">
        <f>+V19*60</f>
        <v>29.083689676237018</v>
      </c>
      <c r="W20">
        <f>+W19*60</f>
        <v>30.91631032376298</v>
      </c>
    </row>
    <row r="21" spans="1:23" ht="12.75">
      <c r="A21" t="s">
        <v>10</v>
      </c>
      <c r="D21">
        <f>+D18-D20</f>
        <v>3124</v>
      </c>
      <c r="E21" s="8">
        <f>+D21/B2</f>
        <v>223.14285714285714</v>
      </c>
      <c r="F21" s="8">
        <v>173.57142857142858</v>
      </c>
      <c r="H21" t="s">
        <v>10</v>
      </c>
      <c r="M21">
        <f>+M18-M20</f>
        <v>2869</v>
      </c>
      <c r="N21" s="8">
        <f>+M21/B2</f>
        <v>204.92857142857142</v>
      </c>
      <c r="O21" s="8">
        <v>211.21428571428572</v>
      </c>
      <c r="V21">
        <f>+V20-INT(V20)</f>
        <v>0.08368967623701806</v>
      </c>
      <c r="W21">
        <f>+W20-INT(W20)</f>
        <v>0.9163103237629784</v>
      </c>
    </row>
    <row r="22" spans="1:23" ht="12.75">
      <c r="A22" t="s">
        <v>11</v>
      </c>
      <c r="D22" s="7">
        <f>+D21/(D15+D19)</f>
        <v>7.7711442786069655</v>
      </c>
      <c r="E22" s="8"/>
      <c r="F22" s="8">
        <v>6.51</v>
      </c>
      <c r="H22" t="s">
        <v>11</v>
      </c>
      <c r="M22" s="7">
        <f>+M21/(M15+M19)</f>
        <v>6.863636363636363</v>
      </c>
      <c r="N22" s="8"/>
      <c r="O22" s="8">
        <v>6.84</v>
      </c>
      <c r="V22">
        <f>+V21*60</f>
        <v>5.021380574221084</v>
      </c>
      <c r="W22">
        <f>+W21*60</f>
        <v>54.9786194257787</v>
      </c>
    </row>
    <row r="23" spans="1:23" ht="12.75">
      <c r="A23" t="s">
        <v>12</v>
      </c>
      <c r="D23" s="7">
        <f>+D18/D16</f>
        <v>17.546875</v>
      </c>
      <c r="E23" s="8"/>
      <c r="F23" s="8">
        <v>15.7</v>
      </c>
      <c r="H23" t="s">
        <v>12</v>
      </c>
      <c r="M23" s="7">
        <f>+M18/M16</f>
        <v>15.086538461538462</v>
      </c>
      <c r="N23" s="8"/>
      <c r="O23" s="8">
        <v>15.63</v>
      </c>
      <c r="U23">
        <v>0</v>
      </c>
      <c r="V23" s="11">
        <f>ROUND(V22,0)</f>
        <v>5</v>
      </c>
      <c r="W23">
        <f>ROUND(W22,0)</f>
        <v>55</v>
      </c>
    </row>
    <row r="24" spans="5:23" ht="12.75">
      <c r="E24" s="8"/>
      <c r="F24" s="8"/>
      <c r="N24" s="8"/>
      <c r="O24" s="8"/>
      <c r="V24">
        <f>INT(V20)</f>
        <v>29</v>
      </c>
      <c r="W24">
        <f>INT(W20)</f>
        <v>30</v>
      </c>
    </row>
    <row r="25" spans="1:23" ht="12.75">
      <c r="A25" t="s">
        <v>13</v>
      </c>
      <c r="E25" s="8"/>
      <c r="F25" s="8"/>
      <c r="H25" t="s">
        <v>13</v>
      </c>
      <c r="N25" s="8"/>
      <c r="O25" s="8"/>
      <c r="V25" t="s">
        <v>91</v>
      </c>
      <c r="W25" t="s">
        <v>91</v>
      </c>
    </row>
    <row r="26" spans="1:23" ht="12.75">
      <c r="A26" t="s">
        <v>14</v>
      </c>
      <c r="D26">
        <f>+D21+D12</f>
        <v>4846</v>
      </c>
      <c r="E26" s="8">
        <f>+D26/B2</f>
        <v>346.14285714285717</v>
      </c>
      <c r="F26" s="8">
        <v>291.5</v>
      </c>
      <c r="H26" t="s">
        <v>14</v>
      </c>
      <c r="M26">
        <f>+M21+M12</f>
        <v>5163</v>
      </c>
      <c r="N26" s="8">
        <f>+M26/B2</f>
        <v>368.7857142857143</v>
      </c>
      <c r="O26" s="8">
        <v>350.92857142857144</v>
      </c>
      <c r="V26" s="14" t="str">
        <f>+V24&amp;V25&amp;V23</f>
        <v>29:5</v>
      </c>
      <c r="W26" s="9" t="str">
        <f>+W24&amp;W25&amp;W23</f>
        <v>30:55</v>
      </c>
    </row>
    <row r="27" spans="1:23" ht="12.75">
      <c r="A27" t="s">
        <v>15</v>
      </c>
      <c r="D27" s="7">
        <f>+D12/D26*100</f>
        <v>35.53446141147338</v>
      </c>
      <c r="E27" s="8"/>
      <c r="F27" s="8">
        <v>40.46</v>
      </c>
      <c r="H27" t="s">
        <v>15</v>
      </c>
      <c r="M27" s="7">
        <f>+M12/M26*100</f>
        <v>44.43153205500678</v>
      </c>
      <c r="N27" s="8"/>
      <c r="O27" s="8">
        <v>39.81</v>
      </c>
      <c r="V27" s="9" t="str">
        <f>IF(V23&lt;10,+V24&amp;V25&amp;$U$23&amp;V23,+V24&amp;V25&amp;V23)</f>
        <v>29:05</v>
      </c>
      <c r="W27" s="9" t="str">
        <f>IF(W23&lt;10,+W24&amp;W25&amp;$U$23&amp;W23,+W24&amp;W25&amp;W23)</f>
        <v>30:55</v>
      </c>
    </row>
    <row r="28" spans="1:15" ht="12.75">
      <c r="A28" s="1" t="s">
        <v>90</v>
      </c>
      <c r="D28" s="7">
        <f>+D21/D26*100</f>
        <v>64.46553858852661</v>
      </c>
      <c r="E28" s="8"/>
      <c r="F28" s="8">
        <v>59.54</v>
      </c>
      <c r="H28" s="1" t="s">
        <v>90</v>
      </c>
      <c r="M28" s="7">
        <f>+M21/M26*100</f>
        <v>55.568467944993216</v>
      </c>
      <c r="N28" s="8"/>
      <c r="O28" s="8">
        <v>60.19</v>
      </c>
    </row>
    <row r="29" spans="5:15" ht="12.75">
      <c r="E29" s="8"/>
      <c r="F29" s="8"/>
      <c r="N29" s="8"/>
      <c r="O29" s="8"/>
    </row>
    <row r="30" spans="1:15" ht="12.75">
      <c r="A30" t="s">
        <v>16</v>
      </c>
      <c r="D30">
        <f>+D11+D15+D19</f>
        <v>840</v>
      </c>
      <c r="E30" s="8">
        <f>+D30/$B$2</f>
        <v>60</v>
      </c>
      <c r="F30" s="8">
        <v>56.9</v>
      </c>
      <c r="H30" t="s">
        <v>16</v>
      </c>
      <c r="M30">
        <f>+M11+M15+M19</f>
        <v>889</v>
      </c>
      <c r="N30" s="8">
        <f>+M30/$B$2</f>
        <v>63.5</v>
      </c>
      <c r="O30" s="8">
        <v>62.785714285714285</v>
      </c>
    </row>
    <row r="31" spans="1:15" ht="12.75">
      <c r="A31" t="s">
        <v>17</v>
      </c>
      <c r="D31" s="8">
        <f>+D26/D30</f>
        <v>5.769047619047619</v>
      </c>
      <c r="E31" s="8"/>
      <c r="F31" s="8">
        <v>5.1</v>
      </c>
      <c r="G31" s="7"/>
      <c r="H31" s="7" t="s">
        <v>17</v>
      </c>
      <c r="I31" s="7"/>
      <c r="J31" s="7"/>
      <c r="K31" s="7"/>
      <c r="L31" s="7"/>
      <c r="M31" s="8">
        <f>+M26/M30</f>
        <v>5.8076490438695165</v>
      </c>
      <c r="N31" s="8"/>
      <c r="O31" s="8">
        <v>5.6</v>
      </c>
    </row>
    <row r="32" spans="5:15" ht="12.75">
      <c r="E32" s="8"/>
      <c r="F32" s="8"/>
      <c r="N32" s="8"/>
      <c r="O32" s="8"/>
    </row>
    <row r="33" spans="1:15" ht="12.75">
      <c r="A33" t="s">
        <v>18</v>
      </c>
      <c r="E33" s="8"/>
      <c r="F33" s="8"/>
      <c r="H33" t="s">
        <v>18</v>
      </c>
      <c r="N33" s="8"/>
      <c r="O33" s="8"/>
    </row>
    <row r="34" spans="1:15" ht="12.75">
      <c r="A34" t="s">
        <v>19</v>
      </c>
      <c r="D34" s="2">
        <f>+'at DAL'!D34+'at PHI'!D34+'at PIT'!D34+'at MIN'!D34+PHI!D34+CLE!D34+STL!D34+WAS!D34+'at CLE'!D34+'at STL'!D34+CHI!D34+PIT!D34+'at WAS'!D34+DAL!D34</f>
        <v>17</v>
      </c>
      <c r="E34" s="8">
        <f>+D34/$B$2</f>
        <v>1.2142857142857142</v>
      </c>
      <c r="F34" s="8">
        <v>1.1428571428571428</v>
      </c>
      <c r="H34" t="s">
        <v>19</v>
      </c>
      <c r="M34" s="2">
        <f>+'at DAL'!M34+'at PHI'!M34+'at PIT'!M34+'at MIN'!M34+PHI!M34+CLE!M34+STL!M34+WAS!M34+'at CLE'!M34+'at STL'!M34+CHI!M34+PIT!M34+'at WAS'!M34+DAL!M34</f>
        <v>18</v>
      </c>
      <c r="N34" s="8">
        <f>+M34/$B$2</f>
        <v>1.2857142857142858</v>
      </c>
      <c r="O34" s="8">
        <v>1.1428571428571428</v>
      </c>
    </row>
    <row r="35" spans="1:15" ht="12.75">
      <c r="A35" t="s">
        <v>20</v>
      </c>
      <c r="D35" s="2">
        <f>+'at DAL'!D35+'at PHI'!D35+'at PIT'!D35+'at MIN'!D35+PHI!D35+CLE!D35+STL!D35+WAS!D35+'at CLE'!D35+'at STL'!D35+CHI!D35+PIT!D35+'at WAS'!D35+DAL!D35</f>
        <v>295</v>
      </c>
      <c r="E35" s="8"/>
      <c r="F35" s="8"/>
      <c r="H35" t="s">
        <v>20</v>
      </c>
      <c r="M35" s="2">
        <f>+'at DAL'!M35+'at PHI'!M35+'at PIT'!M35+'at MIN'!M35+PHI!M35+CLE!M35+STL!M35+WAS!M35+'at CLE'!M35+'at STL'!M35+CHI!M35+PIT!M35+'at WAS'!M35+DAL!M35</f>
        <v>239</v>
      </c>
      <c r="N35" s="8"/>
      <c r="O35" s="8"/>
    </row>
    <row r="36" spans="1:15" ht="12.75">
      <c r="A36" t="s">
        <v>21</v>
      </c>
      <c r="D36" s="2">
        <f>+'at DAL'!D36+'at PHI'!D36+'at PIT'!D36+'at MIN'!D36+PHI!D36+CLE!D36+STL!D36+WAS!D36+'at CLE'!D36+'at STL'!D36+CHI!D36+PIT!D36+'at WAS'!D36+DAL!D36</f>
        <v>3</v>
      </c>
      <c r="E36" s="8"/>
      <c r="F36" s="8"/>
      <c r="H36" t="s">
        <v>21</v>
      </c>
      <c r="M36" s="2">
        <f>+'at DAL'!M36+'at PHI'!M36+'at PIT'!M36+'at MIN'!M36+PHI!M36+CLE!M36+STL!M36+WAS!M36+'at CLE'!M36+'at STL'!M36+CHI!M36+PIT!M36+'at WAS'!M36+DAL!M36</f>
        <v>1</v>
      </c>
      <c r="N36" s="8"/>
      <c r="O36" s="8"/>
    </row>
    <row r="37" spans="5:15" ht="12.75">
      <c r="E37" s="8"/>
      <c r="F37" s="8"/>
      <c r="N37" s="8"/>
      <c r="O37" s="8"/>
    </row>
    <row r="38" spans="1:15" ht="12.75">
      <c r="A38" t="s">
        <v>22</v>
      </c>
      <c r="D38" s="2">
        <f>+'at DAL'!D38+'at PHI'!D38+'at PIT'!D38+'at MIN'!D38+PHI!D38+CLE!D38+STL!D38+WAS!D38+'at CLE'!D38+'at STL'!D38+CHI!D38+PIT!D38+'at WAS'!D38+DAL!D38</f>
        <v>75</v>
      </c>
      <c r="E38" s="8">
        <f>+D38/$B$2</f>
        <v>5.357142857142857</v>
      </c>
      <c r="F38" s="8">
        <v>4.357142857142857</v>
      </c>
      <c r="H38" t="s">
        <v>22</v>
      </c>
      <c r="M38" s="2">
        <f>+'at DAL'!M38+'at PHI'!M38+'at PIT'!M38+'at MIN'!M38+PHI!M38+CLE!M38+STL!M38+WAS!M38+'at CLE'!M38+'at STL'!M38+CHI!M38+PIT!M38+'at WAS'!M38+DAL!M38</f>
        <v>53</v>
      </c>
      <c r="N38" s="8">
        <f>+M38/$B$2</f>
        <v>3.7857142857142856</v>
      </c>
      <c r="O38" s="8">
        <v>3.2142857142857144</v>
      </c>
    </row>
    <row r="39" spans="1:15" ht="12.75">
      <c r="A39" t="s">
        <v>23</v>
      </c>
      <c r="D39" s="2">
        <f>+'at DAL'!D39+'at PHI'!D39+'at PIT'!D39+'at MIN'!D39+PHI!D39+CLE!D39+STL!D39+WAS!D39+'at CLE'!D39+'at STL'!D39+CHI!D39+PIT!D39+'at WAS'!D39+DAL!D39</f>
        <v>3033</v>
      </c>
      <c r="E39" s="8">
        <f>+D39/$B$2</f>
        <v>216.64285714285714</v>
      </c>
      <c r="F39" s="8">
        <v>181.07142857142858</v>
      </c>
      <c r="H39" t="s">
        <v>23</v>
      </c>
      <c r="M39" s="2">
        <f>+'at DAL'!M39+'at PHI'!M39+'at PIT'!M39+'at MIN'!M39+PHI!M39+CLE!M39+STL!M39+WAS!M39+'at CLE'!M39+'at STL'!M39+CHI!M39+PIT!M39+'at WAS'!M39+DAL!M39</f>
        <v>2304</v>
      </c>
      <c r="N39" s="8">
        <f>+M39/$B$2</f>
        <v>164.57142857142858</v>
      </c>
      <c r="O39" s="8">
        <v>137.21428571428572</v>
      </c>
    </row>
    <row r="40" spans="1:15" ht="12.75">
      <c r="A40" t="s">
        <v>24</v>
      </c>
      <c r="D40" s="8">
        <f>+D39/D38</f>
        <v>40.44</v>
      </c>
      <c r="E40" s="8"/>
      <c r="F40" s="8">
        <v>41.6</v>
      </c>
      <c r="G40" s="7"/>
      <c r="H40" s="7" t="s">
        <v>24</v>
      </c>
      <c r="I40" s="7"/>
      <c r="J40" s="7"/>
      <c r="K40" s="7"/>
      <c r="L40" s="7"/>
      <c r="M40" s="8">
        <f>+M39/M38</f>
        <v>43.471698113207545</v>
      </c>
      <c r="N40" s="8"/>
      <c r="O40" s="8">
        <v>42.7</v>
      </c>
    </row>
    <row r="41" spans="5:15" ht="12.75">
      <c r="E41" s="8"/>
      <c r="F41" s="8"/>
      <c r="N41" s="8"/>
      <c r="O41" s="8"/>
    </row>
    <row r="42" spans="1:15" ht="12.75">
      <c r="A42" t="s">
        <v>25</v>
      </c>
      <c r="D42" s="2">
        <f>+'at DAL'!D42+'at PHI'!D42+'at PIT'!D42+'at MIN'!D42+PHI!D42+CLE!D42+STL!D42+WAS!D42+'at CLE'!D42+'at STL'!D42+CHI!D42+PIT!D42+'at WAS'!D42+DAL!D42</f>
        <v>29</v>
      </c>
      <c r="E42" s="8">
        <f>+D42/$B$2</f>
        <v>2.0714285714285716</v>
      </c>
      <c r="F42" s="8">
        <v>1.7142857142857142</v>
      </c>
      <c r="H42" t="s">
        <v>25</v>
      </c>
      <c r="M42" s="2">
        <f>+'at DAL'!M42+'at PHI'!M42+'at PIT'!M42+'at MIN'!M42+PHI!M42+CLE!M42+STL!M42+WAS!M42+'at CLE'!M42+'at STL'!M42+CHI!M42+PIT!M42+'at WAS'!M42+DAL!M42</f>
        <v>45</v>
      </c>
      <c r="N42" s="8">
        <f>+M42/$B$2</f>
        <v>3.2142857142857144</v>
      </c>
      <c r="O42" s="8">
        <v>1.5714285714285714</v>
      </c>
    </row>
    <row r="43" spans="1:15" ht="12.75">
      <c r="A43" t="s">
        <v>26</v>
      </c>
      <c r="D43" s="2">
        <f>+'at DAL'!D43+'at PHI'!D43+'at PIT'!D43+'at MIN'!D43+PHI!D43+CLE!D43+STL!D43+WAS!D43+'at CLE'!D43+'at STL'!D43+CHI!D43+PIT!D43+'at WAS'!D43+DAL!D43</f>
        <v>138</v>
      </c>
      <c r="E43" s="8">
        <f>+D43/$B$2</f>
        <v>9.857142857142858</v>
      </c>
      <c r="F43" s="8">
        <v>2.5</v>
      </c>
      <c r="H43" t="s">
        <v>26</v>
      </c>
      <c r="M43" s="2">
        <f>+'at DAL'!M43+'at PHI'!M43+'at PIT'!M43+'at MIN'!M43+PHI!M43+CLE!M43+STL!M43+WAS!M43+'at CLE'!M43+'at STL'!M43+CHI!M43+PIT!M43+'at WAS'!M43+DAL!M43</f>
        <v>526</v>
      </c>
      <c r="N43" s="8">
        <f>+M43/$B$2</f>
        <v>37.57142857142857</v>
      </c>
      <c r="O43" s="8">
        <v>9.785714285714286</v>
      </c>
    </row>
    <row r="44" spans="1:15" ht="12.75">
      <c r="A44" t="s">
        <v>27</v>
      </c>
      <c r="D44" s="8">
        <f>+D43/D42</f>
        <v>4.758620689655173</v>
      </c>
      <c r="E44" s="8"/>
      <c r="F44" s="8">
        <v>1.5</v>
      </c>
      <c r="H44" t="s">
        <v>27</v>
      </c>
      <c r="M44" s="8">
        <f>+M43/M42</f>
        <v>11.688888888888888</v>
      </c>
      <c r="N44" s="8"/>
      <c r="O44" s="8">
        <v>6.2</v>
      </c>
    </row>
    <row r="45" spans="1:15" ht="12.75">
      <c r="A45" t="s">
        <v>28</v>
      </c>
      <c r="D45" s="2">
        <f>+'at DAL'!D45+'at PHI'!D45+'at PIT'!D45+'at MIN'!D45+PHI!D45+CLE!D45+STL!D45+WAS!D45+'at CLE'!D45+'at STL'!D45+CHI!D45+PIT!D45+'at WAS'!D45+DAL!D45</f>
        <v>0</v>
      </c>
      <c r="E45" s="8"/>
      <c r="F45" s="8"/>
      <c r="H45" t="s">
        <v>28</v>
      </c>
      <c r="M45" s="2">
        <f>+'at DAL'!M45+'at PHI'!M45+'at PIT'!M45+'at MIN'!M45+PHI!M45+CLE!M45+STL!M45+WAS!M45+'at CLE'!M45+'at STL'!M45+CHI!M45+PIT!M45+'at WAS'!M45+DAL!M45</f>
        <v>1</v>
      </c>
      <c r="N45" s="8"/>
      <c r="O45" s="8"/>
    </row>
    <row r="46" spans="5:15" ht="12.75">
      <c r="E46" s="8"/>
      <c r="F46" s="8"/>
      <c r="N46" s="8"/>
      <c r="O46" s="8"/>
    </row>
    <row r="47" spans="1:15" ht="12.75">
      <c r="A47" t="s">
        <v>30</v>
      </c>
      <c r="D47" s="2">
        <f>+'at DAL'!D47+'at PHI'!D47+'at PIT'!D47+'at MIN'!D47+PHI!D47+CLE!D47+STL!D47+WAS!D47+'at CLE'!D47+'at STL'!D47+CHI!D47+PIT!D47+'at WAS'!D47+DAL!D47</f>
        <v>46</v>
      </c>
      <c r="E47" s="8">
        <f>+D47/$B$2</f>
        <v>3.2857142857142856</v>
      </c>
      <c r="F47" s="8">
        <v>4.285714285714286</v>
      </c>
      <c r="H47" t="s">
        <v>30</v>
      </c>
      <c r="M47" s="2">
        <f>+'at DAL'!M47+'at PHI'!M47+'at PIT'!M47+'at MIN'!M47+PHI!M47+CLE!M47+STL!M47+WAS!M47+'at CLE'!M47+'at STL'!M47+CHI!M47+PIT!M47+'at WAS'!M47+DAL!M47</f>
        <v>60</v>
      </c>
      <c r="N47" s="8">
        <f>+M47/$B$2</f>
        <v>4.285714285714286</v>
      </c>
      <c r="O47" s="8">
        <v>3.857142857142857</v>
      </c>
    </row>
    <row r="48" spans="1:15" ht="12.75">
      <c r="A48" t="s">
        <v>26</v>
      </c>
      <c r="D48" s="2">
        <f>+'at DAL'!D48+'at PHI'!D48+'at PIT'!D48+'at MIN'!D48+PHI!D48+CLE!D48+STL!D48+WAS!D48+'at CLE'!D48+'at STL'!D48+CHI!D48+PIT!D48+'at WAS'!D48+DAL!D48</f>
        <v>997</v>
      </c>
      <c r="E48" s="8">
        <f>+D48/$B$2</f>
        <v>71.21428571428571</v>
      </c>
      <c r="F48" s="8">
        <v>93.07142857142857</v>
      </c>
      <c r="H48" t="s">
        <v>26</v>
      </c>
      <c r="M48" s="2">
        <f>+'at DAL'!M48+'at PHI'!M48+'at PIT'!M48+'at MIN'!M48+PHI!M48+CLE!M48+STL!M48+WAS!M48+'at CLE'!M48+'at STL'!M48+CHI!M48+PIT!M48+'at WAS'!M48+DAL!M48</f>
        <v>1523</v>
      </c>
      <c r="N48" s="8">
        <f>+M48/$B$2</f>
        <v>108.78571428571429</v>
      </c>
      <c r="O48" s="8">
        <v>83.92857142857143</v>
      </c>
    </row>
    <row r="49" spans="1:15" ht="12.75">
      <c r="A49" t="s">
        <v>27</v>
      </c>
      <c r="D49" s="8">
        <f>+D48/D47</f>
        <v>21.67391304347826</v>
      </c>
      <c r="E49" s="8"/>
      <c r="F49" s="8">
        <v>21.7</v>
      </c>
      <c r="H49" t="s">
        <v>27</v>
      </c>
      <c r="M49" s="8">
        <f>+M48/M47</f>
        <v>25.383333333333333</v>
      </c>
      <c r="N49" s="8"/>
      <c r="O49" s="8">
        <v>21.8</v>
      </c>
    </row>
    <row r="50" spans="1:15" ht="12.75">
      <c r="A50" t="s">
        <v>28</v>
      </c>
      <c r="D50" s="2">
        <f>+'at DAL'!D50+'at PHI'!D50+'at PIT'!D50+'at MIN'!D50+PHI!D50+CLE!D50+STL!D50+WAS!D50+'at CLE'!D50+'at STL'!D50+CHI!D50+PIT!D50+'at WAS'!D50+DAL!D50</f>
        <v>0</v>
      </c>
      <c r="E50" s="8"/>
      <c r="F50" s="8"/>
      <c r="H50" t="s">
        <v>28</v>
      </c>
      <c r="M50" s="2">
        <f>+'at DAL'!M50+'at PHI'!M50+'at PIT'!M50+'at MIN'!M50+PHI!M50+CLE!M50+STL!M50+WAS!M50+'at CLE'!M50+'at STL'!M50+CHI!M50+PIT!M50+'at WAS'!M50+DAL!M50</f>
        <v>0</v>
      </c>
      <c r="N50" s="8"/>
      <c r="O50" s="8"/>
    </row>
    <row r="51" spans="5:15" ht="12.75">
      <c r="E51" s="8"/>
      <c r="F51" s="8"/>
      <c r="N51" s="8"/>
      <c r="O51" s="8"/>
    </row>
    <row r="52" spans="1:15" ht="12.75">
      <c r="A52" t="s">
        <v>31</v>
      </c>
      <c r="D52" s="2">
        <f>+'at DAL'!D52+'at PHI'!D52+'at PIT'!D52+'at MIN'!D52+PHI!D52+CLE!D52+STL!D52+WAS!D52+'at CLE'!D52+'at STL'!D52+CHI!D52+PIT!D52+'at WAS'!D52+DAL!D52</f>
        <v>48</v>
      </c>
      <c r="E52" s="8">
        <f>+D52/$B$2</f>
        <v>3.4285714285714284</v>
      </c>
      <c r="F52" s="8">
        <v>4.357142857142857</v>
      </c>
      <c r="H52" t="s">
        <v>31</v>
      </c>
      <c r="M52" s="2">
        <f>+'at DAL'!M52+'at PHI'!M52+'at PIT'!M52+'at MIN'!M52+PHI!M52+CLE!M52+STL!M52+WAS!M52+'at CLE'!M52+'at STL'!M52+CHI!M52+PIT!M52+'at WAS'!M52+DAL!M52</f>
        <v>60</v>
      </c>
      <c r="N52" s="8">
        <f>+M52/$B$2</f>
        <v>4.285714285714286</v>
      </c>
      <c r="O52" s="8">
        <v>5.928571428571429</v>
      </c>
    </row>
    <row r="53" spans="1:15" ht="12.75">
      <c r="A53" t="s">
        <v>32</v>
      </c>
      <c r="D53" s="2">
        <f>+'at DAL'!D53+'at PHI'!D53+'at PIT'!D53+'at MIN'!D53+PHI!D53+CLE!D53+STL!D53+WAS!D53+'at CLE'!D53+'at STL'!D53+CHI!D53+PIT!D53+'at WAS'!D53+DAL!D53</f>
        <v>427</v>
      </c>
      <c r="E53" s="8">
        <f>+D53/$B$2</f>
        <v>30.5</v>
      </c>
      <c r="F53" s="8">
        <v>44.142857142857146</v>
      </c>
      <c r="H53" t="s">
        <v>32</v>
      </c>
      <c r="M53" s="2">
        <f>+'at DAL'!M53+'at PHI'!M53+'at PIT'!M53+'at MIN'!M53+PHI!M53+CLE!M53+STL!M53+WAS!M53+'at CLE'!M53+'at STL'!M53+CHI!M53+PIT!M53+'at WAS'!M53+DAL!M53</f>
        <v>483</v>
      </c>
      <c r="N53" s="8">
        <f>+M53/$B$2</f>
        <v>34.5</v>
      </c>
      <c r="O53" s="8">
        <v>60.57142857142857</v>
      </c>
    </row>
    <row r="54" spans="5:15" ht="12.75">
      <c r="E54" s="8"/>
      <c r="F54" s="8"/>
      <c r="N54" s="8"/>
      <c r="O54" s="8"/>
    </row>
    <row r="55" spans="1:15" ht="12.75">
      <c r="A55" t="s">
        <v>33</v>
      </c>
      <c r="D55" s="2">
        <f>+'at DAL'!D55+'at PHI'!D55+'at PIT'!D55+'at MIN'!D55+PHI!D55+CLE!D55+STL!D55+WAS!D55+'at CLE'!D55+'at STL'!D55+CHI!D55+PIT!D55+'at WAS'!D55+DAL!D55</f>
        <v>38</v>
      </c>
      <c r="E55" s="8">
        <f>+D55/$B$2</f>
        <v>2.7142857142857144</v>
      </c>
      <c r="F55" s="8">
        <v>2.2142857142857144</v>
      </c>
      <c r="H55" t="s">
        <v>33</v>
      </c>
      <c r="M55" s="2">
        <f>+'at DAL'!M55+'at PHI'!M55+'at PIT'!M55+'at MIN'!M55+PHI!M55+CLE!M55+STL!M55+WAS!M55+'at CLE'!M55+'at STL'!M55+CHI!M55+PIT!M55+'at WAS'!M55+DAL!M55</f>
        <v>36</v>
      </c>
      <c r="N55" s="8">
        <f>+M55/$B$2</f>
        <v>2.5714285714285716</v>
      </c>
      <c r="O55" s="8">
        <v>2.2857142857142856</v>
      </c>
    </row>
    <row r="56" spans="1:15" ht="12.75">
      <c r="A56" t="s">
        <v>34</v>
      </c>
      <c r="D56" s="2">
        <f>+'at DAL'!D56+'at PHI'!D56+'at PIT'!D56+'at MIN'!D56+PHI!D56+CLE!D56+STL!D56+WAS!D56+'at CLE'!D56+'at STL'!D56+CHI!D56+PIT!D56+'at WAS'!D56+DAL!D56</f>
        <v>19</v>
      </c>
      <c r="E56" s="8"/>
      <c r="F56" s="8"/>
      <c r="H56" t="s">
        <v>34</v>
      </c>
      <c r="M56" s="2">
        <f>+'at DAL'!M56+'at PHI'!M56+'at PIT'!M56+'at MIN'!M56+PHI!M56+CLE!M56+STL!M56+WAS!M56+'at CLE'!M56+'at STL'!M56+CHI!M56+PIT!M56+'at WAS'!M56+DAL!M56</f>
        <v>13</v>
      </c>
      <c r="N56" s="8"/>
      <c r="O56" s="8"/>
    </row>
    <row r="57" spans="1:15" ht="12.75">
      <c r="A57" t="s">
        <v>35</v>
      </c>
      <c r="D57" s="2">
        <f>+'at DAL'!D57+'at PHI'!D57+'at PIT'!D57+'at MIN'!D57+PHI!D57+CLE!D57+STL!D57+WAS!D57+'at CLE'!D57+'at STL'!D57+CHI!D57+PIT!D57+'at WAS'!D57+DAL!D57</f>
        <v>1</v>
      </c>
      <c r="E57" s="8"/>
      <c r="F57" s="8"/>
      <c r="H57" t="s">
        <v>35</v>
      </c>
      <c r="M57" s="2">
        <f>+'at DAL'!M57+'at PHI'!M57+'at PIT'!M57+'at MIN'!M57+PHI!M57+CLE!M57+STL!M57+WAS!M57+'at CLE'!M57+'at STL'!M57+CHI!M57+PIT!M57+'at WAS'!M57+DAL!M57</f>
        <v>0</v>
      </c>
      <c r="N57" s="8"/>
      <c r="O57" s="8"/>
    </row>
    <row r="58" spans="1:15" ht="12.75">
      <c r="A58" t="s">
        <v>36</v>
      </c>
      <c r="D58" s="2">
        <f>+'at DAL'!D58+'at PHI'!D58+'at PIT'!D58+'at MIN'!D58+PHI!D58+CLE!D58+STL!D58+WAS!D58+'at CLE'!D58+'at STL'!D58+CHI!D58+PIT!D58+'at WAS'!D58+DAL!D58</f>
        <v>19</v>
      </c>
      <c r="E58" s="8"/>
      <c r="F58" s="8"/>
      <c r="H58" t="s">
        <v>36</v>
      </c>
      <c r="M58" s="2">
        <f>+'at DAL'!M58+'at PHI'!M58+'at PIT'!M58+'at MIN'!M58+PHI!M58+CLE!M58+STL!M58+WAS!M58+'at CLE'!M58+'at STL'!M58+CHI!M58+PIT!M58+'at WAS'!M58+DAL!M58</f>
        <v>13</v>
      </c>
      <c r="N58" s="8"/>
      <c r="O58" s="8"/>
    </row>
    <row r="59" spans="1:15" ht="12.75">
      <c r="A59" s="1" t="s">
        <v>37</v>
      </c>
      <c r="D59" s="2">
        <f>+'at DAL'!D59+'at PHI'!D59+'at PIT'!D59+'at MIN'!D59+PHI!D59+CLE!D59+STL!D59+WAS!D59+'at CLE'!D59+'at STL'!D59+CHI!D59+PIT!D59+'at WAS'!D59+DAL!D59</f>
        <v>0</v>
      </c>
      <c r="E59" s="8"/>
      <c r="F59" s="8"/>
      <c r="H59" s="1" t="s">
        <v>37</v>
      </c>
      <c r="M59" s="2">
        <f>+'at DAL'!M59+'at PHI'!M59+'at PIT'!M59+'at MIN'!M59+PHI!M59+CLE!M59+STL!M59+WAS!M59+'at CLE'!M59+'at STL'!M59+CHI!M59+PIT!M59+'at WAS'!M59+DAL!M59</f>
        <v>1</v>
      </c>
      <c r="N59" s="8"/>
      <c r="O59" s="8"/>
    </row>
    <row r="60" spans="5:15" ht="12.75">
      <c r="E60" s="8"/>
      <c r="F60" s="8"/>
      <c r="N60" s="8"/>
      <c r="O60" s="8"/>
    </row>
    <row r="61" spans="1:15" ht="12.75">
      <c r="A61" t="s">
        <v>38</v>
      </c>
      <c r="D61" s="2">
        <f>+'at DAL'!D61+'at PHI'!D61+'at PIT'!D61+'at MIN'!D61+PHI!D61+CLE!D61+STL!D61+WAS!D61+'at CLE'!D61+'at STL'!D61+CHI!D61+PIT!D61+'at WAS'!D61+DAL!D61</f>
        <v>337</v>
      </c>
      <c r="E61" s="8">
        <f>+D61/$B$2</f>
        <v>24.071428571428573</v>
      </c>
      <c r="F61" s="8">
        <v>19.285714285714285</v>
      </c>
      <c r="H61" t="s">
        <v>38</v>
      </c>
      <c r="M61" s="2">
        <f>+'at DAL'!M61+'at PHI'!M61+'at PIT'!M61+'at MIN'!M61+PHI!M61+CLE!M61+STL!M61+WAS!M61+'at CLE'!M61+'at STL'!M61+CHI!M61+PIT!M61+'at WAS'!M61+DAL!M61</f>
        <v>366</v>
      </c>
      <c r="N61" s="8">
        <f>+M61/$B$2</f>
        <v>26.142857142857142</v>
      </c>
      <c r="O61" s="8">
        <v>24.142857142857142</v>
      </c>
    </row>
    <row r="62" spans="1:15" ht="12.75">
      <c r="A62" t="s">
        <v>39</v>
      </c>
      <c r="D62" s="2">
        <f>+'at DAL'!D62+'at PHI'!D62+'at PIT'!D62+'at MIN'!D62+PHI!D62+CLE!D62+STL!D62+WAS!D62+'at CLE'!D62+'at STL'!D62+CHI!D62+PIT!D62+'at WAS'!D62+DAL!D62</f>
        <v>47</v>
      </c>
      <c r="E62" s="8">
        <f>+D62/$B$2</f>
        <v>3.357142857142857</v>
      </c>
      <c r="F62" s="8">
        <v>2.642857142857143</v>
      </c>
      <c r="H62" t="s">
        <v>39</v>
      </c>
      <c r="M62" s="2">
        <f>+'at DAL'!M62+'at PHI'!M62+'at PIT'!M62+'at MIN'!M62+PHI!M62+CLE!M62+STL!M62+WAS!M62+'at CLE'!M62+'at STL'!M62+CHI!M62+PIT!M62+'at WAS'!M62+DAL!M62</f>
        <v>46</v>
      </c>
      <c r="N62" s="8">
        <f>+M62/$B$2</f>
        <v>3.2857142857142856</v>
      </c>
      <c r="O62" s="8">
        <v>2.9285714285714284</v>
      </c>
    </row>
    <row r="63" spans="1:15" ht="12.75">
      <c r="A63" t="s">
        <v>40</v>
      </c>
      <c r="D63" s="2">
        <f>+'at DAL'!D63+'at PHI'!D63+'at PIT'!D63+'at MIN'!D63+PHI!D63+CLE!D63+STL!D63+WAS!D63+'at CLE'!D63+'at STL'!D63+CHI!D63+PIT!D63+'at WAS'!D63+DAL!D63</f>
        <v>15</v>
      </c>
      <c r="E63" s="8">
        <f>+D63/$B$2</f>
        <v>1.0714285714285714</v>
      </c>
      <c r="F63" s="8">
        <v>0.8571428571428571</v>
      </c>
      <c r="H63" t="s">
        <v>40</v>
      </c>
      <c r="M63" s="2">
        <f>+'at DAL'!M63+'at PHI'!M63+'at PIT'!M63+'at MIN'!M63+PHI!M63+CLE!M63+STL!M63+WAS!M63+'at CLE'!M63+'at STL'!M63+CHI!M63+PIT!M63+'at WAS'!M63+DAL!M63</f>
        <v>15</v>
      </c>
      <c r="N63" s="8">
        <f>+M63/$B$2</f>
        <v>1.0714285714285714</v>
      </c>
      <c r="O63" s="8">
        <v>1.4285714285714286</v>
      </c>
    </row>
    <row r="64" spans="1:15" ht="12.75">
      <c r="A64" t="s">
        <v>41</v>
      </c>
      <c r="D64" s="2">
        <f>+'at DAL'!D64+'at PHI'!D64+'at PIT'!D64+'at MIN'!D64+PHI!D64+CLE!D64+STL!D64+WAS!D64+'at CLE'!D64+'at STL'!D64+CHI!D64+PIT!D64+'at WAS'!D64+DAL!D64</f>
        <v>30</v>
      </c>
      <c r="E64" s="8">
        <f>+D64/$B$2</f>
        <v>2.142857142857143</v>
      </c>
      <c r="F64" s="8">
        <v>1.6428571428571428</v>
      </c>
      <c r="H64" t="s">
        <v>41</v>
      </c>
      <c r="M64" s="2">
        <f>+'at DAL'!M64+'at PHI'!M64+'at PIT'!M64+'at MIN'!M64+PHI!M64+CLE!M64+STL!M64+WAS!M64+'at CLE'!M64+'at STL'!M64+CHI!M64+PIT!M64+'at WAS'!M64+DAL!M64</f>
        <v>26</v>
      </c>
      <c r="N64" s="8">
        <f>+M64/$B$2</f>
        <v>1.8571428571428572</v>
      </c>
      <c r="O64" s="8">
        <v>1.2857142857142858</v>
      </c>
    </row>
    <row r="65" spans="1:15" ht="12.75">
      <c r="A65" t="s">
        <v>42</v>
      </c>
      <c r="D65" s="2">
        <f>+'at DAL'!D65+'at PHI'!D65+'at PIT'!D65+'at MIN'!D65+PHI!D65+CLE!D65+STL!D65+WAS!D65+'at CLE'!D65+'at STL'!D65+CHI!D65+PIT!D65+'at WAS'!D65+DAL!D65</f>
        <v>2</v>
      </c>
      <c r="E65" s="8">
        <f>+D65/$B$2</f>
        <v>0.14285714285714285</v>
      </c>
      <c r="F65" s="8">
        <v>0.14285714285714285</v>
      </c>
      <c r="H65" t="s">
        <v>42</v>
      </c>
      <c r="M65" s="2">
        <f>+'at DAL'!M65+'at PHI'!M65+'at PIT'!M65+'at MIN'!M65+PHI!M65+CLE!M65+STL!M65+WAS!M65+'at CLE'!M65+'at STL'!M65+CHI!M65+PIT!M65+'at WAS'!M65+DAL!M65</f>
        <v>5</v>
      </c>
      <c r="N65" s="8">
        <f>+M65/$B$2</f>
        <v>0.35714285714285715</v>
      </c>
      <c r="O65" s="8">
        <v>0.21428571428571427</v>
      </c>
    </row>
    <row r="66" spans="1:15" ht="12.75">
      <c r="A66" t="s">
        <v>43</v>
      </c>
      <c r="D66" s="2">
        <f>+'at DAL'!D66+'at PHI'!D66+'at PIT'!D66+'at MIN'!D66+PHI!D66+CLE!D66+STL!D66+WAS!D66+'at CLE'!D66+'at STL'!D66+CHI!D66+PIT!D66+'at WAS'!D66+DAL!D66</f>
        <v>43</v>
      </c>
      <c r="E66" s="8"/>
      <c r="F66" s="8"/>
      <c r="H66" t="s">
        <v>43</v>
      </c>
      <c r="M66" s="2">
        <f>+'at DAL'!M66+'at PHI'!M66+'at PIT'!M66+'at MIN'!M66+PHI!M66+CLE!M66+STL!M66+WAS!M66+'at CLE'!M66+'at STL'!M66+CHI!M66+PIT!M66+'at WAS'!M66+DAL!M66</f>
        <v>42</v>
      </c>
      <c r="N66" s="8"/>
      <c r="O66" s="8"/>
    </row>
    <row r="67" spans="1:15" ht="12.75">
      <c r="A67" t="s">
        <v>44</v>
      </c>
      <c r="D67" s="2">
        <f>+'at DAL'!D67+'at PHI'!D67+'at PIT'!D67+'at MIN'!D67+PHI!D67+CLE!D67+STL!D67+WAS!D67+'at CLE'!D67+'at STL'!D67+CHI!D67+PIT!D67+'at WAS'!D67+DAL!D67</f>
        <v>0</v>
      </c>
      <c r="E67" s="8"/>
      <c r="F67" s="8"/>
      <c r="H67" t="s">
        <v>44</v>
      </c>
      <c r="M67" s="2">
        <f>+'at DAL'!M67+'at PHI'!M67+'at PIT'!M67+'at MIN'!M67+PHI!M67+CLE!M67+STL!M67+WAS!M67+'at CLE'!M67+'at STL'!M67+CHI!M67+PIT!M67+'at WAS'!M67+DAL!M67</f>
        <v>0</v>
      </c>
      <c r="N67" s="8"/>
      <c r="O67" s="8"/>
    </row>
    <row r="68" spans="1:15" ht="12.75">
      <c r="A68" t="s">
        <v>45</v>
      </c>
      <c r="D68" s="2">
        <f>+'at DAL'!D68+'at PHI'!D68+'at PIT'!D68+'at MIN'!D68+PHI!D68+CLE!D68+STL!D68+WAS!D68+'at CLE'!D68+'at STL'!D68+CHI!D68+PIT!D68+'at WAS'!D68+DAL!D68</f>
        <v>4</v>
      </c>
      <c r="E68" s="8">
        <f>+D68/$B$2</f>
        <v>0.2857142857142857</v>
      </c>
      <c r="F68" s="8">
        <v>0.2857142857142857</v>
      </c>
      <c r="H68" t="s">
        <v>45</v>
      </c>
      <c r="M68" s="2">
        <f>+'at DAL'!M68+'at PHI'!M68+'at PIT'!M68+'at MIN'!M68+PHI!M68+CLE!M68+STL!M68+WAS!M68+'at CLE'!M68+'at STL'!M68+CHI!M68+PIT!M68+'at WAS'!M68+DAL!M68</f>
        <v>16</v>
      </c>
      <c r="N68" s="8">
        <f>+M68/$B$2</f>
        <v>1.1428571428571428</v>
      </c>
      <c r="O68" s="8">
        <v>1.1428571428571428</v>
      </c>
    </row>
    <row r="69" spans="1:15" ht="12.75">
      <c r="A69" t="s">
        <v>46</v>
      </c>
      <c r="D69" s="2">
        <f>+'at DAL'!D69+'at PHI'!D69+'at PIT'!D69+'at MIN'!D69+PHI!D69+CLE!D69+STL!D69+WAS!D69+'at CLE'!D69+'at STL'!D69+CHI!D69+PIT!D69+'at WAS'!D69+DAL!D69</f>
        <v>24</v>
      </c>
      <c r="E69" s="8">
        <f>+D69/$B$2</f>
        <v>1.7142857142857142</v>
      </c>
      <c r="F69" s="8">
        <v>1.7857142857142858</v>
      </c>
      <c r="H69" t="s">
        <v>46</v>
      </c>
      <c r="M69" s="2">
        <f>+'at DAL'!M69+'at PHI'!M69+'at PIT'!M69+'at MIN'!M69+PHI!M69+CLE!M69+STL!M69+WAS!M69+'at CLE'!M69+'at STL'!M69+CHI!M69+PIT!M69+'at WAS'!M69+DAL!M69</f>
        <v>41</v>
      </c>
      <c r="N69" s="8">
        <f>+M69/$B$2</f>
        <v>2.9285714285714284</v>
      </c>
      <c r="O69" s="8">
        <v>2.0714285714285716</v>
      </c>
    </row>
    <row r="70" spans="1:15" ht="12.75">
      <c r="A70" t="s">
        <v>47</v>
      </c>
      <c r="D70" s="8">
        <f>+D68/D69*100</f>
        <v>16.666666666666664</v>
      </c>
      <c r="E70" s="8"/>
      <c r="F70" s="8">
        <v>16</v>
      </c>
      <c r="G70" s="7"/>
      <c r="H70" s="7" t="s">
        <v>47</v>
      </c>
      <c r="I70" s="7"/>
      <c r="J70" s="7"/>
      <c r="K70" s="7"/>
      <c r="L70" s="7"/>
      <c r="M70" s="8">
        <f>+M68/M69*100</f>
        <v>39.02439024390244</v>
      </c>
      <c r="N70" s="8"/>
      <c r="O70" s="8">
        <v>55.2</v>
      </c>
    </row>
    <row r="71" spans="1:15" ht="12.75">
      <c r="A71" t="s">
        <v>92</v>
      </c>
      <c r="D71" s="10" t="str">
        <f>IF(V23&lt;10,V27,V26)</f>
        <v>29:05</v>
      </c>
      <c r="E71" s="8"/>
      <c r="F71" s="8"/>
      <c r="H71" t="s">
        <v>92</v>
      </c>
      <c r="M71" s="10" t="str">
        <f>IF(W23&lt;10,W27,W26)</f>
        <v>30:55</v>
      </c>
      <c r="N71" s="8"/>
      <c r="O71" s="8"/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t="s">
        <v>99</v>
      </c>
      <c r="C75">
        <f>+'at DAL'!C75+'at PHI'!C75+'at PIT'!C75+'at MIN'!C75+PHI!C75+CLE!C75+STL!C75+WAS!C75+'at CLE'!C75+'at STL'!C75+CHI!C75+PIT!C75+'at WAS'!C75+DAL!C75</f>
        <v>208</v>
      </c>
      <c r="D75">
        <f>+'at DAL'!D75+'at PHI'!D75+'at PIT'!D75+'at MIN'!D75+PHI!D75+CLE!D75+STL!D75+WAS!D75+'at CLE'!D75+'at STL'!D75+CHI!D75+PIT!D75+'at WAS'!D75+DAL!D75</f>
        <v>659</v>
      </c>
      <c r="E75" s="12">
        <f>+D75/C75</f>
        <v>3.168269230769231</v>
      </c>
      <c r="F75">
        <f>MAX('at DAL'!F75,'at PHI'!F75,'at PIT'!F75,'at MIN'!F75,PHI!F75,CLE!F75,STL!F75,'at CLE'!F75,'at STL'!F75,CHI!F75,PIT!F75,'at WAS'!F75,DAL!F75,+WAS!F75)</f>
        <v>33</v>
      </c>
      <c r="G75">
        <f>+'at DAL'!G75+'at PHI'!G75+'at PIT'!G75+'at MIN'!G75+PHI!G75+CLE!G75+STL!G75+WAS!G75+'at CLE'!G75+'at STL'!G75+CHI!G75+PIT!G75+'at WAS'!G75+DAL!G75</f>
        <v>6</v>
      </c>
      <c r="H75">
        <f>+'at DAL'!H75+'at PHI'!H75+'at PIT'!H75+'at MIN'!H75+PHI!H75+CLE!H75+STL!H75+WAS!H75+'at CLE'!H75+'at STL'!H75+CHI!H75+PIT!H75+'at WAS'!H75+DAL!H75</f>
        <v>13</v>
      </c>
    </row>
    <row r="76" spans="1:8" ht="12.75">
      <c r="A76" t="s">
        <v>100</v>
      </c>
      <c r="C76">
        <f>+'at DAL'!C76+'at PHI'!C76+'at PIT'!C76+'at MIN'!C76+PHI!C76+CLE!C76+STL!C76+WAS!C76+'at CLE'!C76+'at STL'!C76+CHI!C76+PIT!C76+'at WAS'!C76+DAL!C76</f>
        <v>116</v>
      </c>
      <c r="D76">
        <f>+'at DAL'!D76+'at PHI'!D76+'at PIT'!D76+'at MIN'!D76+PHI!D76+CLE!D76+STL!D76+WAS!D76+'at CLE'!D76+'at STL'!D76+CHI!D76+PIT!D76+'at WAS'!D76+DAL!D76</f>
        <v>535</v>
      </c>
      <c r="E76" s="12">
        <f>+D76/C76</f>
        <v>4.612068965517241</v>
      </c>
      <c r="F76">
        <f>MAX('at DAL'!F76,'at PHI'!F76,'at PIT'!F76,'at MIN'!F76,PHI!F76,CLE!F76,STL!F76,'at CLE'!F76,'at STL'!F76,CHI!F76,PIT!F76,'at WAS'!F76,DAL!F76,+WAS!F76)</f>
        <v>80</v>
      </c>
      <c r="G76">
        <f>+'at DAL'!G76+'at PHI'!G76+'at PIT'!G76+'at MIN'!G76+PHI!G76+CLE!G76+STL!G76+WAS!G76+'at CLE'!G76+'at STL'!G76+CHI!G76+PIT!G76+'at WAS'!G76+DAL!G76</f>
        <v>6</v>
      </c>
      <c r="H76">
        <f>+'at DAL'!H76+'at PHI'!H76+'at PIT'!H76+'at MIN'!H76+PHI!H76+CLE!H76+STL!H76+WAS!H76+'at CLE'!H76+'at STL'!H76+CHI!H76+PIT!H76+'at WAS'!H76+DAL!H76</f>
        <v>7</v>
      </c>
    </row>
    <row r="77" spans="1:8" ht="12.75">
      <c r="A77" t="s">
        <v>101</v>
      </c>
      <c r="C77">
        <f>+'at DAL'!C77+'at PHI'!C77+'at PIT'!C77+'at MIN'!C77+PHI!C77+CLE!C77+STL!C77+WAS!C77+'at CLE'!C77+'at STL'!C77+CHI!C77+PIT!C77+'at WAS'!C77+DAL!C77</f>
        <v>37</v>
      </c>
      <c r="D77">
        <f>+'at DAL'!D77+'at PHI'!D77+'at PIT'!D77+'at MIN'!D77+PHI!D77+CLE!D77+STL!D77+WAS!D77+'at CLE'!D77+'at STL'!D77+CHI!D77+PIT!D77+'at WAS'!D77+DAL!D77</f>
        <v>214</v>
      </c>
      <c r="E77" s="12">
        <f>+D77/C77</f>
        <v>5.783783783783784</v>
      </c>
      <c r="F77">
        <f>MAX('at DAL'!F77,'at PHI'!F77,'at PIT'!F77,'at MIN'!F77,PHI!F77,CLE!F77,STL!F77,'at CLE'!F77,'at STL'!F77,CHI!F77,PIT!F77,'at WAS'!F77,DAL!F77,+WAS!F77)</f>
        <v>21</v>
      </c>
      <c r="G77">
        <f>+'at DAL'!G77+'at PHI'!G77+'at PIT'!G77+'at MIN'!G77+PHI!G77+CLE!G77+STL!G77+WAS!G77+'at CLE'!G77+'at STL'!G77+CHI!G77+PIT!G77+'at WAS'!G77+DAL!G77</f>
        <v>1</v>
      </c>
      <c r="H77">
        <f>+'at DAL'!H77+'at PHI'!H77+'at PIT'!H77+'at MIN'!H77+PHI!H77+CLE!H77+STL!H77+WAS!H77+'at CLE'!H77+'at STL'!H77+CHI!H77+PIT!H77+'at WAS'!H77+DAL!H77</f>
        <v>0</v>
      </c>
    </row>
    <row r="78" spans="1:8" ht="12.75">
      <c r="A78" t="s">
        <v>102</v>
      </c>
      <c r="C78">
        <f>+'at DAL'!C78+'at PHI'!C78+'at PIT'!C78+'at MIN'!C78+PHI!C78+CLE!C78+STL!C78+WAS!C78+'at CLE'!C78+'at STL'!C78+CHI!C78+PIT!C78+'at WAS'!C78+DAL!C78</f>
        <v>27</v>
      </c>
      <c r="D78">
        <f>+'at DAL'!D78+'at PHI'!D78+'at PIT'!D78+'at MIN'!D78+PHI!D78+CLE!D78+STL!D78+WAS!D78+'at CLE'!D78+'at STL'!D78+CHI!D78+PIT!D78+'at WAS'!D78+DAL!D78</f>
        <v>135</v>
      </c>
      <c r="E78" s="12">
        <f aca="true" t="shared" si="0" ref="E78:E84">+D78/C78</f>
        <v>5</v>
      </c>
      <c r="F78">
        <f>MAX('at DAL'!F78,'at PHI'!F78,'at PIT'!F78,'at MIN'!F78,PHI!F78,CLE!F78,STL!F78,'at CLE'!F78,'at STL'!F78,CHI!F78,PIT!F78,'at WAS'!F78,DAL!F78,+WAS!F78)</f>
        <v>22</v>
      </c>
      <c r="G78">
        <f>+'at DAL'!G78+'at PHI'!G78+'at PIT'!G78+'at MIN'!G78+PHI!G78+CLE!G78+STL!G78+WAS!G78+'at CLE'!G78+'at STL'!G78+CHI!G78+PIT!G78+'at WAS'!G78+DAL!G78</f>
        <v>0</v>
      </c>
      <c r="H78">
        <f>+'at DAL'!H78+'at PHI'!H78+'at PIT'!H78+'at MIN'!H78+PHI!H78+CLE!H78+STL!H78+WAS!H78+'at CLE'!H78+'at STL'!H78+CHI!H78+PIT!H78+'at WAS'!H78+DAL!H78</f>
        <v>0</v>
      </c>
    </row>
    <row r="79" spans="1:8" ht="12.75">
      <c r="A79" t="s">
        <v>103</v>
      </c>
      <c r="C79">
        <f>+'at DAL'!C79+'at PHI'!C79+'at PIT'!C79+'at MIN'!C79+PHI!C79+CLE!C79+STL!C79+WAS!C79+'at CLE'!C79+'at STL'!C79+CHI!C79+PIT!C79+'at WAS'!C79+DAL!C79</f>
        <v>13</v>
      </c>
      <c r="D79">
        <f>+'at DAL'!D79+'at PHI'!D79+'at PIT'!D79+'at MIN'!D79+PHI!D79+CLE!D79+STL!D79+WAS!D79+'at CLE'!D79+'at STL'!D79+CHI!D79+PIT!D79+'at WAS'!D79+DAL!D79</f>
        <v>19</v>
      </c>
      <c r="E79" s="12">
        <f t="shared" si="0"/>
        <v>1.4615384615384615</v>
      </c>
      <c r="F79">
        <f>MAX('at DAL'!F79,'at PHI'!F79,'at PIT'!F79,'at MIN'!F79,PHI!F79,CLE!F79,STL!F79,'at CLE'!F79,'at STL'!F79,CHI!F79,PIT!F79,'at WAS'!F79,DAL!F79,+WAS!F79)</f>
        <v>7</v>
      </c>
      <c r="G79">
        <f>+'at DAL'!G79+'at PHI'!G79+'at PIT'!G79+'at MIN'!G79+PHI!G79+CLE!G79+STL!G79+WAS!G79+'at CLE'!G79+'at STL'!G79+CHI!G79+PIT!G79+'at WAS'!G79+DAL!G79</f>
        <v>0</v>
      </c>
      <c r="H79">
        <f>+'at DAL'!H79+'at PHI'!H79+'at PIT'!H79+'at MIN'!H79+PHI!H79+CLE!H79+STL!H79+WAS!H79+'at CLE'!H79+'at STL'!H79+CHI!H79+PIT!H79+'at WAS'!H79+DAL!H79</f>
        <v>0</v>
      </c>
    </row>
    <row r="80" spans="1:8" ht="12.75">
      <c r="A80" t="s">
        <v>104</v>
      </c>
      <c r="C80">
        <f>+'at DAL'!C80+'at PHI'!C80+'at PIT'!C80+'at MIN'!C80+PHI!C80+CLE!C80+STL!C80+WAS!C80+'at CLE'!C80+'at STL'!C80+CHI!C80+PIT!C80+'at WAS'!C80+DAL!C80</f>
        <v>2</v>
      </c>
      <c r="D80">
        <f>+'at DAL'!D80+'at PHI'!D80+'at PIT'!D80+'at MIN'!D80+PHI!D80+CLE!D80+STL!D80+WAS!D80+'at CLE'!D80+'at STL'!D80+CHI!D80+PIT!D80+'at WAS'!D80+DAL!D80</f>
        <v>25</v>
      </c>
      <c r="E80" s="12">
        <f t="shared" si="0"/>
        <v>12.5</v>
      </c>
      <c r="F80">
        <f>MAX('at DAL'!F80,'at PHI'!F80,'at PIT'!F80,'at MIN'!F80,PHI!F80,CLE!F80,STL!F80,'at CLE'!F80,'at STL'!F80,CHI!F80,PIT!F80,'at WAS'!F80,DAL!F80,+WAS!F80)</f>
        <v>13</v>
      </c>
      <c r="G80">
        <f>+'at DAL'!G80+'at PHI'!G80+'at PIT'!G80+'at MIN'!G80+PHI!G80+CLE!G80+STL!G80+WAS!G80+'at CLE'!G80+'at STL'!G80+CHI!G80+PIT!G80+'at WAS'!G80+DAL!G80</f>
        <v>1</v>
      </c>
      <c r="H80">
        <f>+'at DAL'!H80+'at PHI'!H80+'at PIT'!H80+'at MIN'!H80+PHI!H80+CLE!H80+STL!H80+WAS!H80+'at CLE'!H80+'at STL'!H80+CHI!H80+PIT!H80+'at WAS'!H80+DAL!H80</f>
        <v>0</v>
      </c>
    </row>
    <row r="81" spans="1:8" ht="12.75">
      <c r="A81" t="s">
        <v>105</v>
      </c>
      <c r="C81">
        <f>+'at DAL'!C81+'at PHI'!C81+'at PIT'!C81+'at MIN'!C81+PHI!C81+CLE!C81+STL!C81+WAS!C81+'at CLE'!C81+'at STL'!C81+CHI!C81+PIT!C81+'at WAS'!C81+DAL!C81</f>
        <v>15</v>
      </c>
      <c r="D81">
        <f>+'at DAL'!D81+'at PHI'!D81+'at PIT'!D81+'at MIN'!D81+PHI!D81+CLE!D81+STL!D81+WAS!D81+'at CLE'!D81+'at STL'!D81+CHI!D81+PIT!D81+'at WAS'!D81+DAL!D81</f>
        <v>46</v>
      </c>
      <c r="E81" s="12">
        <f t="shared" si="0"/>
        <v>3.066666666666667</v>
      </c>
      <c r="F81">
        <f>MAX('at DAL'!F81,'at PHI'!F81,'at PIT'!F81,'at MIN'!F81,PHI!F81,CLE!F81,STL!F81,'at CLE'!F81,'at STL'!F81,CHI!F81,PIT!F81,'at WAS'!F81,DAL!F81,+WAS!F81)</f>
        <v>9</v>
      </c>
      <c r="G81">
        <f>+'at DAL'!G81+'at PHI'!G81+'at PIT'!G81+'at MIN'!G81+PHI!G81+CLE!G81+STL!G81+WAS!G81+'at CLE'!G81+'at STL'!G81+CHI!G81+PIT!G81+'at WAS'!G81+DAL!G81</f>
        <v>1</v>
      </c>
      <c r="H81">
        <f>+'at DAL'!H81+'at PHI'!H81+'at PIT'!H81+'at MIN'!H81+PHI!H81+CLE!H81+STL!H81+WAS!H81+'at CLE'!H81+'at STL'!H81+CHI!H81+PIT!H81+'at WAS'!H81+DAL!H81</f>
        <v>0</v>
      </c>
    </row>
    <row r="82" spans="1:8" ht="12.75">
      <c r="A82" t="s">
        <v>106</v>
      </c>
      <c r="C82">
        <f>+'at DAL'!C82+'at PHI'!C82+'at PIT'!C82+'at MIN'!C82+PHI!C82+CLE!C82+STL!C82+WAS!C82+'at CLE'!C82+'at STL'!C82+CHI!C82+PIT!C82+'at WAS'!C82+DAL!C82</f>
        <v>15</v>
      </c>
      <c r="D82">
        <f>+'at DAL'!D82+'at PHI'!D82+'at PIT'!D82+'at MIN'!D82+PHI!D82+CLE!D82+STL!D82+WAS!D82+'at CLE'!D82+'at STL'!D82+CHI!D82+PIT!D82+'at WAS'!D82+DAL!D82</f>
        <v>52</v>
      </c>
      <c r="E82" s="12">
        <f t="shared" si="0"/>
        <v>3.466666666666667</v>
      </c>
      <c r="F82">
        <f>MAX('at DAL'!F82,'at PHI'!F82,'at PIT'!F82,'at MIN'!F82,PHI!F82,CLE!F82,STL!F82,'at CLE'!F82,'at STL'!F82,CHI!F82,PIT!F82,'at WAS'!F82,DAL!F82,+WAS!F82)</f>
        <v>14</v>
      </c>
      <c r="G82">
        <f>+'at DAL'!G82+'at PHI'!G82+'at PIT'!G82+'at MIN'!G82+PHI!G82+CLE!G82+STL!G82+WAS!G82+'at CLE'!G82+'at STL'!G82+CHI!G82+PIT!G82+'at WAS'!G82+DAL!G82</f>
        <v>0</v>
      </c>
      <c r="H82">
        <f>+'at DAL'!H82+'at PHI'!H82+'at PIT'!H82+'at MIN'!H82+PHI!H82+CLE!H82+STL!H82+WAS!H82+'at CLE'!H82+'at STL'!H82+CHI!H82+PIT!H82+'at WAS'!H82+DAL!H82</f>
        <v>2</v>
      </c>
    </row>
    <row r="83" spans="1:8" ht="12.75">
      <c r="A83" t="s">
        <v>107</v>
      </c>
      <c r="C83">
        <f>+'at DAL'!C83+'at PHI'!C83+'at PIT'!C83+'at MIN'!C83+PHI!C83+CLE!C83+STL!C83+WAS!C83+'at CLE'!C83+'at STL'!C83+CHI!C83+PIT!C83+'at WAS'!C83+DAL!C83</f>
        <v>3</v>
      </c>
      <c r="D83">
        <f>+'at DAL'!D83+'at PHI'!D83+'at PIT'!D83+'at MIN'!D83+PHI!D83+CLE!D83+STL!D83+WAS!D83+'at CLE'!D83+'at STL'!D83+CHI!D83+PIT!D83+'at WAS'!D83+DAL!D83</f>
        <v>44</v>
      </c>
      <c r="E83" s="12">
        <f t="shared" si="0"/>
        <v>14.666666666666666</v>
      </c>
      <c r="F83">
        <f>MAX('at DAL'!F83,'at PHI'!F83,'at PIT'!F83,'at MIN'!F83,PHI!F83,CLE!F83,STL!F83,'at CLE'!F83,'at STL'!F83,CHI!F83,PIT!F83,'at WAS'!F83,DAL!F83,+WAS!F83)</f>
        <v>24</v>
      </c>
      <c r="G83">
        <f>+'at DAL'!G83+'at PHI'!G83+'at PIT'!G83+'at MIN'!G83+PHI!G83+CLE!G83+STL!G83+WAS!G83+'at CLE'!G83+'at STL'!G83+CHI!G83+PIT!G83+'at WAS'!G83+DAL!G83</f>
        <v>0</v>
      </c>
      <c r="H83">
        <f>+'at DAL'!H83+'at PHI'!H83+'at PIT'!H83+'at MIN'!H83+PHI!H83+CLE!H83+STL!H83+WAS!H83+'at CLE'!H83+'at STL'!H83+CHI!H83+PIT!H83+'at WAS'!H83+DAL!H83</f>
        <v>0</v>
      </c>
    </row>
    <row r="84" spans="1:8" ht="12.75">
      <c r="A84" t="s">
        <v>108</v>
      </c>
      <c r="C84">
        <f>+'at DAL'!C84+'at PHI'!C84+'at PIT'!C84+'at MIN'!C84+PHI!C84+CLE!C84+STL!C84+WAS!C84+'at CLE'!C84+'at STL'!C84+CHI!C84+PIT!C84+'at WAS'!C84+DAL!C84</f>
        <v>1</v>
      </c>
      <c r="D84">
        <f>+'at DAL'!D84+'at PHI'!D84+'at PIT'!D84+'at MIN'!D84+PHI!D84+CLE!D84+STL!D84+WAS!D84+'at CLE'!D84+'at STL'!D84+CHI!D84+PIT!D84+'at WAS'!D84+DAL!D84</f>
        <v>-7</v>
      </c>
      <c r="E84" s="12">
        <f t="shared" si="0"/>
        <v>-7</v>
      </c>
      <c r="F84">
        <f>MAX('at DAL'!F84,'at PHI'!F84,'at PIT'!F84,'at MIN'!F84,PHI!F84,CLE!F84,STL!F84,'at CLE'!F84,'at STL'!F84,CHI!F84,PIT!F84,'at WAS'!F84,DAL!F84,+WAS!F84)</f>
        <v>-7</v>
      </c>
      <c r="G84">
        <f>+'at DAL'!G84+'at PHI'!G84+'at PIT'!G84+'at MIN'!G84+PHI!G84+CLE!G84+STL!G84+WAS!G84+'at CLE'!G84+'at STL'!G84+CHI!G84+PIT!G84+'at WAS'!G84+DAL!G84</f>
        <v>0</v>
      </c>
      <c r="H84">
        <f>+'at DAL'!H84+'at PHI'!H84+'at PIT'!H84+'at MIN'!H84+PHI!H84+CLE!H84+STL!H84+WAS!H84+'at CLE'!H84+'at STL'!H84+CHI!H84+PIT!H84+'at WAS'!H84+DAL!H84</f>
        <v>0</v>
      </c>
    </row>
    <row r="85" spans="3:8" ht="12.75">
      <c r="C85">
        <f>+'at DAL'!C85+'at PHI'!C85+'at PIT'!C85+'at MIN'!C85+PHI!C85+CLE!C85+STL!C85+WAS!C85+'at CLE'!C85+'at STL'!C85+CHI!C85+PIT!C85+'at WAS'!C85+DAL!C85</f>
        <v>0</v>
      </c>
      <c r="D85">
        <f>+'at DAL'!D85+'at PHI'!D85+'at PIT'!D85+'at MIN'!D85+PHI!D85+CLE!D85+STL!D85+WAS!D85+'at CLE'!D85+'at STL'!D85+CHI!D85+PIT!D85+'at WAS'!D85+DAL!D85</f>
        <v>0</v>
      </c>
      <c r="E85" s="12" t="e">
        <f>+D85/C85</f>
        <v>#DIV/0!</v>
      </c>
      <c r="F85">
        <f>MAX('at DAL'!F85,'at PHI'!F85,'at PIT'!F85,'at MIN'!F85,PHI!F85,CLE!F85,STL!F85,'at CLE'!F85,'at STL'!F85,CHI!F85,PIT!F85,'at WAS'!F85,DAL!F85,+WAS!F85)</f>
        <v>0</v>
      </c>
      <c r="G85">
        <f>+'at DAL'!G85+'at PHI'!G85+'at PIT'!G85+'at MIN'!G85+PHI!G85+CLE!G85+STL!G85+WAS!G85+'at CLE'!G85+'at STL'!G85+CHI!G85+PIT!G85+'at WAS'!G85+DAL!G85</f>
        <v>0</v>
      </c>
      <c r="H85">
        <f>+'at DAL'!H85+'at PHI'!H85+'at PIT'!H85+'at MIN'!H85+PHI!H85+CLE!H85+STL!H85+WAS!H85+'at CLE'!H85+'at STL'!H85+CHI!H85+PIT!H85+'at WAS'!H85+DAL!H85</f>
        <v>0</v>
      </c>
    </row>
    <row r="86" spans="3:8" ht="12.75">
      <c r="C86">
        <f>+'at DAL'!C86+'at PHI'!C86+'at PIT'!C86+'at MIN'!C86+PHI!C86+CLE!C86+STL!C86+WAS!C86+'at CLE'!C86+'at STL'!C86+CHI!C86+PIT!C86+'at WAS'!C86+DAL!C86</f>
        <v>0</v>
      </c>
      <c r="D86">
        <f>+'at DAL'!D86+'at PHI'!D86+'at PIT'!D86+'at MIN'!D86+PHI!D86+CLE!D86+STL!D86+WAS!D86+'at CLE'!D86+'at STL'!D86+CHI!D86+PIT!D86+'at WAS'!D86+DAL!D86</f>
        <v>0</v>
      </c>
      <c r="E86" s="12" t="e">
        <f>+D86/C86</f>
        <v>#DIV/0!</v>
      </c>
      <c r="F86">
        <f>MAX('at DAL'!F86,'at PHI'!F86,'at PIT'!F86,'at MIN'!F86,PHI!F86,CLE!F86,STL!F86,'at CLE'!F86,'at STL'!F86,CHI!F86,PIT!F86,'at WAS'!F86,DAL!F86,+WAS!F86)</f>
        <v>0</v>
      </c>
      <c r="G86">
        <f>+'at DAL'!G86+'at PHI'!G86+'at PIT'!G86+'at MIN'!G86+PHI!G86+CLE!G86+STL!G86+WAS!G86+'at CLE'!G86+'at STL'!G86+CHI!G86+PIT!G86+'at WAS'!G86+DAL!G86</f>
        <v>0</v>
      </c>
      <c r="H86">
        <f>+'at DAL'!H86+'at PHI'!H86+'at PIT'!H86+'at MIN'!H86+PHI!H86+CLE!H86+STL!H86+WAS!H86+'at CLE'!H86+'at STL'!H86+CHI!H86+PIT!H86+'at WAS'!H86+DAL!H86</f>
        <v>0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t="s">
        <v>107</v>
      </c>
      <c r="C89">
        <f>+'at DAL'!C89+'at PHI'!C89+'at PIT'!C89+'at MIN'!C89+PHI!C89+CLE!C89+STL!C89+WAS!C89+'at CLE'!C89+'at STL'!C89+CHI!C89+PIT!C89+'at WAS'!C89+DAL!C89</f>
        <v>53</v>
      </c>
      <c r="D89">
        <f>+'at DAL'!D89+'at PHI'!D89+'at PIT'!D89+'at MIN'!D89+PHI!D89+CLE!D89+STL!D89+WAS!D89+'at CLE'!D89+'at STL'!D89+CHI!D89+PIT!D89+'at WAS'!D89+DAL!D89</f>
        <v>826</v>
      </c>
      <c r="E89" s="12">
        <f aca="true" t="shared" si="1" ref="E89:E100">+D89/C89</f>
        <v>15.584905660377359</v>
      </c>
      <c r="F89">
        <f>MAX('at DAL'!F89,'at PHI'!F89,'at PIT'!F89,'at MIN'!F89,PHI!F89,CLE!F89,STL!F89,'at CLE'!F89,'at STL'!F89,CHI!F89,PIT!F89,'at WAS'!F89,DAL!F89,+WAS!F89)</f>
        <v>68</v>
      </c>
      <c r="G89">
        <f>+'at DAL'!G89+'at PHI'!G89+'at PIT'!G89+'at MIN'!G89+PHI!G89+CLE!G89+STL!G89+WAS!G89+'at CLE'!G89+'at STL'!G89+CHI!G89+PIT!G89+'at WAS'!G89+DAL!G89</f>
        <v>9</v>
      </c>
      <c r="H89">
        <f>+'at DAL'!H89+'at PHI'!H89+'at PIT'!H89+'at MIN'!H89+PHI!H89+CLE!H89+STL!H89+WAS!H89+'at CLE'!H89+'at STL'!H89+CHI!H89+PIT!H89+'at WAS'!H89+DAL!H89</f>
        <v>1</v>
      </c>
    </row>
    <row r="90" spans="1:8" ht="12.75">
      <c r="A90" t="s">
        <v>109</v>
      </c>
      <c r="C90">
        <f>+'at DAL'!C90+'at PHI'!C90+'at PIT'!C90+'at MIN'!C90+PHI!C90+CLE!C90+STL!C90+WAS!C90+'at CLE'!C90+'at STL'!C90+CHI!C90+PIT!C90+'at WAS'!C90+DAL!C90</f>
        <v>22</v>
      </c>
      <c r="D90">
        <f>+'at DAL'!D90+'at PHI'!D90+'at PIT'!D90+'at MIN'!D90+PHI!D90+CLE!D90+STL!D90+WAS!D90+'at CLE'!D90+'at STL'!D90+CHI!D90+PIT!D90+'at WAS'!D90+DAL!D90</f>
        <v>559</v>
      </c>
      <c r="E90" s="12">
        <f t="shared" si="1"/>
        <v>25.40909090909091</v>
      </c>
      <c r="F90">
        <f>MAX('at DAL'!F90,'at PHI'!F90,'at PIT'!F90,'at MIN'!F90,PHI!F90,CLE!F90,STL!F90,'at CLE'!F90,'at STL'!F90,CHI!F90,PIT!F90,'at WAS'!F90,DAL!F90,+WAS!F90)</f>
        <v>71</v>
      </c>
      <c r="G90">
        <f>+'at DAL'!G90+'at PHI'!G90+'at PIT'!G90+'at MIN'!G90+PHI!G90+CLE!G90+STL!G90+WAS!G90+'at CLE'!G90+'at STL'!G90+CHI!G90+PIT!G90+'at WAS'!G90+DAL!G90</f>
        <v>4</v>
      </c>
      <c r="H90">
        <f>+'at DAL'!H90+'at PHI'!H90+'at PIT'!H90+'at MIN'!H90+PHI!H90+CLE!H90+STL!H90+WAS!H90+'at CLE'!H90+'at STL'!H90+CHI!H90+PIT!H90+'at WAS'!H90+DAL!H90</f>
        <v>0</v>
      </c>
    </row>
    <row r="91" spans="1:8" ht="12.75">
      <c r="A91" t="s">
        <v>108</v>
      </c>
      <c r="C91">
        <f>+'at DAL'!C91+'at PHI'!C91+'at PIT'!C91+'at MIN'!C91+PHI!C91+CLE!C91+STL!C91+WAS!C91+'at CLE'!C91+'at STL'!C91+CHI!C91+PIT!C91+'at WAS'!C91+DAL!C91</f>
        <v>29</v>
      </c>
      <c r="D91">
        <f>+'at DAL'!D91+'at PHI'!D91+'at PIT'!D91+'at MIN'!D91+PHI!D91+CLE!D91+STL!D91+WAS!D91+'at CLE'!D91+'at STL'!D91+CHI!D91+PIT!D91+'at WAS'!D91+DAL!D91</f>
        <v>770</v>
      </c>
      <c r="E91" s="12">
        <f t="shared" si="1"/>
        <v>26.551724137931036</v>
      </c>
      <c r="F91">
        <f>MAX('at DAL'!F91,'at PHI'!F91,'at PIT'!F91,'at MIN'!F91,PHI!F91,CLE!F91,STL!F91,'at CLE'!F91,'at STL'!F91,CHI!F91,PIT!F91,'at WAS'!F91,DAL!F91,+WAS!F91)</f>
        <v>75</v>
      </c>
      <c r="G91">
        <f>+'at DAL'!G91+'at PHI'!G91+'at PIT'!G91+'at MIN'!G91+PHI!G91+CLE!G91+STL!G91+WAS!G91+'at CLE'!G91+'at STL'!G91+CHI!G91+PIT!G91+'at WAS'!G91+DAL!G91</f>
        <v>7</v>
      </c>
      <c r="H91">
        <f>+'at DAL'!H91+'at PHI'!H91+'at PIT'!H91+'at MIN'!H91+PHI!H91+CLE!H91+STL!H91+WAS!H91+'at CLE'!H91+'at STL'!H91+CHI!H91+PIT!H91+'at WAS'!H91+DAL!H91</f>
        <v>1</v>
      </c>
    </row>
    <row r="92" spans="1:8" ht="12.75">
      <c r="A92" t="s">
        <v>99</v>
      </c>
      <c r="C92">
        <f>+'at DAL'!C92+'at PHI'!C92+'at PIT'!C92+'at MIN'!C92+PHI!C92+CLE!C92+STL!C92+WAS!C92+'at CLE'!C92+'at STL'!C92+CHI!C92+PIT!C92+'at WAS'!C92+DAL!C92</f>
        <v>36</v>
      </c>
      <c r="D92">
        <f>+'at DAL'!D92+'at PHI'!D92+'at PIT'!D92+'at MIN'!D92+PHI!D92+CLE!D92+STL!D92+WAS!D92+'at CLE'!D92+'at STL'!D92+CHI!D92+PIT!D92+'at WAS'!D92+DAL!D92</f>
        <v>335</v>
      </c>
      <c r="E92" s="12">
        <f t="shared" si="1"/>
        <v>9.305555555555555</v>
      </c>
      <c r="F92">
        <f>MAX('at DAL'!F92,'at PHI'!F92,'at PIT'!F92,'at MIN'!F92,PHI!F92,CLE!F92,STL!F92,'at CLE'!F92,'at STL'!F92,CHI!F92,PIT!F92,'at WAS'!F92,DAL!F92,+WAS!F92)</f>
        <v>44</v>
      </c>
      <c r="G92">
        <f>+'at DAL'!G92+'at PHI'!G92+'at PIT'!G92+'at MIN'!G92+PHI!G92+CLE!G92+STL!G92+WAS!G92+'at CLE'!G92+'at STL'!G92+CHI!G92+PIT!G92+'at WAS'!G92+DAL!G92</f>
        <v>1</v>
      </c>
      <c r="H92">
        <f>+'at DAL'!H92+'at PHI'!H92+'at PIT'!H92+'at MIN'!H92+PHI!H92+CLE!H92+STL!H92+WAS!H92+'at CLE'!H92+'at STL'!H92+CHI!H92+PIT!H92+'at WAS'!H92+DAL!H92</f>
        <v>2</v>
      </c>
    </row>
    <row r="93" spans="1:8" ht="12.75">
      <c r="A93" t="s">
        <v>110</v>
      </c>
      <c r="C93">
        <f>+'at DAL'!C93+'at PHI'!C93+'at PIT'!C93+'at MIN'!C93+PHI!C93+CLE!C93+STL!C93+WAS!C93+'at CLE'!C93+'at STL'!C93+CHI!C93+PIT!C93+'at WAS'!C93+DAL!C93</f>
        <v>28</v>
      </c>
      <c r="D93">
        <f>+'at DAL'!D93+'at PHI'!D93+'at PIT'!D93+'at MIN'!D93+PHI!D93+CLE!D93+STL!D93+WAS!D93+'at CLE'!D93+'at STL'!D93+CHI!D93+PIT!D93+'at WAS'!D93+DAL!D93</f>
        <v>657</v>
      </c>
      <c r="E93" s="12">
        <f t="shared" si="1"/>
        <v>23.464285714285715</v>
      </c>
      <c r="F93">
        <f>MAX('at DAL'!F93,'at PHI'!F93,'at PIT'!F93,'at MIN'!F93,PHI!F93,CLE!F93,STL!F93,'at CLE'!F93,'at STL'!F93,CHI!F93,PIT!F93,'at WAS'!F93,DAL!F93,+WAS!F93)</f>
        <v>50</v>
      </c>
      <c r="G93">
        <f>+'at DAL'!G93+'at PHI'!G93+'at PIT'!G93+'at MIN'!G93+PHI!G93+CLE!G93+STL!G93+WAS!G93+'at CLE'!G93+'at STL'!G93+CHI!G93+PIT!G93+'at WAS'!G93+DAL!G93</f>
        <v>7</v>
      </c>
      <c r="H93">
        <f>+'at DAL'!H93+'at PHI'!H93+'at PIT'!H93+'at MIN'!H93+PHI!H93+CLE!H93+STL!H93+WAS!H93+'at CLE'!H93+'at STL'!H93+CHI!H93+PIT!H93+'at WAS'!H93+DAL!H93</f>
        <v>0</v>
      </c>
    </row>
    <row r="94" spans="1:8" ht="12.75">
      <c r="A94" t="s">
        <v>100</v>
      </c>
      <c r="C94">
        <f>+'at DAL'!C94+'at PHI'!C94+'at PIT'!C94+'at MIN'!C94+PHI!C94+CLE!C94+STL!C94+WAS!C94+'at CLE'!C94+'at STL'!C94+CHI!C94+PIT!C94+'at WAS'!C94+DAL!C94</f>
        <v>12</v>
      </c>
      <c r="D94">
        <f>+'at DAL'!D94+'at PHI'!D94+'at PIT'!D94+'at MIN'!D94+PHI!D94+CLE!D94+STL!D94+WAS!D94+'at CLE'!D94+'at STL'!D94+CHI!D94+PIT!D94+'at WAS'!D94+DAL!D94</f>
        <v>176</v>
      </c>
      <c r="E94" s="12">
        <f t="shared" si="1"/>
        <v>14.666666666666666</v>
      </c>
      <c r="F94">
        <f>MAX('at DAL'!F94,'at PHI'!F94,'at PIT'!F94,'at MIN'!F94,PHI!F94,CLE!F94,STL!F94,'at CLE'!F94,'at STL'!F94,CHI!F94,PIT!F94,'at WAS'!F94,DAL!F94,+WAS!F94)</f>
        <v>85</v>
      </c>
      <c r="G94">
        <f>+'at DAL'!G94+'at PHI'!G94+'at PIT'!G94+'at MIN'!G94+PHI!G94+CLE!G94+STL!G94+WAS!G94+'at CLE'!G94+'at STL'!G94+CHI!G94+PIT!G94+'at WAS'!G94+DAL!G94</f>
        <v>2</v>
      </c>
      <c r="H94">
        <f>+'at DAL'!H94+'at PHI'!H94+'at PIT'!H94+'at MIN'!H94+PHI!H94+CLE!H94+STL!H94+WAS!H94+'at CLE'!H94+'at STL'!H94+CHI!H94+PIT!H94+'at WAS'!H94+DAL!H94</f>
        <v>0</v>
      </c>
    </row>
    <row r="95" spans="1:8" ht="12.75">
      <c r="A95" t="s">
        <v>111</v>
      </c>
      <c r="C95">
        <f>+'at DAL'!C95+'at PHI'!C95+'at PIT'!C95+'at MIN'!C95+PHI!C95+CLE!C95+STL!C95+WAS!C95+'at CLE'!C95+'at STL'!C95+CHI!C95+PIT!C95+'at WAS'!C95+DAL!C95</f>
        <v>5</v>
      </c>
      <c r="D95">
        <f>+'at DAL'!D95+'at PHI'!D95+'at PIT'!D95+'at MIN'!D95+PHI!D95+CLE!D95+STL!D95+WAS!D95+'at CLE'!D95+'at STL'!D95+CHI!D95+PIT!D95+'at WAS'!D95+DAL!D95</f>
        <v>36</v>
      </c>
      <c r="E95" s="12">
        <f t="shared" si="1"/>
        <v>7.2</v>
      </c>
      <c r="F95">
        <f>MAX('at DAL'!F95,'at PHI'!F95,'at PIT'!F95,'at MIN'!F95,PHI!F95,CLE!F95,STL!F95,'at CLE'!F95,'at STL'!F95,CHI!F95,PIT!F95,'at WAS'!F95,DAL!F95,+WAS!F95)</f>
        <v>12</v>
      </c>
      <c r="G95">
        <f>+'at DAL'!G95+'at PHI'!G95+'at PIT'!G95+'at MIN'!G95+PHI!G95+CLE!G95+STL!G95+WAS!G95+'at CLE'!G95+'at STL'!G95+CHI!G95+PIT!G95+'at WAS'!G95+DAL!G95</f>
        <v>0</v>
      </c>
      <c r="H95">
        <f>+'at DAL'!H95+'at PHI'!H95+'at PIT'!H95+'at MIN'!H95+PHI!H95+CLE!H95+STL!H95+WAS!H95+'at CLE'!H95+'at STL'!H95+CHI!H95+PIT!H95+'at WAS'!H95+DAL!H95</f>
        <v>0</v>
      </c>
    </row>
    <row r="96" spans="1:8" ht="12.75">
      <c r="A96" t="s">
        <v>103</v>
      </c>
      <c r="C96">
        <f>+'at DAL'!C96+'at PHI'!C96+'at PIT'!C96+'at MIN'!C96+PHI!C96+CLE!C96+STL!C96+WAS!C96+'at CLE'!C96+'at STL'!C96+CHI!C96+PIT!C96+'at WAS'!C96+DAL!C96</f>
        <v>3</v>
      </c>
      <c r="D96">
        <f>+'at DAL'!D96+'at PHI'!D96+'at PIT'!D96+'at MIN'!D96+PHI!D96+CLE!D96+STL!D96+WAS!D96+'at CLE'!D96+'at STL'!D96+CHI!D96+PIT!D96+'at WAS'!D96+DAL!D96</f>
        <v>10</v>
      </c>
      <c r="E96" s="12">
        <f t="shared" si="1"/>
        <v>3.3333333333333335</v>
      </c>
      <c r="F96">
        <f>MAX('at DAL'!F96,'at PHI'!F96,'at PIT'!F96,'at MIN'!F96,PHI!F96,CLE!F96,STL!F96,'at CLE'!F96,'at STL'!F96,CHI!F96,PIT!F96,'at WAS'!F96,DAL!F96,+WAS!F96)</f>
        <v>10</v>
      </c>
      <c r="G96">
        <f>+'at DAL'!G96+'at PHI'!G96+'at PIT'!G96+'at MIN'!G96+PHI!G96+CLE!G96+STL!G96+WAS!G96+'at CLE'!G96+'at STL'!G96+CHI!G96+PIT!G96+'at WAS'!G96+DAL!G96</f>
        <v>0</v>
      </c>
      <c r="H96">
        <f>+'at DAL'!H96+'at PHI'!H96+'at PIT'!H96+'at MIN'!H96+PHI!H96+CLE!H96+STL!H96+WAS!H96+'at CLE'!H96+'at STL'!H96+CHI!H96+PIT!H96+'at WAS'!H96+DAL!H96</f>
        <v>0</v>
      </c>
    </row>
    <row r="97" spans="1:8" ht="12.75">
      <c r="A97" t="s">
        <v>101</v>
      </c>
      <c r="C97">
        <f>+'at DAL'!C97+'at PHI'!C97+'at PIT'!C97+'at MIN'!C97+PHI!C97+CLE!C97+STL!C97+WAS!C97+'at CLE'!C97+'at STL'!C97+CHI!C97+PIT!C97+'at WAS'!C97+DAL!C97</f>
        <v>2</v>
      </c>
      <c r="D97">
        <f>+'at DAL'!D97+'at PHI'!D97+'at PIT'!D97+'at MIN'!D97+PHI!D97+CLE!D97+STL!D97+WAS!D97+'at CLE'!D97+'at STL'!D97+CHI!D97+PIT!D97+'at WAS'!D97+DAL!D97</f>
        <v>20</v>
      </c>
      <c r="E97" s="12">
        <f t="shared" si="1"/>
        <v>10</v>
      </c>
      <c r="F97">
        <f>MAX('at DAL'!F97,'at PHI'!F97,'at PIT'!F97,'at MIN'!F97,PHI!F97,CLE!F97,STL!F97,'at CLE'!F97,'at STL'!F97,CHI!F97,PIT!F97,'at WAS'!F97,DAL!F97,+WAS!F97)</f>
        <v>11</v>
      </c>
      <c r="G97">
        <f>+'at DAL'!G97+'at PHI'!G97+'at PIT'!G97+'at MIN'!G97+PHI!G97+CLE!G97+STL!G97+WAS!G97+'at CLE'!G97+'at STL'!G97+CHI!G97+PIT!G97+'at WAS'!G97+DAL!G97</f>
        <v>0</v>
      </c>
      <c r="H97">
        <f>+'at DAL'!H97+'at PHI'!H97+'at PIT'!H97+'at MIN'!H97+PHI!H97+CLE!H97+STL!H97+WAS!H97+'at CLE'!H97+'at STL'!H97+CHI!H97+PIT!H97+'at WAS'!H97+DAL!H97</f>
        <v>0</v>
      </c>
    </row>
    <row r="98" spans="1:8" ht="12.75">
      <c r="A98" t="s">
        <v>105</v>
      </c>
      <c r="C98">
        <f>+'at DAL'!C98+'at PHI'!C98+'at PIT'!C98+'at MIN'!C98+PHI!C98+CLE!C98+STL!C98+WAS!C98+'at CLE'!C98+'at STL'!C98+CHI!C98+PIT!C98+'at WAS'!C98+DAL!C98</f>
        <v>0</v>
      </c>
      <c r="D98">
        <f>+'at DAL'!D98+'at PHI'!D98+'at PIT'!D98+'at MIN'!D98+PHI!D98+CLE!D98+STL!D98+WAS!D98+'at CLE'!D98+'at STL'!D98+CHI!D98+PIT!D98+'at WAS'!D98+DAL!D98</f>
        <v>0</v>
      </c>
      <c r="E98" s="12" t="e">
        <f t="shared" si="1"/>
        <v>#DIV/0!</v>
      </c>
      <c r="F98">
        <f>MAX('at DAL'!F98,'at PHI'!F98,'at PIT'!F98,'at MIN'!F98,PHI!F98,CLE!F98,STL!F98,'at CLE'!F98,'at STL'!F98,CHI!F98,PIT!F98,'at WAS'!F98,DAL!F98,+WAS!F98)</f>
        <v>0</v>
      </c>
      <c r="G98">
        <f>+'at DAL'!G98+'at PHI'!G98+'at PIT'!G98+'at MIN'!G98+PHI!G98+CLE!G98+STL!G98+WAS!G98+'at CLE'!G98+'at STL'!G98+CHI!G98+PIT!G98+'at WAS'!G98+DAL!G98</f>
        <v>0</v>
      </c>
      <c r="H98">
        <f>+'at DAL'!H98+'at PHI'!H98+'at PIT'!H98+'at MIN'!H98+PHI!H98+CLE!H98+STL!H98+WAS!H98+'at CLE'!H98+'at STL'!H98+CHI!H98+PIT!H98+'at WAS'!H98+DAL!H98</f>
        <v>0</v>
      </c>
    </row>
    <row r="99" spans="1:8" ht="12.75">
      <c r="A99" t="s">
        <v>102</v>
      </c>
      <c r="C99">
        <f>+'at DAL'!C99+'at PHI'!C99+'at PIT'!C99+'at MIN'!C99+PHI!C99+CLE!C99+STL!C99+WAS!C99+'at CLE'!C99+'at STL'!C99+CHI!C99+PIT!C99+'at WAS'!C99+DAL!C99</f>
        <v>1</v>
      </c>
      <c r="D99">
        <f>+'at DAL'!D99+'at PHI'!D99+'at PIT'!D99+'at MIN'!D99+PHI!D99+CLE!D99+STL!D99+WAS!D99+'at CLE'!D99+'at STL'!D99+CHI!D99+PIT!D99+'at WAS'!D99+DAL!D99</f>
        <v>0</v>
      </c>
      <c r="E99" s="12">
        <f t="shared" si="1"/>
        <v>0</v>
      </c>
      <c r="F99">
        <f>MAX('at DAL'!F99,'at PHI'!F99,'at PIT'!F99,'at MIN'!F99,PHI!F99,CLE!F99,STL!F99,'at CLE'!F99,'at STL'!F99,CHI!F99,PIT!F99,'at WAS'!F99,DAL!F99,+WAS!F99)</f>
        <v>0</v>
      </c>
      <c r="G99">
        <f>+'at DAL'!G99+'at PHI'!G99+'at PIT'!G99+'at MIN'!G99+PHI!G99+CLE!G99+STL!G99+WAS!G99+'at CLE'!G99+'at STL'!G99+CHI!G99+PIT!G99+'at WAS'!G99+DAL!G99</f>
        <v>0</v>
      </c>
      <c r="H99">
        <f>+'at DAL'!H99+'at PHI'!H99+'at PIT'!H99+'at MIN'!H99+PHI!H99+CLE!H99+STL!H99+WAS!H99+'at CLE'!H99+'at STL'!H99+CHI!H99+PIT!H99+'at WAS'!H99+DAL!H99</f>
        <v>0</v>
      </c>
    </row>
    <row r="100" spans="1:8" ht="12.75">
      <c r="A100" s="1" t="s">
        <v>106</v>
      </c>
      <c r="C100">
        <f>+'at DAL'!C100+'at PHI'!C100+'at PIT'!C100+'at MIN'!C100+PHI!C100+CLE!C100+STL!C100+WAS!C100+'at CLE'!C100+'at STL'!C100+CHI!C100+PIT!C100+'at WAS'!C100+DAL!C100</f>
        <v>1</v>
      </c>
      <c r="D100">
        <f>+'at DAL'!D100+'at PHI'!D100+'at PIT'!D100+'at MIN'!D100+PHI!D100+CLE!D100+STL!D100+WAS!D100+'at CLE'!D100+'at STL'!D100+CHI!D100+PIT!D100+'at WAS'!D100+DAL!D100</f>
        <v>-11</v>
      </c>
      <c r="E100" s="12">
        <f t="shared" si="1"/>
        <v>-11</v>
      </c>
      <c r="F100">
        <f>MAX('at DAL'!F100,'at PHI'!F100,'at PIT'!F100,'at MIN'!F100,PHI!F100,CLE!F100,STL!F100,'at CLE'!F100,'at STL'!F100,CHI!F100,PIT!F100,'at WAS'!F100,DAL!F100,+WAS!F100)</f>
        <v>-11</v>
      </c>
      <c r="G100">
        <f>+'at DAL'!G100+'at PHI'!G100+'at PIT'!G100+'at MIN'!G100+PHI!G100+CLE!G100+STL!G100+WAS!G100+'at CLE'!G100+'at STL'!G100+CHI!G100+PIT!G100+'at WAS'!G100+DAL!G100</f>
        <v>0</v>
      </c>
      <c r="H100">
        <f>+'at DAL'!H100+'at PHI'!H100+'at PIT'!H100+'at MIN'!H100+PHI!H100+CLE!H100+STL!H100+WAS!H100+'at CLE'!H100+'at STL'!H100+CHI!H100+PIT!H100+'at WAS'!H100+DAL!H100</f>
        <v>0</v>
      </c>
    </row>
    <row r="101" spans="3:8" ht="12.75">
      <c r="C101">
        <f>+'at DAL'!C101+'at PHI'!C101+'at PIT'!C101+'at MIN'!C101+PHI!C101+CLE!C101+STL!C101+WAS!C101+'at CLE'!C101+'at STL'!C101+CHI!C101+PIT!C101+'at WAS'!C101+DAL!C101</f>
        <v>0</v>
      </c>
      <c r="D101">
        <f>+'at DAL'!D101+'at PHI'!D101+'at PIT'!D101+'at MIN'!D101+PHI!D101+CLE!D101+STL!D101+WAS!D101+'at CLE'!D101+'at STL'!D101+CHI!D101+PIT!D101+'at WAS'!D101+DAL!D101</f>
        <v>0</v>
      </c>
      <c r="E101" s="12" t="e">
        <f>+D101/C101</f>
        <v>#DIV/0!</v>
      </c>
      <c r="F101">
        <f>MAX('at DAL'!F101,'at PHI'!F101,'at PIT'!F101,'at MIN'!F101,PHI!F101,CLE!F101,STL!F101,'at CLE'!F101,'at STL'!F101,CHI!F101,PIT!F101,'at WAS'!F101,DAL!F101,+WAS!F101)</f>
        <v>0</v>
      </c>
      <c r="G101">
        <f>+'at DAL'!G101+'at PHI'!G101+'at PIT'!G101+'at MIN'!G101+PHI!G101+CLE!G101+STL!G101+WAS!G101+'at CLE'!G101+'at STL'!G101+CHI!G101+PIT!G101+'at WAS'!G101+DAL!G101</f>
        <v>0</v>
      </c>
      <c r="H101">
        <f>+'at DAL'!H101+'at PHI'!H101+'at PIT'!H101+'at MIN'!H101+PHI!H101+CLE!H101+STL!H101+WAS!H101+'at CLE'!H101+'at STL'!H101+CHI!H101+PIT!H101+'at WAS'!H101+DAL!H101</f>
        <v>0</v>
      </c>
    </row>
    <row r="102" spans="3:8" ht="12.75">
      <c r="C102">
        <f>+'at DAL'!C102+'at PHI'!C102+'at PIT'!C102+'at MIN'!C102+PHI!C102+CLE!C102+STL!C102+WAS!C102+'at CLE'!C102+'at STL'!C102+CHI!C102+PIT!C102+'at WAS'!C102+DAL!C102</f>
        <v>0</v>
      </c>
      <c r="D102">
        <f>+'at DAL'!D102+'at PHI'!D102+'at PIT'!D102+'at MIN'!D102+PHI!D102+CLE!D102+STL!D102+WAS!D102+'at CLE'!D102+'at STL'!D102+CHI!D102+PIT!D102+'at WAS'!D102+DAL!D102</f>
        <v>0</v>
      </c>
      <c r="E102" s="12" t="e">
        <f>+D102/C102</f>
        <v>#DIV/0!</v>
      </c>
      <c r="F102">
        <f>MAX('at DAL'!F102,'at PHI'!F102,'at PIT'!F102,'at MIN'!F102,PHI!F102,CLE!F102,STL!F102,'at CLE'!F102,'at STL'!F102,CHI!F102,PIT!F102,'at WAS'!F102,DAL!F102,+WAS!F102)</f>
        <v>0</v>
      </c>
      <c r="G102">
        <f>+'at DAL'!G102+'at PHI'!G102+'at PIT'!G102+'at MIN'!G102+PHI!G102+CLE!G102+STL!G102+WAS!G102+'at CLE'!G102+'at STL'!G102+CHI!G102+PIT!G102+'at WAS'!G102+DAL!G102</f>
        <v>0</v>
      </c>
      <c r="H102">
        <f>+'at DAL'!H102+'at PHI'!H102+'at PIT'!H102+'at MIN'!H102+PHI!H102+CLE!H102+STL!H102+WAS!H102+'at CLE'!H102+'at STL'!H102+CHI!H102+PIT!H102+'at WAS'!H102+DAL!H102</f>
        <v>0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t="s">
        <v>106</v>
      </c>
      <c r="C106">
        <f>+'at DAL'!C106+'at PHI'!C106+'at PIT'!C106+'at MIN'!C106+PHI!C106+CLE!C106+STL!C106+WAS!C106+'at CLE'!C106+'at STL'!C106+CHI!C106+PIT!C106+'at WAS'!C106+DAL!C106</f>
        <v>341</v>
      </c>
      <c r="D106">
        <f>+'at DAL'!D106+'at PHI'!D106+'at PIT'!D106+'at MIN'!D106+PHI!D106+CLE!D106+STL!D106+WAS!D106+'at CLE'!D106+'at STL'!D106+CHI!D106+PIT!D106+'at WAS'!D106+DAL!D106</f>
        <v>178</v>
      </c>
      <c r="E106" s="12">
        <f>+D106/C106*100</f>
        <v>52.19941348973607</v>
      </c>
      <c r="F106">
        <f>+'at DAL'!F106+'at PHI'!F106+'at PIT'!F106+'at MIN'!F106+PHI!F106+CLE!F106+STL!F106+WAS!F106+'at CLE'!F106+'at STL'!F106+CHI!F106+PIT!F106+'at WAS'!F106+DAL!F106</f>
        <v>3183</v>
      </c>
      <c r="G106">
        <f>+'at DAL'!G106+'at PHI'!G106+'at PIT'!G106+'at MIN'!G106+PHI!G106+CLE!G106+STL!G106+WAS!G106+'at CLE'!G106+'at STL'!G106+CHI!G106+PIT!G106+'at WAS'!G106+DAL!G106</f>
        <v>29</v>
      </c>
      <c r="H106">
        <f>MAX('at DAL'!H106,'at PHI'!H106,'at PIT'!H106,'at MIN'!H106,PHI!H106,CLE!H106,STL!H106,'at CLE'!H106,'at STL'!H106,CHI!H106,PIT!H106,'at WAS'!H106,DAL!H106,+WAS!H106)</f>
        <v>85</v>
      </c>
      <c r="I106">
        <f>+'at DAL'!I106+'at PHI'!I106+'at PIT'!I106+'at MIN'!I106+PHI!I106+CLE!I106+STL!I106+WAS!I106+'at CLE'!I106+'at STL'!I106+CHI!I106+PIT!I106+'at WAS'!I106+DAL!I106</f>
        <v>16</v>
      </c>
      <c r="J106" s="8">
        <f>+G106/C106*100</f>
        <v>8.504398826979472</v>
      </c>
      <c r="K106" s="12">
        <f>+I106/C106*100</f>
        <v>4.69208211143695</v>
      </c>
      <c r="L106" s="12">
        <f>+F106/C106</f>
        <v>9.334310850439882</v>
      </c>
      <c r="M106" s="12">
        <f>100*(S106+U106+W106+Y106)/6</f>
        <v>93.27346041055718</v>
      </c>
      <c r="N106">
        <f>+'at DAL'!N106+'at PHI'!N106+'at PIT'!N106+'at MIN'!N106+PHI!N106+CLE!N106+STL!N106+WAS!N106+'at CLE'!N106+'at STL'!N106+CHI!N106+PIT!N106+'at WAS'!N106+DAL!N106</f>
        <v>1</v>
      </c>
      <c r="R106">
        <f>+(E106-30)/20</f>
        <v>1.1099706744868034</v>
      </c>
      <c r="S106" s="2">
        <f>IF(R106&lt;0,0,IF(R106&gt;2.375,2.375,R106))</f>
        <v>1.1099706744868034</v>
      </c>
      <c r="T106" s="6">
        <f>+(L106-3)/4</f>
        <v>1.5835777126099706</v>
      </c>
      <c r="U106" s="2">
        <f>IF(T106&lt;0,0,IF(T106&gt;2.375,2.375,T106))</f>
        <v>1.5835777126099706</v>
      </c>
      <c r="V106">
        <f>+J106/5</f>
        <v>1.7008797653958942</v>
      </c>
      <c r="W106" s="2">
        <f>IF(V106&lt;0,0,IF(V106&gt;2.375,2.375,V106))</f>
        <v>1.7008797653958942</v>
      </c>
      <c r="X106">
        <f>(9.5-K106)/4</f>
        <v>1.2019794721407624</v>
      </c>
      <c r="Y106" s="2">
        <f>IF(X106&lt;0,0,X106)</f>
        <v>1.2019794721407624</v>
      </c>
    </row>
    <row r="107" spans="1:25" ht="12.75">
      <c r="A107" t="s">
        <v>104</v>
      </c>
      <c r="C107">
        <f>+'at DAL'!C107+'at PHI'!C107+'at PIT'!C107+'at MIN'!C107+PHI!C107+CLE!C107+STL!C107+WAS!C107+'at CLE'!C107+'at STL'!C107+CHI!C107+PIT!C107+'at WAS'!C107+DAL!C107</f>
        <v>25</v>
      </c>
      <c r="D107">
        <f>+'at DAL'!D107+'at PHI'!D107+'at PIT'!D107+'at MIN'!D107+PHI!D107+CLE!D107+STL!D107+WAS!D107+'at CLE'!D107+'at STL'!D107+CHI!D107+PIT!D107+'at WAS'!D107+DAL!D107</f>
        <v>12</v>
      </c>
      <c r="E107" s="12">
        <f>+D107/C107*100</f>
        <v>48</v>
      </c>
      <c r="F107">
        <f>+'at DAL'!F107+'at PHI'!F107+'at PIT'!F107+'at MIN'!F107+PHI!F107+CLE!F107+STL!F107+WAS!F107+'at CLE'!F107+'at STL'!F107+CHI!F107+PIT!F107+'at WAS'!F107+DAL!F107</f>
        <v>148</v>
      </c>
      <c r="G107">
        <f>+'at DAL'!G107+'at PHI'!G107+'at PIT'!G107+'at MIN'!G107+PHI!G107+CLE!G107+STL!G107+WAS!G107+'at CLE'!G107+'at STL'!G107+CHI!G107+PIT!G107+'at WAS'!G107+DAL!G107</f>
        <v>0</v>
      </c>
      <c r="H107">
        <f>MAX('at DAL'!H107,'at PHI'!H107,'at PIT'!H107,'at MIN'!H107,PHI!H107,CLE!H107,STL!H107,'at CLE'!H107,'at STL'!H107,CHI!H107,PIT!H107,'at WAS'!H107,DAL!H107,+WAS!H107)</f>
        <v>38</v>
      </c>
      <c r="I107">
        <f>+'at DAL'!I107+'at PHI'!I107+'at PIT'!I107+'at MIN'!I107+PHI!I107+CLE!I107+STL!I107+WAS!I107+'at CLE'!I107+'at STL'!I107+CHI!I107+PIT!I107+'at WAS'!I107+DAL!I107</f>
        <v>1</v>
      </c>
      <c r="J107" s="8">
        <f>+G107/C107*100</f>
        <v>0</v>
      </c>
      <c r="K107" s="12">
        <f>+I107/C107*100</f>
        <v>4</v>
      </c>
      <c r="L107" s="12">
        <f>+F107/C107</f>
        <v>5.92</v>
      </c>
      <c r="M107" s="12">
        <f>100*(S107+U107+W107+Y107)/6</f>
        <v>50.083333333333336</v>
      </c>
      <c r="N107">
        <f>+'at DAL'!N107+'at PHI'!N107+'at PIT'!N107+'at MIN'!N107+PHI!N107+CLE!N107+STL!N107+WAS!N107+'at CLE'!N107+'at STL'!N107+CHI!N107+PIT!N107+'at WAS'!N107+DAL!N107</f>
        <v>0</v>
      </c>
      <c r="R107">
        <f>+(E107-30)/20</f>
        <v>0.9</v>
      </c>
      <c r="S107" s="2">
        <f>IF(R107&lt;0,0,IF(R107&gt;2.375,2.375,R107))</f>
        <v>0.9</v>
      </c>
      <c r="T107" s="6">
        <f>+(L107-3)/4</f>
        <v>0.73</v>
      </c>
      <c r="U107" s="2">
        <f>IF(T107&lt;0,0,IF(T107&gt;2.375,2.375,T107))</f>
        <v>0.73</v>
      </c>
      <c r="V107">
        <f>+J107/5</f>
        <v>0</v>
      </c>
      <c r="W107" s="2">
        <f>IF(V107&lt;0,0,IF(V107&gt;2.375,2.375,V107))</f>
        <v>0</v>
      </c>
      <c r="X107">
        <f>(9.5-K107)/4</f>
        <v>1.375</v>
      </c>
      <c r="Y107" s="2">
        <f>IF(X107&lt;0,0,X107)</f>
        <v>1.375</v>
      </c>
    </row>
    <row r="108" spans="1:25" ht="12.75">
      <c r="A108" t="s">
        <v>100</v>
      </c>
      <c r="C108">
        <f>+'at DAL'!C108+'at PHI'!C108+'at PIT'!C108+'at MIN'!C108+PHI!C108+CLE!C108+STL!C108+WAS!C108+'at CLE'!C108+'at STL'!C108+CHI!C108+PIT!C108+'at WAS'!C108+DAL!C108</f>
        <v>1</v>
      </c>
      <c r="D108">
        <f>+'at DAL'!D108+'at PHI'!D108+'at PIT'!D108+'at MIN'!D108+PHI!D108+CLE!D108+STL!D108+WAS!D108+'at CLE'!D108+'at STL'!D108+CHI!D108+PIT!D108+'at WAS'!D108+DAL!D108</f>
        <v>1</v>
      </c>
      <c r="E108" s="12">
        <f>+D108/C108*100</f>
        <v>100</v>
      </c>
      <c r="F108">
        <f>+'at DAL'!F108+'at PHI'!F108+'at PIT'!F108+'at MIN'!F108+PHI!F108+CLE!F108+STL!F108+WAS!F108+'at CLE'!F108+'at STL'!F108+CHI!F108+PIT!F108+'at WAS'!F108+DAL!F108</f>
        <v>25</v>
      </c>
      <c r="G108">
        <f>+'at DAL'!G108+'at PHI'!G108+'at PIT'!G108+'at MIN'!G108+PHI!G108+CLE!G108+STL!G108+WAS!G108+'at CLE'!G108+'at STL'!G108+CHI!G108+PIT!G108+'at WAS'!G108+DAL!G108</f>
        <v>1</v>
      </c>
      <c r="H108">
        <f>MAX('at DAL'!H108,'at PHI'!H108,'at PIT'!H108,'at MIN'!H108,PHI!H108,CLE!H108,STL!H108,'at CLE'!H108,'at STL'!H108,CHI!H108,PIT!H108,'at WAS'!H108,DAL!H108,+WAS!H108)</f>
        <v>25</v>
      </c>
      <c r="I108">
        <f>+'at DAL'!I108+'at PHI'!I108+'at PIT'!I108+'at MIN'!I108+PHI!I108+CLE!I108+STL!I108+WAS!I108+'at CLE'!I108+'at STL'!I108+CHI!I108+PIT!I108+'at WAS'!I108+DAL!I108</f>
        <v>0</v>
      </c>
      <c r="J108" s="8">
        <f>+G108/C108*100</f>
        <v>100</v>
      </c>
      <c r="K108" s="12">
        <f>+I108/C108*100</f>
        <v>0</v>
      </c>
      <c r="L108" s="12">
        <f>+F108/C108</f>
        <v>25</v>
      </c>
      <c r="M108" s="12">
        <f>100*(S108+U108+W108+Y108)/6</f>
        <v>158.33333333333334</v>
      </c>
      <c r="N108">
        <f>+'at DAL'!N108+'at PHI'!N108+'at PIT'!N108+'at MIN'!N108+PHI!N108+CLE!N108+STL!N108+WAS!N108+'at CLE'!N108+'at STL'!N108+CHI!N108+PIT!N108+'at WAS'!N108+DAL!N108</f>
        <v>0</v>
      </c>
      <c r="R108">
        <f>+(E108-30)/20</f>
        <v>3.5</v>
      </c>
      <c r="S108" s="2">
        <f>IF(R108&lt;0,0,IF(R108&gt;2.375,2.375,R108))</f>
        <v>2.375</v>
      </c>
      <c r="T108" s="6">
        <f>+(L108-3)/4</f>
        <v>5.5</v>
      </c>
      <c r="U108" s="2">
        <f>IF(T108&lt;0,0,IF(T108&gt;2.375,2.375,T108))</f>
        <v>2.375</v>
      </c>
      <c r="V108">
        <f>+J108/5</f>
        <v>20</v>
      </c>
      <c r="W108" s="2">
        <f>IF(V108&lt;0,0,IF(V108&gt;2.375,2.375,V108))</f>
        <v>2.375</v>
      </c>
      <c r="X108">
        <f>(9.5-K108)/4</f>
        <v>2.375</v>
      </c>
      <c r="Y108" s="2">
        <f>IF(X108&lt;0,0,X108)</f>
        <v>2.375</v>
      </c>
    </row>
    <row r="109" spans="1:25" ht="12.75">
      <c r="A109" t="s">
        <v>99</v>
      </c>
      <c r="C109">
        <f>+'at DAL'!C109+'at PHI'!C109+'at PIT'!C109+'at MIN'!C109+PHI!C109+CLE!C109+STL!C109+WAS!C109+'at CLE'!C109+'at STL'!C109+CHI!C109+PIT!C109+'at WAS'!C109+DAL!C109</f>
        <v>1</v>
      </c>
      <c r="D109">
        <f>+'at DAL'!D109+'at PHI'!D109+'at PIT'!D109+'at MIN'!D109+PHI!D109+CLE!D109+STL!D109+WAS!D109+'at CLE'!D109+'at STL'!D109+CHI!D109+PIT!D109+'at WAS'!D109+DAL!D109</f>
        <v>1</v>
      </c>
      <c r="E109" s="12">
        <f>+D109/C109*100</f>
        <v>100</v>
      </c>
      <c r="F109">
        <f>+'at DAL'!F109+'at PHI'!F109+'at PIT'!F109+'at MIN'!F109+PHI!F109+CLE!F109+STL!F109+WAS!F109+'at CLE'!F109+'at STL'!F109+CHI!F109+PIT!F109+'at WAS'!F109+DAL!F109</f>
        <v>13</v>
      </c>
      <c r="G109">
        <f>+'at DAL'!G109+'at PHI'!G109+'at PIT'!G109+'at MIN'!G109+PHI!G109+CLE!G109+STL!G109+WAS!G109+'at CLE'!G109+'at STL'!G109+CHI!G109+PIT!G109+'at WAS'!G109+DAL!G109</f>
        <v>0</v>
      </c>
      <c r="H109">
        <f>MAX('at DAL'!H109,'at PHI'!H109,'at PIT'!H109,'at MIN'!H109,PHI!H109,CLE!H109,STL!H109,'at CLE'!H109,'at STL'!H109,CHI!H109,PIT!H109,'at WAS'!H109,DAL!H109,+WAS!H109)</f>
        <v>13</v>
      </c>
      <c r="I109">
        <f>+'at DAL'!I109+'at PHI'!I109+'at PIT'!I109+'at MIN'!I109+PHI!I109+CLE!I109+STL!I109+WAS!I109+'at CLE'!I109+'at STL'!I109+CHI!I109+PIT!I109+'at WAS'!I109+DAL!I109</f>
        <v>0</v>
      </c>
      <c r="J109" s="8">
        <f>+G109/C109*100</f>
        <v>0</v>
      </c>
      <c r="K109" s="12">
        <f>+I109/C109*100</f>
        <v>0</v>
      </c>
      <c r="L109" s="12">
        <f>+F109/C109</f>
        <v>13</v>
      </c>
      <c r="M109" s="12">
        <f>100*(S109+U109+W109+Y109)/6</f>
        <v>118.75</v>
      </c>
      <c r="N109">
        <f>+'at DAL'!N109+'at PHI'!N109+'at PIT'!N109+'at MIN'!N109+PHI!N109+CLE!N109+STL!N109+WAS!N109+'at CLE'!N109+'at STL'!N109+CHI!N109+PIT!N109+'at WAS'!N109+DAL!N109</f>
        <v>0</v>
      </c>
      <c r="R109">
        <f>+(E109-30)/20</f>
        <v>3.5</v>
      </c>
      <c r="S109" s="2">
        <f>IF(R109&lt;0,0,IF(R109&gt;2.375,2.375,R109))</f>
        <v>2.375</v>
      </c>
      <c r="T109" s="6">
        <f>+(L109-3)/4</f>
        <v>2.5</v>
      </c>
      <c r="U109" s="2">
        <f>IF(T109&lt;0,0,IF(T109&gt;2.375,2.375,T109))</f>
        <v>2.375</v>
      </c>
      <c r="V109">
        <f>+J109/5</f>
        <v>0</v>
      </c>
      <c r="W109" s="2">
        <f>IF(V109&lt;0,0,IF(V109&gt;2.375,2.375,V109))</f>
        <v>0</v>
      </c>
      <c r="X109">
        <f>(9.5-K109)/4</f>
        <v>2.375</v>
      </c>
      <c r="Y109" s="2">
        <f>IF(X109&lt;0,0,X109)</f>
        <v>2.375</v>
      </c>
    </row>
    <row r="110" spans="1:25" ht="12.75">
      <c r="A110" t="s">
        <v>101</v>
      </c>
      <c r="C110">
        <f>+'at DAL'!C110+'at PHI'!C110+'at PIT'!C110+'at MIN'!C110+PHI!C110+CLE!C110+STL!C110+WAS!C110+'at CLE'!C110+'at STL'!C110+CHI!C110+PIT!C110+'at WAS'!C110+DAL!C110</f>
        <v>1</v>
      </c>
      <c r="D110">
        <f>+'at DAL'!D110+'at PHI'!D110+'at PIT'!D110+'at MIN'!D110+PHI!D110+CLE!D110+STL!D110+WAS!D110+'at CLE'!D110+'at STL'!D110+CHI!D110+PIT!D110+'at WAS'!D110+DAL!D110</f>
        <v>0</v>
      </c>
      <c r="E110" s="12">
        <f>+D110/C110*100</f>
        <v>0</v>
      </c>
      <c r="F110">
        <f>+'at DAL'!F110+'at PHI'!F110+'at PIT'!F110+'at MIN'!F110+PHI!F110+CLE!F110+STL!F110+WAS!F110+'at CLE'!F110+'at STL'!F110+CHI!F110+PIT!F110+'at WAS'!F110+DAL!F110</f>
        <v>0</v>
      </c>
      <c r="G110">
        <f>+'at DAL'!G110+'at PHI'!G110+'at PIT'!G110+'at MIN'!G110+PHI!G110+CLE!G110+STL!G110+WAS!G110+'at CLE'!G110+'at STL'!G110+CHI!G110+PIT!G110+'at WAS'!G110+DAL!G110</f>
        <v>0</v>
      </c>
      <c r="H110">
        <f>MAX('at DAL'!H110,'at PHI'!H110,'at PIT'!H110,'at MIN'!H110,PHI!H110,CLE!H110,STL!H110,'at CLE'!H110,'at STL'!H110,CHI!H110,PIT!H110,'at WAS'!H110,DAL!H110,+WAS!H110)</f>
        <v>0</v>
      </c>
      <c r="I110">
        <f>+'at DAL'!I110+'at PHI'!I110+'at PIT'!I110+'at MIN'!I110+PHI!I110+CLE!I110+STL!I110+WAS!I110+'at CLE'!I110+'at STL'!I110+CHI!I110+PIT!I110+'at WAS'!I110+DAL!I110</f>
        <v>0</v>
      </c>
      <c r="J110" s="8">
        <f>+G110/C110*100</f>
        <v>0</v>
      </c>
      <c r="K110" s="12">
        <f>+I110/C110*100</f>
        <v>0</v>
      </c>
      <c r="L110" s="12">
        <f>+F110/C110</f>
        <v>0</v>
      </c>
      <c r="M110" s="12">
        <f>100*(S110+U110+W110+Y110)/6</f>
        <v>39.583333333333336</v>
      </c>
      <c r="N110">
        <f>+'at DAL'!N110+'at PHI'!N110+'at PIT'!N110+'at MIN'!N110+PHI!N110+CLE!N110+STL!N110+WAS!N110+'at CLE'!N110+'at STL'!N110+CHI!N110+PIT!N110+'at WAS'!N110+DAL!N110</f>
        <v>0</v>
      </c>
      <c r="R110">
        <f>+(E110-30)/20</f>
        <v>-1.5</v>
      </c>
      <c r="S110" s="2">
        <f>IF(R110&lt;0,0,IF(R110&gt;2.375,2.375,R110))</f>
        <v>0</v>
      </c>
      <c r="T110" s="6">
        <f>+(L110-3)/4</f>
        <v>-0.75</v>
      </c>
      <c r="U110" s="2">
        <f>IF(T110&lt;0,0,IF(T110&gt;2.375,2.375,T110))</f>
        <v>0</v>
      </c>
      <c r="V110">
        <f>+J110/5</f>
        <v>0</v>
      </c>
      <c r="W110" s="2">
        <f>IF(V110&lt;0,0,IF(V110&gt;2.375,2.375,V110))</f>
        <v>0</v>
      </c>
      <c r="X110">
        <f>(9.5-K110)/4</f>
        <v>2.375</v>
      </c>
      <c r="Y110" s="2">
        <f>IF(X110&lt;0,0,X110)</f>
        <v>2.375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t="s">
        <v>112</v>
      </c>
      <c r="C113">
        <f>+'at DAL'!C113+'at PHI'!C113+'at PIT'!C113+'at MIN'!C113+PHI!C113+CLE!C113+STL!C113+WAS!C113+'at CLE'!C113+'at STL'!C113+CHI!C113+PIT!C113+'at WAS'!C113+DAL!C113</f>
        <v>19</v>
      </c>
      <c r="D113">
        <f>+'at DAL'!D113+'at PHI'!D113+'at PIT'!D113+'at MIN'!D113+PHI!D113+CLE!D113+STL!D113+WAS!D113+'at CLE'!D113+'at STL'!D113+CHI!D113+PIT!D113+'at WAS'!D113+DAL!D113</f>
        <v>3</v>
      </c>
      <c r="E113">
        <f>+'at DAL'!E113+'at PHI'!E113+'at PIT'!E113+'at MIN'!E113+PHI!E113+CLE!E113+STL!E113+WAS!E113+'at CLE'!E113+'at STL'!E113+CHI!E113+PIT!E113+'at WAS'!E113+DAL!E113</f>
        <v>89</v>
      </c>
      <c r="F113" s="12">
        <f aca="true" t="shared" si="2" ref="F113:F118">+E113/C113</f>
        <v>4.684210526315789</v>
      </c>
      <c r="G113">
        <f>MAX('at DAL'!G113,'at PHI'!G113,'at PIT'!G113,'at MIN'!G113,PHI!G113,CLE!G113,STL!G113,'at CLE'!G113,'at STL'!G113,CHI!G113,PIT!G113,'at WAS'!G113,DAL!G113,+WAS!G113)</f>
        <v>62</v>
      </c>
      <c r="H113">
        <f>+'at DAL'!H113+'at PHI'!H113+'at PIT'!H113+'at MIN'!H113+PHI!H113+CLE!H113+STL!H113+WAS!H113+'at CLE'!H113+'at STL'!H113+CHI!H113+PIT!H113+'at WAS'!H113+DAL!H113</f>
        <v>0</v>
      </c>
      <c r="I113">
        <f>+'at DAL'!I113+'at PHI'!I113+'at PIT'!I113+'at MIN'!I113+PHI!I113+CLE!I113+STL!I113+WAS!I113+'at CLE'!I113+'at STL'!I113+CHI!I113+PIT!I113+'at WAS'!I113+DAL!I113</f>
        <v>2</v>
      </c>
    </row>
    <row r="114" spans="1:9" ht="12.75">
      <c r="A114" s="1" t="s">
        <v>123</v>
      </c>
      <c r="C114">
        <f>+'at DAL'!C114+'at PHI'!C114+'at PIT'!C114+'at MIN'!C114+PHI!C114+CLE!C114+STL!C114+WAS!C114+'at CLE'!C114+'at STL'!C114+CHI!C114+PIT!C114+'at WAS'!C114+DAL!C114</f>
        <v>7</v>
      </c>
      <c r="D114">
        <f>+'at DAL'!D114+'at PHI'!D114+'at PIT'!D114+'at MIN'!D114+PHI!D114+CLE!D114+STL!D114+WAS!D114+'at CLE'!D114+'at STL'!D114+CHI!D114+PIT!D114+'at WAS'!D114+DAL!D114</f>
        <v>4</v>
      </c>
      <c r="E114">
        <f>+'at DAL'!E114+'at PHI'!E114+'at PIT'!E114+'at MIN'!E114+PHI!E114+CLE!E114+STL!E114+WAS!E114+'at CLE'!E114+'at STL'!E114+CHI!E114+PIT!E114+'at WAS'!E114+DAL!E114</f>
        <v>61</v>
      </c>
      <c r="F114" s="12">
        <f t="shared" si="2"/>
        <v>8.714285714285714</v>
      </c>
      <c r="G114">
        <f>MAX('at DAL'!G114,'at PHI'!G114,'at PIT'!G114,'at MIN'!G114,PHI!G114,CLE!G114,STL!G114,'at CLE'!G114,'at STL'!G114,CHI!G114,PIT!G114,'at WAS'!G114,DAL!G114,+WAS!G114)</f>
        <v>29</v>
      </c>
      <c r="H114">
        <f>+'at DAL'!H114+'at PHI'!H114+'at PIT'!H114+'at MIN'!H114+PHI!H114+CLE!H114+STL!H114+WAS!H114+'at CLE'!H114+'at STL'!H114+CHI!H114+PIT!H114+'at WAS'!H114+DAL!H114</f>
        <v>0</v>
      </c>
      <c r="I114">
        <f>+'at DAL'!I114+'at PHI'!I114+'at PIT'!I114+'at MIN'!I114+PHI!I114+CLE!I114+STL!I114+WAS!I114+'at CLE'!I114+'at STL'!I114+CHI!I114+PIT!I114+'at WAS'!I114+DAL!I114</f>
        <v>2</v>
      </c>
    </row>
    <row r="115" spans="1:9" ht="12.75">
      <c r="A115" t="s">
        <v>114</v>
      </c>
      <c r="C115">
        <f>+'at DAL'!C115+'at PHI'!C115+'at PIT'!C115+'at MIN'!C115+PHI!C115+CLE!C115+STL!C115+WAS!C115+'at CLE'!C115+'at STL'!C115+CHI!C115+PIT!C115+'at WAS'!C115+DAL!C115</f>
        <v>4</v>
      </c>
      <c r="D115">
        <f>+'at DAL'!D115+'at PHI'!D115+'at PIT'!D115+'at MIN'!D115+PHI!D115+CLE!D115+STL!D115+WAS!D115+'at CLE'!D115+'at STL'!D115+CHI!D115+PIT!D115+'at WAS'!D115+DAL!D115</f>
        <v>0</v>
      </c>
      <c r="E115">
        <f>+'at DAL'!E115+'at PHI'!E115+'at PIT'!E115+'at MIN'!E115+PHI!E115+CLE!E115+STL!E115+WAS!E115+'at CLE'!E115+'at STL'!E115+CHI!E115+PIT!E115+'at WAS'!E115+DAL!E115</f>
        <v>-12</v>
      </c>
      <c r="F115" s="12">
        <f t="shared" si="2"/>
        <v>-3</v>
      </c>
      <c r="G115">
        <f>MAX('at DAL'!G115,'at PHI'!G115,'at PIT'!G115,'at MIN'!G115,PHI!G115,CLE!G115,STL!G115,'at CLE'!G115,'at STL'!G115,CHI!G115,PIT!G115,'at WAS'!G115,DAL!G115,+WAS!G115)</f>
        <v>-1</v>
      </c>
      <c r="H115">
        <f>+'at DAL'!H115+'at PHI'!H115+'at PIT'!H115+'at MIN'!H115+PHI!H115+CLE!H115+STL!H115+WAS!H115+'at CLE'!H115+'at STL'!H115+CHI!H115+PIT!H115+'at WAS'!H115+DAL!H115</f>
        <v>0</v>
      </c>
      <c r="I115">
        <f>+'at DAL'!I115+'at PHI'!I115+'at PIT'!I115+'at MIN'!I115+PHI!I115+CLE!I115+STL!I115+WAS!I115+'at CLE'!I115+'at STL'!I115+CHI!I115+PIT!I115+'at WAS'!I115+DAL!I115</f>
        <v>0</v>
      </c>
    </row>
    <row r="116" spans="3:9" ht="12.75">
      <c r="C116">
        <f>+'at DAL'!C116+'at PHI'!C116+'at PIT'!C116+'at MIN'!C116+PHI!C116+CLE!C116+STL!C116+WAS!C116+'at CLE'!C116+'at STL'!C116+CHI!C116+PIT!C116+'at WAS'!C116+DAL!C116</f>
        <v>0</v>
      </c>
      <c r="D116">
        <f>+'at DAL'!D116+'at PHI'!D116+'at PIT'!D116+'at MIN'!D116+PHI!D116+CLE!D116+STL!D116+WAS!D116+'at CLE'!D116+'at STL'!D116+CHI!D116+PIT!D116+'at WAS'!D116+DAL!D116</f>
        <v>0</v>
      </c>
      <c r="E116">
        <f>+'at DAL'!E116+'at PHI'!E116+'at PIT'!E116+'at MIN'!E116+PHI!E116+CLE!E116+STL!E116+WAS!E116+'at CLE'!E116+'at STL'!E116+CHI!E116+PIT!E116+'at WAS'!E116+DAL!E116</f>
        <v>0</v>
      </c>
      <c r="F116" s="12" t="e">
        <f t="shared" si="2"/>
        <v>#DIV/0!</v>
      </c>
      <c r="G116">
        <f>MAX('at DAL'!G116,'at PHI'!G116,'at PIT'!G116,'at MIN'!G116,PHI!G116,CLE!G116,STL!G116,'at CLE'!G116,'at STL'!G116,CHI!G116,PIT!G116,'at WAS'!G116,DAL!G116,+WAS!G116)</f>
        <v>0</v>
      </c>
      <c r="H116">
        <f>+'at DAL'!H116+'at PHI'!H116+'at PIT'!H116+'at MIN'!H116+PHI!H116+CLE!H116+STL!H116+WAS!H116+'at CLE'!H116+'at STL'!H116+CHI!H116+PIT!H116+'at WAS'!H116+DAL!H116</f>
        <v>0</v>
      </c>
      <c r="I116">
        <f>+'at DAL'!I116+'at PHI'!I116+'at PIT'!I116+'at MIN'!I116+PHI!I116+CLE!I116+STL!I116+WAS!I116+'at CLE'!I116+'at STL'!I116+CHI!I116+PIT!I116+'at WAS'!I116+DAL!I116</f>
        <v>0</v>
      </c>
    </row>
    <row r="117" spans="3:9" ht="12.75">
      <c r="C117">
        <f>+'at DAL'!C117+'at PHI'!C117+'at PIT'!C117+'at MIN'!C117+PHI!C117+CLE!C117+STL!C117+WAS!C117+'at CLE'!C117+'at STL'!C117+CHI!C117+PIT!C117+'at WAS'!C117+DAL!C117</f>
        <v>0</v>
      </c>
      <c r="D117">
        <f>+'at DAL'!D117+'at PHI'!D117+'at PIT'!D117+'at MIN'!D117+PHI!D117+CLE!D117+STL!D117+WAS!D117+'at CLE'!D117+'at STL'!D117+CHI!D117+PIT!D117+'at WAS'!D117+DAL!D117</f>
        <v>0</v>
      </c>
      <c r="E117">
        <f>+'at DAL'!E117+'at PHI'!E117+'at PIT'!E117+'at MIN'!E117+PHI!E117+CLE!E117+STL!E117+WAS!E117+'at CLE'!E117+'at STL'!E117+CHI!E117+PIT!E117+'at WAS'!E117+DAL!E117</f>
        <v>0</v>
      </c>
      <c r="F117" s="12" t="e">
        <f t="shared" si="2"/>
        <v>#DIV/0!</v>
      </c>
      <c r="G117">
        <f>MAX('at DAL'!G117,'at PHI'!G117,'at PIT'!G117,'at MIN'!G117,PHI!G117,CLE!G117,STL!G117,'at CLE'!G117,'at STL'!G117,CHI!G117,PIT!G117,'at WAS'!G117,DAL!G117,+WAS!G117)</f>
        <v>0</v>
      </c>
      <c r="H117">
        <f>+'at DAL'!H117+'at PHI'!H117+'at PIT'!H117+'at MIN'!H117+PHI!H117+CLE!H117+STL!H117+WAS!H117+'at CLE'!H117+'at STL'!H117+CHI!H117+PIT!H117+'at WAS'!H117+DAL!H117</f>
        <v>0</v>
      </c>
      <c r="I117">
        <f>+'at DAL'!I117+'at PHI'!I117+'at PIT'!I117+'at MIN'!I117+PHI!I117+CLE!I117+STL!I117+WAS!I117+'at CLE'!I117+'at STL'!I117+CHI!I117+PIT!I117+'at WAS'!I117+DAL!I117</f>
        <v>0</v>
      </c>
    </row>
    <row r="118" spans="3:9" ht="12.75">
      <c r="C118">
        <f>+'at DAL'!C118+'at PHI'!C118+'at PIT'!C118+'at MIN'!C118+PHI!C118+CLE!C118+STL!C118+WAS!C118+'at CLE'!C118+'at STL'!C118+CHI!C118+PIT!C118+'at WAS'!C118+DAL!C118</f>
        <v>0</v>
      </c>
      <c r="D118">
        <f>+'at DAL'!D118+'at PHI'!D118+'at PIT'!D118+'at MIN'!D118+PHI!D118+CLE!D118+STL!D118+WAS!D118+'at CLE'!D118+'at STL'!D118+CHI!D118+PIT!D118+'at WAS'!D118+DAL!D118</f>
        <v>0</v>
      </c>
      <c r="E118">
        <f>+'at DAL'!E118+'at PHI'!E118+'at PIT'!E118+'at MIN'!E118+PHI!E118+CLE!E118+STL!E118+WAS!E118+'at CLE'!E118+'at STL'!E118+CHI!E118+PIT!E118+'at WAS'!E118+DAL!E118</f>
        <v>0</v>
      </c>
      <c r="F118" s="12" t="e">
        <f t="shared" si="2"/>
        <v>#DIV/0!</v>
      </c>
      <c r="G118">
        <f>MAX('at DAL'!G118,'at PHI'!G118,'at PIT'!G118,'at MIN'!G118,PHI!G118,CLE!G118,STL!G118,'at CLE'!G118,'at STL'!G118,CHI!G118,PIT!G118,'at WAS'!G118,DAL!G118,+WAS!G118)</f>
        <v>0</v>
      </c>
      <c r="H118">
        <f>+'at DAL'!H118+'at PHI'!H118+'at PIT'!H118+'at MIN'!H118+PHI!H118+CLE!H118+STL!H118+WAS!H118+'at CLE'!H118+'at STL'!H118+CHI!H118+PIT!H118+'at WAS'!H118+DAL!H118</f>
        <v>0</v>
      </c>
      <c r="I118">
        <f>+'at DAL'!I118+'at PHI'!I118+'at PIT'!I118+'at MIN'!I118+PHI!I118+CLE!I118+STL!I118+WAS!I118+'at CLE'!I118+'at STL'!I118+CHI!I118+PIT!I118+'at WAS'!I118+DAL!I118</f>
        <v>0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t="s">
        <v>115</v>
      </c>
      <c r="C123">
        <f>+'at DAL'!C123+'at PHI'!C123+'at PIT'!C123+'at MIN'!C123+PHI!C123+CLE!C123+STL!C123+WAS!C123+'at CLE'!C123+'at STL'!C123+CHI!C123+PIT!C123+'at WAS'!C123+DAL!C123</f>
        <v>22</v>
      </c>
      <c r="D123">
        <f>+'at DAL'!D123+'at PHI'!D123+'at PIT'!D123+'at MIN'!D123+PHI!D123+CLE!D123+STL!D123+WAS!D123+'at CLE'!D123+'at STL'!D123+CHI!D123+PIT!D123+'at WAS'!D123+DAL!D123</f>
        <v>588</v>
      </c>
      <c r="E123" s="12">
        <f aca="true" t="shared" si="3" ref="E123:E128">+D123/C123</f>
        <v>26.727272727272727</v>
      </c>
      <c r="F123">
        <f>MAX('at DAL'!F123,'at PHI'!F123,'at PIT'!F123,'at MIN'!F123,PHI!F123,CLE!F123,STL!F123,'at CLE'!F123,'at STL'!F123,CHI!F123,PIT!F123,'at WAS'!F123,DAL!F123,+WAS!F123)</f>
        <v>41</v>
      </c>
      <c r="G123">
        <f>+'at DAL'!G123+'at PHI'!G123+'at PIT'!G123+'at MIN'!G123+PHI!G123+CLE!G123+STL!G123+WAS!G123+'at CLE'!G123+'at STL'!G123+CHI!G123+PIT!G123+'at WAS'!G123+DAL!G123</f>
        <v>0</v>
      </c>
      <c r="H123">
        <f>+'at DAL'!H123+'at PHI'!H123+'at PIT'!H123+'at MIN'!H123+PHI!H123+CLE!H123+STL!H123+WAS!H123+'at CLE'!H123+'at STL'!H123+CHI!H123+PIT!H123+'at WAS'!H123+DAL!H123</f>
        <v>1</v>
      </c>
    </row>
    <row r="124" spans="1:8" ht="12.75">
      <c r="A124" t="s">
        <v>101</v>
      </c>
      <c r="C124">
        <f>+'at DAL'!C124+'at PHI'!C124+'at PIT'!C124+'at MIN'!C124+PHI!C124+CLE!C124+STL!C124+WAS!C124+'at CLE'!C124+'at STL'!C124+CHI!C124+PIT!C124+'at WAS'!C124+DAL!C124</f>
        <v>15</v>
      </c>
      <c r="D124">
        <f>+'at DAL'!D124+'at PHI'!D124+'at PIT'!D124+'at MIN'!D124+PHI!D124+CLE!D124+STL!D124+WAS!D124+'at CLE'!D124+'at STL'!D124+CHI!D124+PIT!D124+'at WAS'!D124+DAL!D124</f>
        <v>300</v>
      </c>
      <c r="E124" s="12">
        <f t="shared" si="3"/>
        <v>20</v>
      </c>
      <c r="F124">
        <f>MAX('at DAL'!F124,'at PHI'!F124,'at PIT'!F124,'at MIN'!F124,PHI!F124,CLE!F124,STL!F124,'at CLE'!F124,'at STL'!F124,CHI!F124,PIT!F124,'at WAS'!F124,DAL!F124,+WAS!F124)</f>
        <v>39</v>
      </c>
      <c r="G124">
        <f>+'at DAL'!G124+'at PHI'!G124+'at PIT'!G124+'at MIN'!G124+PHI!G124+CLE!G124+STL!G124+WAS!G124+'at CLE'!G124+'at STL'!G124+CHI!G124+PIT!G124+'at WAS'!G124+DAL!G124</f>
        <v>0</v>
      </c>
      <c r="H124">
        <f>+'at DAL'!H124+'at PHI'!H124+'at PIT'!H124+'at MIN'!H124+PHI!H124+CLE!H124+STL!H124+WAS!H124+'at CLE'!H124+'at STL'!H124+CHI!H124+PIT!H124+'at WAS'!H124+DAL!H124</f>
        <v>0</v>
      </c>
    </row>
    <row r="125" spans="1:8" ht="12.75">
      <c r="A125" t="s">
        <v>112</v>
      </c>
      <c r="C125">
        <f>+'at DAL'!C125+'at PHI'!C125+'at PIT'!C125+'at MIN'!C125+PHI!C125+CLE!C125+STL!C125+WAS!C125+'at CLE'!C125+'at STL'!C125+CHI!C125+PIT!C125+'at WAS'!C125+DAL!C125</f>
        <v>2</v>
      </c>
      <c r="D125">
        <f>+'at DAL'!D125+'at PHI'!D125+'at PIT'!D125+'at MIN'!D125+PHI!D125+CLE!D125+STL!D125+WAS!D125+'at CLE'!D125+'at STL'!D125+CHI!D125+PIT!D125+'at WAS'!D125+DAL!D125</f>
        <v>27</v>
      </c>
      <c r="E125" s="12">
        <f t="shared" si="3"/>
        <v>13.5</v>
      </c>
      <c r="F125">
        <f>MAX('at DAL'!F125,'at PHI'!F125,'at PIT'!F125,'at MIN'!F125,PHI!F125,CLE!F125,STL!F125,'at CLE'!F125,'at STL'!F125,CHI!F125,PIT!F125,'at WAS'!F125,DAL!F125,+WAS!F125)</f>
        <v>20</v>
      </c>
      <c r="G125">
        <f>+'at DAL'!G125+'at PHI'!G125+'at PIT'!G125+'at MIN'!G125+PHI!G125+CLE!G125+STL!G125+WAS!G125+'at CLE'!G125+'at STL'!G125+CHI!G125+PIT!G125+'at WAS'!G125+DAL!G125</f>
        <v>0</v>
      </c>
      <c r="H125">
        <f>+'at DAL'!H125+'at PHI'!H125+'at PIT'!H125+'at MIN'!H125+PHI!H125+CLE!H125+STL!H125+WAS!H125+'at CLE'!H125+'at STL'!H125+CHI!H125+PIT!H125+'at WAS'!H125+DAL!H125</f>
        <v>1</v>
      </c>
    </row>
    <row r="126" spans="1:8" ht="12.75">
      <c r="A126" t="s">
        <v>116</v>
      </c>
      <c r="C126">
        <f>+'at DAL'!C126+'at PHI'!C126+'at PIT'!C126+'at MIN'!C126+PHI!C126+CLE!C126+STL!C126+WAS!C126+'at CLE'!C126+'at STL'!C126+CHI!C126+PIT!C126+'at WAS'!C126+DAL!C126</f>
        <v>2</v>
      </c>
      <c r="D126">
        <f>+'at DAL'!D126+'at PHI'!D126+'at PIT'!D126+'at MIN'!D126+PHI!D126+CLE!D126+STL!D126+WAS!D126+'at CLE'!D126+'at STL'!D126+CHI!D126+PIT!D126+'at WAS'!D126+DAL!D126</f>
        <v>16</v>
      </c>
      <c r="E126" s="12">
        <f t="shared" si="3"/>
        <v>8</v>
      </c>
      <c r="F126">
        <f>MAX('at DAL'!F126,'at PHI'!F126,'at PIT'!F126,'at MIN'!F126,PHI!F126,CLE!F126,STL!F126,'at CLE'!F126,'at STL'!F126,CHI!F126,PIT!F126,'at WAS'!F126,DAL!F126,+WAS!F126)</f>
        <v>16</v>
      </c>
      <c r="G126">
        <f>+'at DAL'!G126+'at PHI'!G126+'at PIT'!G126+'at MIN'!G126+PHI!G126+CLE!G126+STL!G126+WAS!G126+'at CLE'!G126+'at STL'!G126+CHI!G126+PIT!G126+'at WAS'!G126+DAL!G126</f>
        <v>0</v>
      </c>
      <c r="H126">
        <f>+'at DAL'!H126+'at PHI'!H126+'at PIT'!H126+'at MIN'!H126+PHI!H126+CLE!H126+STL!H126+WAS!H126+'at CLE'!H126+'at STL'!H126+CHI!H126+PIT!H126+'at WAS'!H126+DAL!H126</f>
        <v>0</v>
      </c>
    </row>
    <row r="127" spans="1:8" ht="12.75">
      <c r="A127" t="s">
        <v>100</v>
      </c>
      <c r="C127">
        <f>+'at DAL'!C127+'at PHI'!C127+'at PIT'!C127+'at MIN'!C127+PHI!C127+CLE!C127+STL!C127+WAS!C127+'at CLE'!C127+'at STL'!C127+CHI!C127+PIT!C127+'at WAS'!C127+DAL!C127</f>
        <v>4</v>
      </c>
      <c r="D127">
        <f>+'at DAL'!D127+'at PHI'!D127+'at PIT'!D127+'at MIN'!D127+PHI!D127+CLE!D127+STL!D127+WAS!D127+'at CLE'!D127+'at STL'!D127+CHI!D127+PIT!D127+'at WAS'!D127+DAL!D127</f>
        <v>66</v>
      </c>
      <c r="E127" s="12">
        <f t="shared" si="3"/>
        <v>16.5</v>
      </c>
      <c r="F127">
        <f>MAX('at DAL'!F127,'at PHI'!F127,'at PIT'!F127,'at MIN'!F127,PHI!F127,CLE!F127,STL!F127,'at CLE'!F127,'at STL'!F127,CHI!F127,PIT!F127,'at WAS'!F127,DAL!F127,+WAS!F127)</f>
        <v>17</v>
      </c>
      <c r="G127">
        <f>+'at DAL'!G127+'at PHI'!G127+'at PIT'!G127+'at MIN'!G127+PHI!G127+CLE!G127+STL!G127+WAS!G127+'at CLE'!G127+'at STL'!G127+CHI!G127+PIT!G127+'at WAS'!G127+DAL!G127</f>
        <v>0</v>
      </c>
      <c r="H127">
        <f>+'at DAL'!H127+'at PHI'!H127+'at PIT'!H127+'at MIN'!H127+PHI!H127+CLE!H127+STL!H127+WAS!H127+'at CLE'!H127+'at STL'!H127+CHI!H127+PIT!H127+'at WAS'!H127+DAL!H127</f>
        <v>0</v>
      </c>
    </row>
    <row r="128" spans="1:8" ht="12.75">
      <c r="A128" t="s">
        <v>105</v>
      </c>
      <c r="C128">
        <f>+'at DAL'!C128+'at PHI'!C128+'at PIT'!C128+'at MIN'!C128+PHI!C128+CLE!C128+STL!C128+WAS!C128+'at CLE'!C128+'at STL'!C128+CHI!C128+PIT!C128+'at WAS'!C128+DAL!C128</f>
        <v>0</v>
      </c>
      <c r="D128">
        <f>+'at DAL'!D128+'at PHI'!D128+'at PIT'!D128+'at MIN'!D128+PHI!D128+CLE!D128+STL!D128+WAS!D128+'at CLE'!D128+'at STL'!D128+CHI!D128+PIT!D128+'at WAS'!D128+DAL!D128</f>
        <v>0</v>
      </c>
      <c r="E128" s="12" t="e">
        <f t="shared" si="3"/>
        <v>#DIV/0!</v>
      </c>
      <c r="F128">
        <f>MAX('at DAL'!F128,'at PHI'!F128,'at PIT'!F128,'at MIN'!F128,PHI!F128,CLE!F128,STL!F128,'at CLE'!F128,'at STL'!F128,CHI!F128,PIT!F128,'at WAS'!F128,DAL!F128,+WAS!F128)</f>
        <v>0</v>
      </c>
      <c r="G128">
        <f>+'at DAL'!G128+'at PHI'!G128+'at PIT'!G128+'at MIN'!G128+PHI!G128+CLE!G128+STL!G128+WAS!G128+'at CLE'!G128+'at STL'!G128+CHI!G128+PIT!G128+'at WAS'!G128+DAL!G128</f>
        <v>0</v>
      </c>
      <c r="H128">
        <f>+'at DAL'!H128+'at PHI'!H128+'at PIT'!H128+'at MIN'!H128+PHI!H128+CLE!H128+STL!H128+WAS!H128+'at CLE'!H128+'at STL'!H128+CHI!H128+PIT!H128+'at WAS'!H128+DAL!H128</f>
        <v>0</v>
      </c>
    </row>
    <row r="129" spans="1:8" ht="12.75">
      <c r="A129" t="s">
        <v>117</v>
      </c>
      <c r="C129">
        <f>+'at DAL'!C129+'at PHI'!C129+'at PIT'!C129+'at MIN'!C129+PHI!C129+CLE!C129+STL!C129+WAS!C129+'at CLE'!C129+'at STL'!C129+CHI!C129+PIT!C129+'at WAS'!C129+DAL!C129</f>
        <v>0</v>
      </c>
      <c r="D129">
        <f>+'at DAL'!D129+'at PHI'!D129+'at PIT'!D129+'at MIN'!D129+PHI!D129+CLE!D129+STL!D129+WAS!D129+'at CLE'!D129+'at STL'!D129+CHI!D129+PIT!D129+'at WAS'!D129+DAL!D129</f>
        <v>0</v>
      </c>
      <c r="E129" s="12" t="e">
        <f>+D129/C129</f>
        <v>#DIV/0!</v>
      </c>
      <c r="F129">
        <f>MAX('at DAL'!F129,'at PHI'!F129,'at PIT'!F129,'at MIN'!F129,PHI!F129,CLE!F129,STL!F129,'at CLE'!F129,'at STL'!F129,CHI!F129,PIT!F129,'at WAS'!F129,DAL!F129,+WAS!F129)</f>
        <v>0</v>
      </c>
      <c r="G129">
        <f>+'at DAL'!G129+'at PHI'!G129+'at PIT'!G129+'at MIN'!G129+PHI!G129+CLE!G129+STL!G129+WAS!G129+'at CLE'!G129+'at STL'!G129+CHI!G129+PIT!G129+'at WAS'!G129+DAL!G129</f>
        <v>0</v>
      </c>
      <c r="H129">
        <f>+'at DAL'!H129+'at PHI'!H129+'at PIT'!H129+'at MIN'!H129+PHI!H129+CLE!H129+STL!H129+WAS!H129+'at CLE'!H129+'at STL'!H129+CHI!H129+PIT!H129+'at WAS'!H129+DAL!H129</f>
        <v>0</v>
      </c>
    </row>
    <row r="130" spans="1:8" ht="12.75">
      <c r="A130" s="1" t="s">
        <v>170</v>
      </c>
      <c r="C130">
        <f>+'at DAL'!C130+'at PHI'!C130+'at PIT'!C130+'at MIN'!C130+PHI!C130+CLE!C130+STL!C130+WAS!C130+'at CLE'!C130+'at STL'!C130+CHI!C130+PIT!C130+'at WAS'!C130+DAL!C130</f>
        <v>1</v>
      </c>
      <c r="D130">
        <f>+'at DAL'!D130+'at PHI'!D130+'at PIT'!D130+'at MIN'!D130+PHI!D130+CLE!D130+STL!D130+WAS!D130+'at CLE'!D130+'at STL'!D130+CHI!D130+PIT!D130+'at WAS'!D130+DAL!D130</f>
        <v>0</v>
      </c>
      <c r="E130" s="12">
        <f>+D130/C130</f>
        <v>0</v>
      </c>
      <c r="F130">
        <f>MAX('at DAL'!F130,'at PHI'!F130,'at PIT'!F130,'at MIN'!F130,PHI!F130,CLE!F130,STL!F130,'at CLE'!F130,'at STL'!F130,CHI!F130,PIT!F130,'at WAS'!F130,DAL!F130,+WAS!F130)</f>
        <v>0</v>
      </c>
      <c r="G130">
        <f>+'at DAL'!G130+'at PHI'!G130+'at PIT'!G130+'at MIN'!G130+PHI!G130+CLE!G130+STL!G130+WAS!G130+'at CLE'!G130+'at STL'!G130+CHI!G130+PIT!G130+'at WAS'!G130+DAL!G130</f>
        <v>0</v>
      </c>
      <c r="H130">
        <f>+'at DAL'!H130+'at PHI'!H130+'at PIT'!H130+'at MIN'!H130+PHI!H130+CLE!H130+STL!H130+WAS!H130+'at CLE'!H130+'at STL'!H130+CHI!H130+PIT!H130+'at WAS'!H130+DAL!H130</f>
        <v>0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t="s">
        <v>101</v>
      </c>
      <c r="C133">
        <f>+'at DAL'!C133+'at PHI'!C133+'at PIT'!C133+'at MIN'!C133+PHI!C133+CLE!C133+STL!C133+WAS!C133+'at CLE'!C133+'at STL'!C133+CHI!C133+PIT!C133+'at WAS'!C133+DAL!C133</f>
        <v>71</v>
      </c>
      <c r="D133">
        <f>+'at DAL'!D133+'at PHI'!D133+'at PIT'!D133+'at MIN'!D133+PHI!D133+CLE!D133+STL!D133+WAS!D133+'at CLE'!D133+'at STL'!D133+CHI!D133+PIT!D133+'at WAS'!D133+DAL!D133</f>
        <v>2843</v>
      </c>
      <c r="E133" s="12">
        <f>+D133/C133</f>
        <v>40.04225352112676</v>
      </c>
      <c r="F133">
        <f>MAX('at DAL'!F133,'at PHI'!F133,'at PIT'!F133,'at MIN'!F133,PHI!F133,CLE!F133,STL!F133,'at CLE'!F133,'at STL'!F133,CHI!F133,PIT!F133,'at WAS'!F133,DAL!F133,+WAS!F133)</f>
        <v>60</v>
      </c>
      <c r="G133">
        <f>+'at DAL'!G133+'at PHI'!G133+'at PIT'!G133+'at MIN'!G133+PHI!G133+CLE!G133+STL!G133+WAS!G133+'at CLE'!G133+'at STL'!G133+CHI!G133+PIT!G133+'at WAS'!G133+DAL!G133</f>
        <v>0</v>
      </c>
      <c r="H133">
        <f>+'at DAL'!H133+'at PHI'!H133+'at PIT'!H133+'at MIN'!H133+PHI!H133+CLE!H133+STL!H133+WAS!H133+'at CLE'!H133+'at STL'!H133+CHI!H133+PIT!H133+'at WAS'!H133+DAL!H133</f>
        <v>1</v>
      </c>
    </row>
    <row r="134" spans="1:8" ht="12.75">
      <c r="A134" t="s">
        <v>114</v>
      </c>
      <c r="C134">
        <f>+'at DAL'!C134+'at PHI'!C134+'at PIT'!C134+'at MIN'!C134+PHI!C134+CLE!C134+STL!C134+WAS!C134+'at CLE'!C134+'at STL'!C134+CHI!C134+PIT!C134+'at WAS'!C134+DAL!C134</f>
        <v>4</v>
      </c>
      <c r="D134">
        <f>+'at DAL'!D134+'at PHI'!D134+'at PIT'!D134+'at MIN'!D134+PHI!D134+CLE!D134+STL!D134+WAS!D134+'at CLE'!D134+'at STL'!D134+CHI!D134+PIT!D134+'at WAS'!D134+DAL!D134</f>
        <v>190</v>
      </c>
      <c r="E134" s="12">
        <f>+D134/C134</f>
        <v>47.5</v>
      </c>
      <c r="F134">
        <f>MAX('at DAL'!F134,'at PHI'!F134,'at PIT'!F134,'at MIN'!F134,PHI!F134,CLE!F134,STL!F134,'at CLE'!F134,'at STL'!F134,CHI!F134,PIT!F134,'at WAS'!F134,DAL!F134,+WAS!F134)</f>
        <v>54</v>
      </c>
      <c r="G134">
        <f>+'at DAL'!G134+'at PHI'!G134+'at PIT'!G134+'at MIN'!G134+PHI!G134+CLE!G134+STL!G134+WAS!G134+'at CLE'!G134+'at STL'!G134+CHI!G134+PIT!G134+'at WAS'!G134+DAL!G134</f>
        <v>0</v>
      </c>
      <c r="H134">
        <f>+'at DAL'!H134+'at PHI'!H134+'at PIT'!H134+'at MIN'!H134+PHI!H134+CLE!H134+STL!H134+WAS!H134+'at CLE'!H134+'at STL'!H134+CHI!H134+PIT!H134+'at WAS'!H134+DAL!H134</f>
        <v>0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3" ht="12.75">
      <c r="A137" t="s">
        <v>118</v>
      </c>
      <c r="C137">
        <f>+'at DAL'!C137+'at PHI'!C137+'at PIT'!C137+'at MIN'!C137+PHI!C137+CLE!C137+STL!C137+WAS!C137+'at CLE'!C137+'at STL'!C137+CHI!C137+PIT!C137+'at WAS'!C137+DAL!C137</f>
        <v>28</v>
      </c>
      <c r="D137">
        <f>+'at DAL'!D137+'at PHI'!D137+'at PIT'!D137+'at MIN'!D137+PHI!D137+CLE!D137+STL!D137+WAS!D137+'at CLE'!D137+'at STL'!D137+CHI!D137+PIT!D137+'at WAS'!D137+DAL!D137</f>
        <v>1</v>
      </c>
      <c r="E137">
        <f>+'at DAL'!E137+'at PHI'!E137+'at PIT'!E137+'at MIN'!E137+PHI!E137+CLE!E137+STL!E137+WAS!E137+'at CLE'!E137+'at STL'!E137+CHI!E137+PIT!E137+'at WAS'!E137+DAL!E137</f>
        <v>22</v>
      </c>
      <c r="F137">
        <f>+'at DAL'!F137+'at PHI'!F137+'at PIT'!F137+'at MIN'!F137+PHI!F137+CLE!F137+STL!F137+WAS!F137+'at CLE'!F137+'at STL'!F137+CHI!F137+PIT!F137+'at WAS'!F137+DAL!F137</f>
        <v>22</v>
      </c>
      <c r="G137">
        <f>+'at DAL'!G137+'at PHI'!G137+'at PIT'!G137+'at MIN'!G137+PHI!G137+CLE!G137+STL!G137+WAS!G137+'at CLE'!G137+'at STL'!G137+CHI!G137+PIT!G137+'at WAS'!G137+DAL!G137</f>
        <v>10</v>
      </c>
      <c r="H137">
        <f>+'at DAL'!H137+'at PHI'!H137+'at PIT'!H137+'at MIN'!H137+PHI!H137+CLE!H137+STL!H137+WAS!H137+'at CLE'!H137+'at STL'!H137+CHI!H137+PIT!H137+'at WAS'!H137+DAL!H137</f>
        <v>3</v>
      </c>
      <c r="I137" s="12">
        <f>+H137/G137*100</f>
        <v>30</v>
      </c>
      <c r="J137">
        <f>MAX('at DAL'!J137,'at PHI'!J137,'at PIT'!J137,'at MIN'!J137,PHI!J137,CLE!J137,STL!J137,'at CLE'!J137,'at STL'!J137,CHI!J137,PIT!J137,'at WAS'!J137,DAL!J137,+WAS!J137)</f>
        <v>19</v>
      </c>
      <c r="M137">
        <f>+F137+H137*3</f>
        <v>31</v>
      </c>
    </row>
    <row r="138" spans="1:10" ht="12.75">
      <c r="A138" t="s">
        <v>119</v>
      </c>
      <c r="C138">
        <f>+'at DAL'!C138+'at PHI'!C138+'at PIT'!C138+'at MIN'!C138+PHI!C138+CLE!C138+STL!C138+WAS!C138+'at CLE'!C138+'at STL'!C138+CHI!C138+PIT!C138+'at WAS'!C138+DAL!C138</f>
        <v>30</v>
      </c>
      <c r="D138">
        <f>+'at DAL'!D138+'at PHI'!D138+'at PIT'!D138+'at MIN'!D138+PHI!D138+CLE!D138+STL!D138+WAS!D138+'at CLE'!D138+'at STL'!D138+CHI!D138+PIT!D138+'at WAS'!D138+DAL!D138</f>
        <v>1</v>
      </c>
      <c r="E138">
        <f>+'at DAL'!E138+'at PHI'!E138+'at PIT'!E138+'at MIN'!E138+PHI!E138+CLE!E138+STL!E138+WAS!E138+'at CLE'!E138+'at STL'!E138+CHI!E138+PIT!E138+'at WAS'!E138+DAL!E138</f>
        <v>25</v>
      </c>
      <c r="F138">
        <f>+'at DAL'!F138+'at PHI'!F138+'at PIT'!F138+'at MIN'!F138+PHI!F138+CLE!F138+STL!F138+WAS!F138+'at CLE'!F138+'at STL'!F138+CHI!F138+PIT!F138+'at WAS'!F138+DAL!F138</f>
        <v>21</v>
      </c>
      <c r="G138">
        <f>+'at DAL'!G138+'at PHI'!G138+'at PIT'!G138+'at MIN'!G138+PHI!G138+CLE!G138+STL!G138+WAS!G138+'at CLE'!G138+'at STL'!G138+CHI!G138+PIT!G138+'at WAS'!G138+DAL!G138</f>
        <v>14</v>
      </c>
      <c r="H138">
        <f>+'at DAL'!H138+'at PHI'!H138+'at PIT'!H138+'at MIN'!H138+PHI!H138+CLE!H138+STL!H138+WAS!H138+'at CLE'!H138+'at STL'!H138+CHI!H138+PIT!H138+'at WAS'!H138+DAL!H138</f>
        <v>1</v>
      </c>
      <c r="I138" s="12">
        <f>+H138/G138*100</f>
        <v>7.142857142857142</v>
      </c>
      <c r="J138">
        <f>MAX('at DAL'!J138,'at PHI'!J138,'at PIT'!J138,'at MIN'!J138,PHI!J138,CLE!J138,STL!J138,'at CLE'!J138,'at STL'!J138,CHI!J138,PIT!J138,'at WAS'!J138,DAL!J138,+WAS!J138)</f>
        <v>7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8" ht="12.75">
      <c r="A141" t="s">
        <v>114</v>
      </c>
      <c r="C141">
        <f>+'at DAL'!C141+'at PHI'!C141+'at PIT'!C141+'at MIN'!C141+PHI!C141+CLE!C141+STL!C141+WAS!C141+'at CLE'!C141+'at STL'!C141+CHI!C141+PIT!C141+'at WAS'!C141+DAL!C141</f>
        <v>5</v>
      </c>
      <c r="D141">
        <f>+'at DAL'!D141+'at PHI'!D141+'at PIT'!D141+'at MIN'!D141+PHI!D141+CLE!D141+STL!D141+WAS!D141+'at CLE'!D141+'at STL'!D141+CHI!D141+PIT!D141+'at WAS'!D141+DAL!D141</f>
        <v>101</v>
      </c>
      <c r="E141" s="12">
        <f>+D141/C141</f>
        <v>20.2</v>
      </c>
      <c r="F141">
        <f>MAX('at DAL'!F141,'at PHI'!F141,'at PIT'!F141,'at MIN'!F141,PHI!F141,CLE!F141,STL!F141,'at CLE'!F141,'at STL'!F141,CHI!F141,PIT!F141,'at WAS'!F141,DAL!F141,+WAS!F141)</f>
        <v>44</v>
      </c>
      <c r="G141">
        <f>+'at DAL'!G141+'at PHI'!G141+'at PIT'!G141+'at MIN'!G141+PHI!G141+CLE!G141+STL!G141+WAS!G141+'at CLE'!G141+'at STL'!G141+CHI!G141+PIT!G141+'at WAS'!G141+DAL!G141</f>
        <v>1</v>
      </c>
      <c r="H141">
        <f>+'at DAL'!H141+'at PHI'!H141+'at PIT'!H141+'at MIN'!H141+PHI!H141+CLE!H141+STL!H141+WAS!H141+'at CLE'!H141+'at STL'!H141+CHI!H141+PIT!H141+'at WAS'!H141+DAL!H141</f>
        <v>0</v>
      </c>
    </row>
    <row r="142" spans="1:8" ht="12.75">
      <c r="A142" t="s">
        <v>120</v>
      </c>
      <c r="C142">
        <f>+'at DAL'!C142+'at PHI'!C142+'at PIT'!C142+'at MIN'!C142+PHI!C142+CLE!C142+STL!C142+WAS!C142+'at CLE'!C142+'at STL'!C142+CHI!C142+PIT!C142+'at WAS'!C142+DAL!C142</f>
        <v>7</v>
      </c>
      <c r="D142">
        <f>+'at DAL'!D142+'at PHI'!D142+'at PIT'!D142+'at MIN'!D142+PHI!D142+CLE!D142+STL!D142+WAS!D142+'at CLE'!D142+'at STL'!D142+CHI!D142+PIT!D142+'at WAS'!D142+DAL!D142</f>
        <v>52</v>
      </c>
      <c r="E142" s="12">
        <f aca="true" t="shared" si="4" ref="E142:E148">+D142/C142</f>
        <v>7.428571428571429</v>
      </c>
      <c r="F142">
        <f>MAX('at DAL'!F142,'at PHI'!F142,'at PIT'!F142,'at MIN'!F142,PHI!F142,CLE!F142,STL!F142,'at CLE'!F142,'at STL'!F142,CHI!F142,PIT!F142,'at WAS'!F142,DAL!F142,+WAS!F142)</f>
        <v>20</v>
      </c>
      <c r="G142">
        <f>+'at DAL'!G142+'at PHI'!G142+'at PIT'!G142+'at MIN'!G142+PHI!G142+CLE!G142+STL!G142+WAS!G142+'at CLE'!G142+'at STL'!G142+CHI!G142+PIT!G142+'at WAS'!G142+DAL!G142</f>
        <v>0</v>
      </c>
      <c r="H142">
        <f>+'at DAL'!H142+'at PHI'!H142+'at PIT'!H142+'at MIN'!H142+PHI!H142+CLE!H142+STL!H142+WAS!H142+'at CLE'!H142+'at STL'!H142+CHI!H142+PIT!H142+'at WAS'!H142+DAL!H142</f>
        <v>0</v>
      </c>
    </row>
    <row r="143" spans="1:8" ht="12.75">
      <c r="A143" t="s">
        <v>121</v>
      </c>
      <c r="C143">
        <f>+'at DAL'!C143+'at PHI'!C143+'at PIT'!C143+'at MIN'!C143+PHI!C143+CLE!C143+STL!C143+WAS!C143+'at CLE'!C143+'at STL'!C143+CHI!C143+PIT!C143+'at WAS'!C143+DAL!C143</f>
        <v>0</v>
      </c>
      <c r="D143">
        <f>+'at DAL'!D143+'at PHI'!D143+'at PIT'!D143+'at MIN'!D143+PHI!D143+CLE!D143+STL!D143+WAS!D143+'at CLE'!D143+'at STL'!D143+CHI!D143+PIT!D143+'at WAS'!D143+DAL!D143</f>
        <v>0</v>
      </c>
      <c r="E143" s="12" t="e">
        <f t="shared" si="4"/>
        <v>#DIV/0!</v>
      </c>
      <c r="F143">
        <f>MAX('at DAL'!F143,'at PHI'!F143,'at PIT'!F143,'at MIN'!F143,PHI!F143,CLE!F143,STL!F143,'at CLE'!F143,'at STL'!F143,CHI!F143,PIT!F143,'at WAS'!F143,DAL!F143,+WAS!F143)</f>
        <v>0</v>
      </c>
      <c r="G143">
        <f>+'at DAL'!G143+'at PHI'!G143+'at PIT'!G143+'at MIN'!G143+PHI!G143+CLE!G143+STL!G143+WAS!G143+'at CLE'!G143+'at STL'!G143+CHI!G143+PIT!G143+'at WAS'!G143+DAL!G143</f>
        <v>0</v>
      </c>
      <c r="H143">
        <f>+'at DAL'!H143+'at PHI'!H143+'at PIT'!H143+'at MIN'!H143+PHI!H143+CLE!H143+STL!H143+WAS!H143+'at CLE'!H143+'at STL'!H143+CHI!H143+PIT!H143+'at WAS'!H143+DAL!H143</f>
        <v>0</v>
      </c>
    </row>
    <row r="144" spans="1:8" ht="12.75">
      <c r="A144" t="s">
        <v>122</v>
      </c>
      <c r="C144">
        <f>+'at DAL'!C144+'at PHI'!C144+'at PIT'!C144+'at MIN'!C144+PHI!C144+CLE!C144+STL!C144+WAS!C144+'at CLE'!C144+'at STL'!C144+CHI!C144+PIT!C144+'at WAS'!C144+DAL!C144</f>
        <v>2</v>
      </c>
      <c r="D144">
        <f>+'at DAL'!D144+'at PHI'!D144+'at PIT'!D144+'at MIN'!D144+PHI!D144+CLE!D144+STL!D144+WAS!D144+'at CLE'!D144+'at STL'!D144+CHI!D144+PIT!D144+'at WAS'!D144+DAL!D144</f>
        <v>49</v>
      </c>
      <c r="E144" s="12">
        <f t="shared" si="4"/>
        <v>24.5</v>
      </c>
      <c r="F144">
        <f>MAX('at DAL'!F144,'at PHI'!F144,'at PIT'!F144,'at MIN'!F144,PHI!F144,CLE!F144,STL!F144,'at CLE'!F144,'at STL'!F144,CHI!F144,PIT!F144,'at WAS'!F144,DAL!F144,+WAS!F144)</f>
        <v>47</v>
      </c>
      <c r="G144">
        <f>+'at DAL'!G144+'at PHI'!G144+'at PIT'!G144+'at MIN'!G144+PHI!G144+CLE!G144+STL!G144+WAS!G144+'at CLE'!G144+'at STL'!G144+CHI!G144+PIT!G144+'at WAS'!G144+DAL!G144</f>
        <v>0</v>
      </c>
      <c r="H144">
        <f>+'at DAL'!H144+'at PHI'!H144+'at PIT'!H144+'at MIN'!H144+PHI!H144+CLE!H144+STL!H144+WAS!H144+'at CLE'!H144+'at STL'!H144+CHI!H144+PIT!H144+'at WAS'!H144+DAL!H144</f>
        <v>2</v>
      </c>
    </row>
    <row r="145" spans="1:8" ht="12.75">
      <c r="A145" t="s">
        <v>123</v>
      </c>
      <c r="C145">
        <f>+'at DAL'!C145+'at PHI'!C145+'at PIT'!C145+'at MIN'!C145+PHI!C145+CLE!C145+STL!C145+WAS!C145+'at CLE'!C145+'at STL'!C145+CHI!C145+PIT!C145+'at WAS'!C145+DAL!C145</f>
        <v>3</v>
      </c>
      <c r="D145">
        <f>+'at DAL'!D145+'at PHI'!D145+'at PIT'!D145+'at MIN'!D145+PHI!D145+CLE!D145+STL!D145+WAS!D145+'at CLE'!D145+'at STL'!D145+CHI!D145+PIT!D145+'at WAS'!D145+DAL!D145</f>
        <v>33</v>
      </c>
      <c r="E145" s="12">
        <f t="shared" si="4"/>
        <v>11</v>
      </c>
      <c r="F145">
        <f>MAX('at DAL'!F145,'at PHI'!F145,'at PIT'!F145,'at MIN'!F145,PHI!F145,CLE!F145,STL!F145,'at CLE'!F145,'at STL'!F145,CHI!F145,PIT!F145,'at WAS'!F145,DAL!F145,+WAS!F145)</f>
        <v>33</v>
      </c>
      <c r="G145">
        <f>+'at DAL'!G145+'at PHI'!G145+'at PIT'!G145+'at MIN'!G145+PHI!G145+CLE!G145+STL!G145+WAS!G145+'at CLE'!G145+'at STL'!G145+CHI!G145+PIT!G145+'at WAS'!G145+DAL!G145</f>
        <v>0</v>
      </c>
      <c r="H145">
        <f>+'at DAL'!H145+'at PHI'!H145+'at PIT'!H145+'at MIN'!H145+PHI!H145+CLE!H145+STL!H145+WAS!H145+'at CLE'!H145+'at STL'!H145+CHI!H145+PIT!H145+'at WAS'!H145+DAL!H145</f>
        <v>1</v>
      </c>
    </row>
    <row r="146" spans="1:8" ht="12.75">
      <c r="A146" t="s">
        <v>112</v>
      </c>
      <c r="C146">
        <f>+'at DAL'!C146+'at PHI'!C146+'at PIT'!C146+'at MIN'!C146+PHI!C146+CLE!C146+STL!C146+WAS!C146+'at CLE'!C146+'at STL'!C146+CHI!C146+PIT!C146+'at WAS'!C146+DAL!C146</f>
        <v>0</v>
      </c>
      <c r="D146">
        <f>+'at DAL'!D146+'at PHI'!D146+'at PIT'!D146+'at MIN'!D146+PHI!D146+CLE!D146+STL!D146+WAS!D146+'at CLE'!D146+'at STL'!D146+CHI!D146+PIT!D146+'at WAS'!D146+DAL!D146</f>
        <v>0</v>
      </c>
      <c r="E146" s="12" t="e">
        <f t="shared" si="4"/>
        <v>#DIV/0!</v>
      </c>
      <c r="F146">
        <f>MAX('at DAL'!F146,'at PHI'!F146,'at PIT'!F146,'at MIN'!F146,PHI!F146,CLE!F146,STL!F146,'at CLE'!F146,'at STL'!F146,CHI!F146,PIT!F146,'at WAS'!F146,DAL!F146,+WAS!F146)</f>
        <v>0</v>
      </c>
      <c r="G146">
        <f>+'at DAL'!G146+'at PHI'!G146+'at PIT'!G146+'at MIN'!G146+PHI!G146+CLE!G146+STL!G146+WAS!G146+'at CLE'!G146+'at STL'!G146+CHI!G146+PIT!G146+'at WAS'!G146+DAL!G146</f>
        <v>0</v>
      </c>
      <c r="H146">
        <f>+'at DAL'!H146+'at PHI'!H146+'at PIT'!H146+'at MIN'!H146+PHI!H146+CLE!H146+STL!H146+WAS!H146+'at CLE'!H146+'at STL'!H146+CHI!H146+PIT!H146+'at WAS'!H146+DAL!H146</f>
        <v>0</v>
      </c>
    </row>
    <row r="147" spans="1:8" ht="12.75">
      <c r="A147" t="s">
        <v>124</v>
      </c>
      <c r="C147">
        <f>+'at DAL'!C147+'at PHI'!C147+'at PIT'!C147+'at MIN'!C147+PHI!C147+CLE!C147+STL!C147+WAS!C147+'at CLE'!C147+'at STL'!C147+CHI!C147+PIT!C147+'at WAS'!C147+DAL!C147</f>
        <v>0</v>
      </c>
      <c r="D147">
        <f>+'at DAL'!D147+'at PHI'!D147+'at PIT'!D147+'at MIN'!D147+PHI!D147+CLE!D147+STL!D147+WAS!D147+'at CLE'!D147+'at STL'!D147+CHI!D147+PIT!D147+'at WAS'!D147+DAL!D147</f>
        <v>0</v>
      </c>
      <c r="E147" s="12" t="e">
        <f t="shared" si="4"/>
        <v>#DIV/0!</v>
      </c>
      <c r="F147">
        <f>MAX('at DAL'!F147,'at PHI'!F147,'at PIT'!F147,'at MIN'!F147,PHI!F147,CLE!F147,STL!F147,'at CLE'!F147,'at STL'!F147,CHI!F147,PIT!F147,'at WAS'!F147,DAL!F147,+WAS!F147)</f>
        <v>0</v>
      </c>
      <c r="G147">
        <f>+'at DAL'!G147+'at PHI'!G147+'at PIT'!G147+'at MIN'!G147+PHI!G147+CLE!G147+STL!G147+WAS!G147+'at CLE'!G147+'at STL'!G147+CHI!G147+PIT!G147+'at WAS'!G147+DAL!G147</f>
        <v>0</v>
      </c>
      <c r="H147">
        <f>+'at DAL'!H147+'at PHI'!H147+'at PIT'!H147+'at MIN'!H147+PHI!H147+CLE!H147+STL!H147+WAS!H147+'at CLE'!H147+'at STL'!H147+CHI!H147+PIT!H147+'at WAS'!H147+DAL!H147</f>
        <v>0</v>
      </c>
    </row>
    <row r="148" spans="1:8" ht="12.75">
      <c r="A148" t="s">
        <v>113</v>
      </c>
      <c r="C148">
        <f>+'at DAL'!C148+'at PHI'!C148+'at PIT'!C148+'at MIN'!C148+PHI!C148+CLE!C148+STL!C148+WAS!C148+'at CLE'!C148+'at STL'!C148+CHI!C148+PIT!C148+'at WAS'!C148+DAL!C148</f>
        <v>1</v>
      </c>
      <c r="D148">
        <f>+'at DAL'!D148+'at PHI'!D148+'at PIT'!D148+'at MIN'!D148+PHI!D148+CLE!D148+STL!D148+WAS!D148+'at CLE'!D148+'at STL'!D148+CHI!D148+PIT!D148+'at WAS'!D148+DAL!D148</f>
        <v>4</v>
      </c>
      <c r="E148" s="12">
        <f t="shared" si="4"/>
        <v>4</v>
      </c>
      <c r="F148">
        <f>MAX('at DAL'!F148,'at PHI'!F148,'at PIT'!F148,'at MIN'!F148,PHI!F148,CLE!F148,STL!F148,'at CLE'!F148,'at STL'!F148,CHI!F148,PIT!F148,'at WAS'!F148,DAL!F148,+WAS!F148)</f>
        <v>4</v>
      </c>
      <c r="G148">
        <f>+'at DAL'!G148+'at PHI'!G148+'at PIT'!G148+'at MIN'!G148+PHI!G148+CLE!G148+STL!G148+WAS!G148+'at CLE'!G148+'at STL'!G148+CHI!G148+PIT!G148+'at WAS'!G148+DAL!G148</f>
        <v>0</v>
      </c>
      <c r="H148">
        <f>+'at DAL'!H148+'at PHI'!H148+'at PIT'!H148+'at MIN'!H148+PHI!H148+CLE!H148+STL!H148+WAS!H148+'at CLE'!H148+'at STL'!H148+CHI!H148+PIT!H148+'at WAS'!H148+DAL!H148</f>
        <v>0</v>
      </c>
    </row>
    <row r="150" spans="1:7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  <c r="G150" s="3" t="s">
        <v>84</v>
      </c>
    </row>
    <row r="151" spans="1:7" ht="12.75">
      <c r="A151" s="19" t="s">
        <v>125</v>
      </c>
      <c r="C151">
        <f>+'at DAL'!C151+'at PHI'!C151+'at PIT'!C151+'at MIN'!C151+PHI!C151+CLE!C151+STL!C151+WAS!C151+'at CLE'!C151+'at STL'!C151+CHI!C151+PIT!C151+'at WAS'!C151+DAL!C151</f>
        <v>4</v>
      </c>
      <c r="D151">
        <f>+'at DAL'!D151+'at PHI'!D151+'at PIT'!D151+'at MIN'!D151+PHI!D151+CLE!D151+STL!D151+WAS!D151+'at CLE'!D151+'at STL'!D151+CHI!D151+PIT!D151+'at WAS'!D151+DAL!D151</f>
        <v>0</v>
      </c>
      <c r="E151">
        <f>MAX('at DAL'!E151,'at PHI'!E151,'at PIT'!E151,'at MIN'!E151,PHI!E151,CLE!E151,STL!E151,'at CLE'!E151,'at STL'!E151,CHI!E151,PIT!E151,'at WAS'!E151,DAL!E151,+WAS!E151)</f>
        <v>0</v>
      </c>
      <c r="F151">
        <f>+'at DAL'!F151+'at PHI'!F151+'at PIT'!F151+'at MIN'!F151+PHI!F151+CLE!F151+STL!F151+WAS!F151+'at CLE'!F151+'at STL'!F151+CHI!F151+PIT!F151+'at WAS'!F151+DAL!F151</f>
        <v>0</v>
      </c>
      <c r="G151">
        <f>+'at DAL'!G151+'at PHI'!G151+'at PIT'!G151+'at MIN'!G151+PHI!G151+CLE!G151+STL!G151+WAS!G151+'at CLE'!G151+'at STL'!G151+CHI!G151+PIT!G151+'at WAS'!G151+DAL!G151</f>
        <v>0</v>
      </c>
    </row>
    <row r="152" spans="1:7" ht="12.75">
      <c r="A152" s="19" t="s">
        <v>126</v>
      </c>
      <c r="C152">
        <f>+'at DAL'!C152+'at PHI'!C152+'at PIT'!C152+'at MIN'!C152+PHI!C152+CLE!C152+STL!C152+WAS!C152+'at CLE'!C152+'at STL'!C152+CHI!C152+PIT!C152+'at WAS'!C152+DAL!C152</f>
        <v>2</v>
      </c>
      <c r="D152">
        <f>+'at DAL'!D152+'at PHI'!D152+'at PIT'!D152+'at MIN'!D152+PHI!D152+CLE!D152+STL!D152+WAS!D152+'at CLE'!D152+'at STL'!D152+CHI!D152+PIT!D152+'at WAS'!D152+DAL!D152</f>
        <v>0</v>
      </c>
      <c r="E152">
        <f>MAX('at DAL'!E152,'at PHI'!E152,'at PIT'!E152,'at MIN'!E152,PHI!E152,CLE!E152,STL!E152,'at CLE'!E152,'at STL'!E152,CHI!E152,PIT!E152,'at WAS'!E152,DAL!E152,+WAS!E152)</f>
        <v>0</v>
      </c>
      <c r="F152">
        <f>+'at DAL'!F152+'at PHI'!F152+'at PIT'!F152+'at MIN'!F152+PHI!F152+CLE!F152+STL!F152+WAS!F152+'at CLE'!F152+'at STL'!F152+CHI!F152+PIT!F152+'at WAS'!F152+DAL!F152</f>
        <v>0</v>
      </c>
      <c r="G152">
        <f>+'at DAL'!G152+'at PHI'!G152+'at PIT'!G152+'at MIN'!G152+PHI!G152+CLE!G152+STL!G152+WAS!G152+'at CLE'!G152+'at STL'!G152+CHI!G152+PIT!G152+'at WAS'!G152+DAL!G152</f>
        <v>0</v>
      </c>
    </row>
    <row r="153" spans="1:7" ht="12.75">
      <c r="A153" s="19" t="s">
        <v>127</v>
      </c>
      <c r="C153">
        <f>+'at DAL'!C153+'at PHI'!C153+'at PIT'!C153+'at MIN'!C153+PHI!C153+CLE!C153+STL!C153+WAS!C153+'at CLE'!C153+'at STL'!C153+CHI!C153+PIT!C153+'at WAS'!C153+DAL!C153</f>
        <v>1</v>
      </c>
      <c r="D153">
        <f>+'at DAL'!D153+'at PHI'!D153+'at PIT'!D153+'at MIN'!D153+PHI!D153+CLE!D153+STL!D153+WAS!D153+'at CLE'!D153+'at STL'!D153+CHI!D153+PIT!D153+'at WAS'!D153+DAL!D153</f>
        <v>0</v>
      </c>
      <c r="E153">
        <f>MAX('at DAL'!E153,'at PHI'!E153,'at PIT'!E153,'at MIN'!E153,PHI!E153,CLE!E153,STL!E153,'at CLE'!E153,'at STL'!E153,CHI!E153,PIT!E153,'at WAS'!E153,DAL!E153,+WAS!E153)</f>
        <v>0</v>
      </c>
      <c r="F153">
        <f>+'at DAL'!F153+'at PHI'!F153+'at PIT'!F153+'at MIN'!F153+PHI!F153+CLE!F153+STL!F153+WAS!F153+'at CLE'!F153+'at STL'!F153+CHI!F153+PIT!F153+'at WAS'!F153+DAL!F153</f>
        <v>0</v>
      </c>
      <c r="G153">
        <f>+'at DAL'!G153+'at PHI'!G153+'at PIT'!G153+'at MIN'!G153+PHI!G153+CLE!G153+STL!G153+WAS!G153+'at CLE'!G153+'at STL'!G153+CHI!G153+PIT!G153+'at WAS'!G153+DAL!G153</f>
        <v>0</v>
      </c>
    </row>
    <row r="154" spans="1:7" ht="12.75">
      <c r="A154" s="19" t="s">
        <v>128</v>
      </c>
      <c r="C154">
        <f>+'at DAL'!C154+'at PHI'!C154+'at PIT'!C154+'at MIN'!C154+PHI!C154+CLE!C154+STL!C154+WAS!C154+'at CLE'!C154+'at STL'!C154+CHI!C154+PIT!C154+'at WAS'!C154+DAL!C154</f>
        <v>0</v>
      </c>
      <c r="D154">
        <f>+'at DAL'!D154+'at PHI'!D154+'at PIT'!D154+'at MIN'!D154+PHI!D154+CLE!D154+STL!D154+WAS!D154+'at CLE'!D154+'at STL'!D154+CHI!D154+PIT!D154+'at WAS'!D154+DAL!D154</f>
        <v>0</v>
      </c>
      <c r="E154">
        <f>MAX('at DAL'!E154,'at PHI'!E154,'at PIT'!E154,'at MIN'!E154,PHI!E154,CLE!E154,STL!E154,'at CLE'!E154,'at STL'!E154,CHI!E154,PIT!E154,'at WAS'!E154,DAL!E154,+WAS!E154)</f>
        <v>0</v>
      </c>
      <c r="F154">
        <f>+'at DAL'!F154+'at PHI'!F154+'at PIT'!F154+'at MIN'!F154+PHI!F154+CLE!F154+STL!F154+WAS!F154+'at CLE'!F154+'at STL'!F154+CHI!F154+PIT!F154+'at WAS'!F154+DAL!F154</f>
        <v>0</v>
      </c>
      <c r="G154">
        <f>+'at DAL'!G154+'at PHI'!G154+'at PIT'!G154+'at MIN'!G154+PHI!G154+CLE!G154+STL!G154+WAS!G154+'at CLE'!G154+'at STL'!G154+CHI!G154+PIT!G154+'at WAS'!G154+DAL!G154</f>
        <v>0</v>
      </c>
    </row>
    <row r="155" spans="1:7" ht="12.75">
      <c r="A155" s="1" t="s">
        <v>129</v>
      </c>
      <c r="C155">
        <f>+'at DAL'!C155+'at PHI'!C155+'at PIT'!C155+'at MIN'!C155+PHI!C155+CLE!C155+STL!C155+WAS!C155+'at CLE'!C155+'at STL'!C155+CHI!C155+PIT!C155+'at WAS'!C155+DAL!C155</f>
        <v>1</v>
      </c>
      <c r="D155">
        <f>+'at DAL'!D155+'at PHI'!D155+'at PIT'!D155+'at MIN'!D155+PHI!D155+CLE!D155+STL!D155+WAS!D155+'at CLE'!D155+'at STL'!D155+CHI!D155+PIT!D155+'at WAS'!D155+DAL!D155</f>
        <v>0</v>
      </c>
      <c r="E155">
        <f>MAX('at DAL'!E155,'at PHI'!E155,'at PIT'!E155,'at MIN'!E155,PHI!E155,CLE!E155,STL!E155,'at CLE'!E155,'at STL'!E155,CHI!E155,PIT!E155,'at WAS'!E155,DAL!E155,+WAS!E155)</f>
        <v>0</v>
      </c>
      <c r="F155">
        <f>+'at DAL'!F155+'at PHI'!F155+'at PIT'!F155+'at MIN'!F155+PHI!F155+CLE!F155+STL!F155+WAS!F155+'at CLE'!F155+'at STL'!F155+CHI!F155+PIT!F155+'at WAS'!F155+DAL!F155</f>
        <v>0</v>
      </c>
      <c r="G155">
        <f>+'at DAL'!G155+'at PHI'!G155+'at PIT'!G155+'at MIN'!G155+PHI!G155+CLE!G155+STL!G155+WAS!G155+'at CLE'!G155+'at STL'!G155+CHI!G155+PIT!G155+'at WAS'!G155+DAL!G155</f>
        <v>0</v>
      </c>
    </row>
    <row r="156" spans="1:7" ht="12.75">
      <c r="A156" s="19" t="s">
        <v>130</v>
      </c>
      <c r="C156">
        <f>+'at DAL'!C156+'at PHI'!C156+'at PIT'!C156+'at MIN'!C156+PHI!C156+CLE!C156+STL!C156+WAS!C156+'at CLE'!C156+'at STL'!C156+CHI!C156+PIT!C156+'at WAS'!C156+DAL!C156</f>
        <v>3</v>
      </c>
      <c r="D156">
        <f>+'at DAL'!D156+'at PHI'!D156+'at PIT'!D156+'at MIN'!D156+PHI!D156+CLE!D156+STL!D156+WAS!D156+'at CLE'!D156+'at STL'!D156+CHI!D156+PIT!D156+'at WAS'!D156+DAL!D156</f>
        <v>2</v>
      </c>
      <c r="E156">
        <f>MAX('at DAL'!E156,'at PHI'!E156,'at PIT'!E156,'at MIN'!E156,PHI!E156,CLE!E156,STL!E156,'at CLE'!E156,'at STL'!E156,CHI!E156,PIT!E156,'at WAS'!E156,DAL!E156,+WAS!E156)</f>
        <v>2</v>
      </c>
      <c r="F156">
        <f>+'at DAL'!F156+'at PHI'!F156+'at PIT'!F156+'at MIN'!F156+PHI!F156+CLE!F156+STL!F156+WAS!F156+'at CLE'!F156+'at STL'!F156+CHI!F156+PIT!F156+'at WAS'!F156+DAL!F156</f>
        <v>0</v>
      </c>
      <c r="G156">
        <f>+'at DAL'!G156+'at PHI'!G156+'at PIT'!G156+'at MIN'!G156+PHI!G156+CLE!G156+STL!G156+WAS!G156+'at CLE'!G156+'at STL'!G156+CHI!G156+PIT!G156+'at WAS'!G156+DAL!G156</f>
        <v>0</v>
      </c>
    </row>
    <row r="157" spans="1:7" ht="12.75">
      <c r="A157" s="19" t="s">
        <v>131</v>
      </c>
      <c r="C157">
        <f>+'at DAL'!C157+'at PHI'!C157+'at PIT'!C157+'at MIN'!C157+PHI!C157+CLE!C157+STL!C157+WAS!C157+'at CLE'!C157+'at STL'!C157+CHI!C157+PIT!C157+'at WAS'!C157+DAL!C157</f>
        <v>1</v>
      </c>
      <c r="D157">
        <f>+'at DAL'!D157+'at PHI'!D157+'at PIT'!D157+'at MIN'!D157+PHI!D157+CLE!D157+STL!D157+WAS!D157+'at CLE'!D157+'at STL'!D157+CHI!D157+PIT!D157+'at WAS'!D157+DAL!D157</f>
        <v>0</v>
      </c>
      <c r="E157">
        <f>MAX('at DAL'!E157,'at PHI'!E157,'at PIT'!E157,'at MIN'!E157,PHI!E157,CLE!E157,STL!E157,'at CLE'!E157,'at STL'!E157,CHI!E157,PIT!E157,'at WAS'!E157,DAL!E157,+WAS!E157)</f>
        <v>0</v>
      </c>
      <c r="F157">
        <f>+'at DAL'!F157+'at PHI'!F157+'at PIT'!F157+'at MIN'!F157+PHI!F157+CLE!F157+STL!F157+WAS!F157+'at CLE'!F157+'at STL'!F157+CHI!F157+PIT!F157+'at WAS'!F157+DAL!F157</f>
        <v>0</v>
      </c>
      <c r="G157">
        <f>+'at DAL'!G157+'at PHI'!G157+'at PIT'!G157+'at MIN'!G157+PHI!G157+CLE!G157+STL!G157+WAS!G157+'at CLE'!G157+'at STL'!G157+CHI!G157+PIT!G157+'at WAS'!G157+DAL!G157</f>
        <v>0</v>
      </c>
    </row>
    <row r="158" spans="1:7" ht="12.75">
      <c r="A158" s="19" t="s">
        <v>132</v>
      </c>
      <c r="C158">
        <f>+'at DAL'!C158+'at PHI'!C158+'at PIT'!C158+'at MIN'!C158+PHI!C158+CLE!C158+STL!C158+WAS!C158+'at CLE'!C158+'at STL'!C158+CHI!C158+PIT!C158+'at WAS'!C158+DAL!C158</f>
        <v>0</v>
      </c>
      <c r="D158">
        <f>+'at DAL'!D158+'at PHI'!D158+'at PIT'!D158+'at MIN'!D158+PHI!D158+CLE!D158+STL!D158+WAS!D158+'at CLE'!D158+'at STL'!D158+CHI!D158+PIT!D158+'at WAS'!D158+DAL!D158</f>
        <v>0</v>
      </c>
      <c r="E158">
        <f>MAX('at DAL'!E158,'at PHI'!E158,'at PIT'!E158,'at MIN'!E158,PHI!E158,CLE!E158,STL!E158,'at CLE'!E158,'at STL'!E158,CHI!E158,PIT!E158,'at WAS'!E158,DAL!E158,+WAS!E158)</f>
        <v>0</v>
      </c>
      <c r="F158">
        <f>+'at DAL'!F158+'at PHI'!F158+'at PIT'!F158+'at MIN'!F158+PHI!F158+CLE!F158+STL!F158+WAS!F158+'at CLE'!F158+'at STL'!F158+CHI!F158+PIT!F158+'at WAS'!F158+DAL!F158</f>
        <v>0</v>
      </c>
      <c r="G158">
        <f>+'at DAL'!G158+'at PHI'!G158+'at PIT'!G158+'at MIN'!G158+PHI!G158+CLE!G158+STL!G158+WAS!G158+'at CLE'!G158+'at STL'!G158+CHI!G158+PIT!G158+'at WAS'!G158+DAL!G158</f>
        <v>0</v>
      </c>
    </row>
    <row r="159" spans="1:7" ht="12.75">
      <c r="A159" s="19" t="s">
        <v>133</v>
      </c>
      <c r="C159">
        <f>+'at DAL'!C159+'at PHI'!C159+'at PIT'!C159+'at MIN'!C159+PHI!C159+CLE!C159+STL!C159+WAS!C159+'at CLE'!C159+'at STL'!C159+CHI!C159+PIT!C159+'at WAS'!C159+DAL!C159</f>
        <v>0</v>
      </c>
      <c r="D159">
        <f>+'at DAL'!D159+'at PHI'!D159+'at PIT'!D159+'at MIN'!D159+PHI!D159+CLE!D159+STL!D159+WAS!D159+'at CLE'!D159+'at STL'!D159+CHI!D159+PIT!D159+'at WAS'!D159+DAL!D159</f>
        <v>0</v>
      </c>
      <c r="E159">
        <f>MAX('at DAL'!E159,'at PHI'!E159,'at PIT'!E159,'at MIN'!E159,PHI!E159,CLE!E159,STL!E159,'at CLE'!E159,'at STL'!E159,CHI!E159,PIT!E159,'at WAS'!E159,DAL!E159,+WAS!E159)</f>
        <v>0</v>
      </c>
      <c r="F159">
        <f>+'at DAL'!F159+'at PHI'!F159+'at PIT'!F159+'at MIN'!F159+PHI!F159+CLE!F159+STL!F159+WAS!F159+'at CLE'!F159+'at STL'!F159+CHI!F159+PIT!F159+'at WAS'!F159+DAL!F159</f>
        <v>0</v>
      </c>
      <c r="G159">
        <f>+'at DAL'!G159+'at PHI'!G159+'at PIT'!G159+'at MIN'!G159+PHI!G159+CLE!G159+STL!G159+WAS!G159+'at CLE'!G159+'at STL'!G159+CHI!G159+PIT!G159+'at WAS'!G159+DAL!G159</f>
        <v>0</v>
      </c>
    </row>
    <row r="160" spans="1:7" ht="12.75">
      <c r="A160" s="19" t="s">
        <v>134</v>
      </c>
      <c r="C160">
        <f>+'at DAL'!C160+'at PHI'!C160+'at PIT'!C160+'at MIN'!C160+PHI!C160+CLE!C160+STL!C160+WAS!C160+'at CLE'!C160+'at STL'!C160+CHI!C160+PIT!C160+'at WAS'!C160+DAL!C160</f>
        <v>1</v>
      </c>
      <c r="D160">
        <f>+'at DAL'!D160+'at PHI'!D160+'at PIT'!D160+'at MIN'!D160+PHI!D160+CLE!D160+STL!D160+WAS!D160+'at CLE'!D160+'at STL'!D160+CHI!D160+PIT!D160+'at WAS'!D160+DAL!D160</f>
        <v>0</v>
      </c>
      <c r="E160">
        <f>MAX('at DAL'!E160,'at PHI'!E160,'at PIT'!E160,'at MIN'!E160,PHI!E160,CLE!E160,STL!E160,'at CLE'!E160,'at STL'!E160,CHI!E160,PIT!E160,'at WAS'!E160,DAL!E160,+WAS!E160)</f>
        <v>0</v>
      </c>
      <c r="F160">
        <f>+'at DAL'!F160+'at PHI'!F160+'at PIT'!F160+'at MIN'!F160+PHI!F160+CLE!F160+STL!F160+WAS!F160+'at CLE'!F160+'at STL'!F160+CHI!F160+PIT!F160+'at WAS'!F160+DAL!F160</f>
        <v>0</v>
      </c>
      <c r="G160">
        <f>+'at DAL'!G160+'at PHI'!G160+'at PIT'!G160+'at MIN'!G160+PHI!G160+CLE!G160+STL!G160+WAS!G160+'at CLE'!G160+'at STL'!G160+CHI!G160+PIT!G160+'at WAS'!G160+DAL!G160</f>
        <v>0</v>
      </c>
    </row>
    <row r="161" spans="1:7" ht="12.75">
      <c r="A161" s="19" t="s">
        <v>135</v>
      </c>
      <c r="C161">
        <f>+'at DAL'!C161+'at PHI'!C161+'at PIT'!C161+'at MIN'!C161+PHI!C161+CLE!C161+STL!C161+WAS!C161+'at CLE'!C161+'at STL'!C161+CHI!C161+PIT!C161+'at WAS'!C161+DAL!C161</f>
        <v>1</v>
      </c>
      <c r="D161">
        <f>+'at DAL'!D161+'at PHI'!D161+'at PIT'!D161+'at MIN'!D161+PHI!D161+CLE!D161+STL!D161+WAS!D161+'at CLE'!D161+'at STL'!D161+CHI!D161+PIT!D161+'at WAS'!D161+DAL!D161</f>
        <v>0</v>
      </c>
      <c r="E161">
        <f>MAX('at DAL'!E161,'at PHI'!E161,'at PIT'!E161,'at MIN'!E161,PHI!E161,CLE!E161,STL!E161,'at CLE'!E161,'at STL'!E161,CHI!E161,PIT!E161,'at WAS'!E161,DAL!E161,+WAS!E161)</f>
        <v>0</v>
      </c>
      <c r="F161">
        <f>+'at DAL'!F161+'at PHI'!F161+'at PIT'!F161+'at MIN'!F161+PHI!F161+CLE!F161+STL!F161+WAS!F161+'at CLE'!F161+'at STL'!F161+CHI!F161+PIT!F161+'at WAS'!F161+DAL!F161</f>
        <v>0</v>
      </c>
      <c r="G161">
        <f>+'at DAL'!G161+'at PHI'!G161+'at PIT'!G161+'at MIN'!G161+PHI!G161+CLE!G161+STL!G161+WAS!G161+'at CLE'!G161+'at STL'!G161+CHI!G161+PIT!G161+'at WAS'!G161+DAL!G161</f>
        <v>0</v>
      </c>
    </row>
    <row r="162" spans="1:7" ht="12.75">
      <c r="A162" s="1" t="s">
        <v>136</v>
      </c>
      <c r="C162">
        <f>+'at DAL'!C162+'at PHI'!C162+'at PIT'!C162+'at MIN'!C162+PHI!C162+CLE!C162+STL!C162+WAS!C162+'at CLE'!C162+'at STL'!C162+CHI!C162+PIT!C162+'at WAS'!C162+DAL!C162</f>
        <v>0</v>
      </c>
      <c r="D162">
        <f>+'at DAL'!D162+'at PHI'!D162+'at PIT'!D162+'at MIN'!D162+PHI!D162+CLE!D162+STL!D162+WAS!D162+'at CLE'!D162+'at STL'!D162+CHI!D162+PIT!D162+'at WAS'!D162+DAL!D162</f>
        <v>0</v>
      </c>
      <c r="E162">
        <f>MAX('at DAL'!E162,'at PHI'!E162,'at PIT'!E162,'at MIN'!E162,PHI!E162,CLE!E162,STL!E162,'at CLE'!E162,'at STL'!E162,CHI!E162,PIT!E162,'at WAS'!E162,DAL!E162,+WAS!E162)</f>
        <v>0</v>
      </c>
      <c r="F162">
        <f>+'at DAL'!F162+'at PHI'!F162+'at PIT'!F162+'at MIN'!F162+PHI!F162+CLE!F162+STL!F162+WAS!F162+'at CLE'!F162+'at STL'!F162+CHI!F162+PIT!F162+'at WAS'!F162+DAL!F162</f>
        <v>0</v>
      </c>
      <c r="G162">
        <f>+'at DAL'!G162+'at PHI'!G162+'at PIT'!G162+'at MIN'!G162+PHI!G162+CLE!G162+STL!G162+WAS!G162+'at CLE'!G162+'at STL'!G162+CHI!G162+PIT!G162+'at WAS'!G162+DAL!G162</f>
        <v>0</v>
      </c>
    </row>
    <row r="163" spans="1:7" ht="12.75">
      <c r="A163" s="19" t="s">
        <v>137</v>
      </c>
      <c r="C163">
        <f>+'at DAL'!C163+'at PHI'!C163+'at PIT'!C163+'at MIN'!C163+PHI!C163+CLE!C163+STL!C163+WAS!C163+'at CLE'!C163+'at STL'!C163+CHI!C163+PIT!C163+'at WAS'!C163+DAL!C163</f>
        <v>0</v>
      </c>
      <c r="D163">
        <f>+'at DAL'!D163+'at PHI'!D163+'at PIT'!D163+'at MIN'!D163+PHI!D163+CLE!D163+STL!D163+WAS!D163+'at CLE'!D163+'at STL'!D163+CHI!D163+PIT!D163+'at WAS'!D163+DAL!D163</f>
        <v>0</v>
      </c>
      <c r="E163">
        <f>MAX('at DAL'!E163,'at PHI'!E163,'at PIT'!E163,'at MIN'!E163,PHI!E163,CLE!E163,STL!E163,'at CLE'!E163,'at STL'!E163,CHI!E163,PIT!E163,'at WAS'!E163,DAL!E163,+WAS!E163)</f>
        <v>0</v>
      </c>
      <c r="F163">
        <f>+'at DAL'!F163+'at PHI'!F163+'at PIT'!F163+'at MIN'!F163+PHI!F163+CLE!F163+STL!F163+WAS!F163+'at CLE'!F163+'at STL'!F163+CHI!F163+PIT!F163+'at WAS'!F163+DAL!F163</f>
        <v>0</v>
      </c>
      <c r="G163">
        <f>+'at DAL'!G163+'at PHI'!G163+'at PIT'!G163+'at MIN'!G163+PHI!G163+CLE!G163+STL!G163+WAS!G163+'at CLE'!G163+'at STL'!G163+CHI!G163+PIT!G163+'at WAS'!G163+DAL!G163</f>
        <v>0</v>
      </c>
    </row>
    <row r="164" spans="1:7" ht="12.75">
      <c r="A164" s="19" t="s">
        <v>138</v>
      </c>
      <c r="C164">
        <f>+'at DAL'!C164+'at PHI'!C164+'at PIT'!C164+'at MIN'!C164+PHI!C164+CLE!C164+STL!C164+WAS!C164+'at CLE'!C164+'at STL'!C164+CHI!C164+PIT!C164+'at WAS'!C164+DAL!C164</f>
        <v>1</v>
      </c>
      <c r="D164">
        <f>+'at DAL'!D164+'at PHI'!D164+'at PIT'!D164+'at MIN'!D164+PHI!D164+CLE!D164+STL!D164+WAS!D164+'at CLE'!D164+'at STL'!D164+CHI!D164+PIT!D164+'at WAS'!D164+DAL!D164</f>
        <v>0</v>
      </c>
      <c r="E164">
        <f>MAX('at DAL'!E164,'at PHI'!E164,'at PIT'!E164,'at MIN'!E164,PHI!E164,CLE!E164,STL!E164,'at CLE'!E164,'at STL'!E164,CHI!E164,PIT!E164,'at WAS'!E164,DAL!E164,+WAS!E164)</f>
        <v>0</v>
      </c>
      <c r="F164">
        <f>+'at DAL'!F164+'at PHI'!F164+'at PIT'!F164+'at MIN'!F164+PHI!F164+CLE!F164+STL!F164+WAS!F164+'at CLE'!F164+'at STL'!F164+CHI!F164+PIT!F164+'at WAS'!F164+DAL!F164</f>
        <v>0</v>
      </c>
      <c r="G164">
        <f>+'at DAL'!G164+'at PHI'!G164+'at PIT'!G164+'at MIN'!G164+PHI!G164+CLE!G164+STL!G164+WAS!G164+'at CLE'!G164+'at STL'!G164+CHI!G164+PIT!G164+'at WAS'!G164+DAL!G164</f>
        <v>0</v>
      </c>
    </row>
    <row r="165" spans="1:7" ht="12.75">
      <c r="A165" s="19" t="s">
        <v>139</v>
      </c>
      <c r="C165">
        <f>+'at DAL'!C165+'at PHI'!C165+'at PIT'!C165+'at MIN'!C165+PHI!C165+CLE!C165+STL!C165+WAS!C165+'at CLE'!C165+'at STL'!C165+CHI!C165+PIT!C165+'at WAS'!C165+DAL!C165</f>
        <v>0</v>
      </c>
      <c r="D165">
        <f>+'at DAL'!D165+'at PHI'!D165+'at PIT'!D165+'at MIN'!D165+PHI!D165+CLE!D165+STL!D165+WAS!D165+'at CLE'!D165+'at STL'!D165+CHI!D165+PIT!D165+'at WAS'!D165+DAL!D165</f>
        <v>0</v>
      </c>
      <c r="E165">
        <f>MAX('at DAL'!E165,'at PHI'!E165,'at PIT'!E165,'at MIN'!E165,PHI!E165,CLE!E165,STL!E165,'at CLE'!E165,'at STL'!E165,CHI!E165,PIT!E165,'at WAS'!E165,DAL!E165,+WAS!E165)</f>
        <v>0</v>
      </c>
      <c r="F165">
        <f>+'at DAL'!F165+'at PHI'!F165+'at PIT'!F165+'at MIN'!F165+PHI!F165+CLE!F165+STL!F165+WAS!F165+'at CLE'!F165+'at STL'!F165+CHI!F165+PIT!F165+'at WAS'!F165+DAL!F165</f>
        <v>0</v>
      </c>
      <c r="G165">
        <f>+'at DAL'!G165+'at PHI'!G165+'at PIT'!G165+'at MIN'!G165+PHI!G165+CLE!G165+STL!G165+WAS!G165+'at CLE'!G165+'at STL'!G165+CHI!G165+PIT!G165+'at WAS'!G165+DAL!G165</f>
        <v>0</v>
      </c>
    </row>
    <row r="166" spans="1:7" ht="12.75">
      <c r="A166" s="19" t="s">
        <v>140</v>
      </c>
      <c r="C166">
        <f>+'at DAL'!C166+'at PHI'!C166+'at PIT'!C166+'at MIN'!C166+PHI!C166+CLE!C166+STL!C166+WAS!C166+'at CLE'!C166+'at STL'!C166+CHI!C166+PIT!C166+'at WAS'!C166+DAL!C166</f>
        <v>1</v>
      </c>
      <c r="D166">
        <f>+'at DAL'!D166+'at PHI'!D166+'at PIT'!D166+'at MIN'!D166+PHI!D166+CLE!D166+STL!D166+WAS!D166+'at CLE'!D166+'at STL'!D166+CHI!D166+PIT!D166+'at WAS'!D166+DAL!D166</f>
        <v>0</v>
      </c>
      <c r="E166">
        <f>MAX('at DAL'!E166,'at PHI'!E166,'at PIT'!E166,'at MIN'!E166,PHI!E166,CLE!E166,STL!E166,'at CLE'!E166,'at STL'!E166,CHI!E166,PIT!E166,'at WAS'!E166,DAL!E166,+WAS!E166)</f>
        <v>0</v>
      </c>
      <c r="F166">
        <f>+'at DAL'!F166+'at PHI'!F166+'at PIT'!F166+'at MIN'!F166+PHI!F166+CLE!F166+STL!F166+WAS!F166+'at CLE'!F166+'at STL'!F166+CHI!F166+PIT!F166+'at WAS'!F166+DAL!F166</f>
        <v>0</v>
      </c>
      <c r="G166">
        <f>+'at DAL'!G166+'at PHI'!G166+'at PIT'!G166+'at MIN'!G166+PHI!G166+CLE!G166+STL!G166+WAS!G166+'at CLE'!G166+'at STL'!G166+CHI!G166+PIT!G166+'at WAS'!G166+DAL!G166</f>
        <v>0</v>
      </c>
    </row>
    <row r="167" spans="1:7" ht="12.75">
      <c r="A167" s="19" t="s">
        <v>141</v>
      </c>
      <c r="C167">
        <f>+'at DAL'!C167+'at PHI'!C167+'at PIT'!C167+'at MIN'!C167+PHI!C167+CLE!C167+STL!C167+WAS!C167+'at CLE'!C167+'at STL'!C167+CHI!C167+PIT!C167+'at WAS'!C167+DAL!C167</f>
        <v>1</v>
      </c>
      <c r="D167">
        <f>+'at DAL'!D167+'at PHI'!D167+'at PIT'!D167+'at MIN'!D167+PHI!D167+CLE!D167+STL!D167+WAS!D167+'at CLE'!D167+'at STL'!D167+CHI!D167+PIT!D167+'at WAS'!D167+DAL!D167</f>
        <v>0</v>
      </c>
      <c r="E167">
        <f>MAX('at DAL'!E167,'at PHI'!E167,'at PIT'!E167,'at MIN'!E167,PHI!E167,CLE!E167,STL!E167,'at CLE'!E167,'at STL'!E167,CHI!E167,PIT!E167,'at WAS'!E167,DAL!E167,+WAS!E167)</f>
        <v>0</v>
      </c>
      <c r="F167">
        <f>+'at DAL'!F167+'at PHI'!F167+'at PIT'!F167+'at MIN'!F167+PHI!F167+CLE!F167+STL!F167+WAS!F167+'at CLE'!F167+'at STL'!F167+CHI!F167+PIT!F167+'at WAS'!F167+DAL!F167</f>
        <v>0</v>
      </c>
      <c r="G167">
        <f>+'at DAL'!G167+'at PHI'!G167+'at PIT'!G167+'at MIN'!G167+PHI!G167+CLE!G167+STL!G167+WAS!G167+'at CLE'!G167+'at STL'!G167+CHI!G167+PIT!G167+'at WAS'!G167+DAL!G167</f>
        <v>0</v>
      </c>
    </row>
    <row r="168" spans="1:7" ht="12.75">
      <c r="A168" s="19" t="s">
        <v>142</v>
      </c>
      <c r="C168">
        <f>+'at DAL'!C168+'at PHI'!C168+'at PIT'!C168+'at MIN'!C168+PHI!C168+CLE!C168+STL!C168+WAS!C168+'at CLE'!C168+'at STL'!C168+CHI!C168+PIT!C168+'at WAS'!C168+DAL!C168</f>
        <v>0</v>
      </c>
      <c r="D168">
        <f>+'at DAL'!D168+'at PHI'!D168+'at PIT'!D168+'at MIN'!D168+PHI!D168+CLE!D168+STL!D168+WAS!D168+'at CLE'!D168+'at STL'!D168+CHI!D168+PIT!D168+'at WAS'!D168+DAL!D168</f>
        <v>0</v>
      </c>
      <c r="E168">
        <f>MAX('at DAL'!E168,'at PHI'!E168,'at PIT'!E168,'at MIN'!E168,PHI!E168,CLE!E168,STL!E168,'at CLE'!E168,'at STL'!E168,CHI!E168,PIT!E168,'at WAS'!E168,DAL!E168,+WAS!E168)</f>
        <v>0</v>
      </c>
      <c r="F168">
        <f>+'at DAL'!F168+'at PHI'!F168+'at PIT'!F168+'at MIN'!F168+PHI!F168+CLE!F168+STL!F168+WAS!F168+'at CLE'!F168+'at STL'!F168+CHI!F168+PIT!F168+'at WAS'!F168+DAL!F168</f>
        <v>0</v>
      </c>
      <c r="G168">
        <f>+'at DAL'!G168+'at PHI'!G168+'at PIT'!G168+'at MIN'!G168+PHI!G168+CLE!G168+STL!G168+WAS!G168+'at CLE'!G168+'at STL'!G168+CHI!G168+PIT!G168+'at WAS'!G168+DAL!G168</f>
        <v>0</v>
      </c>
    </row>
    <row r="169" spans="1:7" ht="12.75">
      <c r="A169" s="1" t="s">
        <v>143</v>
      </c>
      <c r="C169">
        <f>+'at DAL'!C169+'at PHI'!C169+'at PIT'!C169+'at MIN'!C169+PHI!C169+CLE!C169+STL!C169+WAS!C169+'at CLE'!C169+'at STL'!C169+CHI!C169+PIT!C169+'at WAS'!C169+DAL!C169</f>
        <v>1</v>
      </c>
      <c r="D169">
        <f>+'at DAL'!D169+'at PHI'!D169+'at PIT'!D169+'at MIN'!D169+PHI!D169+CLE!D169+STL!D169+WAS!D169+'at CLE'!D169+'at STL'!D169+CHI!D169+PIT!D169+'at WAS'!D169+DAL!D169</f>
        <v>0</v>
      </c>
      <c r="E169">
        <f>MAX('at DAL'!E169,'at PHI'!E169,'at PIT'!E169,'at MIN'!E169,PHI!E169,CLE!E169,STL!E169,'at CLE'!E169,'at STL'!E169,CHI!E169,PIT!E169,'at WAS'!E169,DAL!E169,+WAS!E169)</f>
        <v>0</v>
      </c>
      <c r="F169">
        <f>+'at DAL'!F169+'at PHI'!F169+'at PIT'!F169+'at MIN'!F169+PHI!F169+CLE!F169+STL!F169+WAS!F169+'at CLE'!F169+'at STL'!F169+CHI!F169+PIT!F169+'at WAS'!F169+DAL!F169</f>
        <v>0</v>
      </c>
      <c r="G169">
        <f>+'at DAL'!G169+'at PHI'!G169+'at PIT'!G169+'at MIN'!G169+PHI!G169+CLE!G169+STL!G169+WAS!G169+'at CLE'!G169+'at STL'!G169+CHI!G169+PIT!G169+'at WAS'!G169+DAL!G169</f>
        <v>0</v>
      </c>
    </row>
    <row r="170" spans="1:7" ht="12.75">
      <c r="A170" s="19" t="s">
        <v>144</v>
      </c>
      <c r="C170">
        <f>+'at DAL'!C170+'at PHI'!C170+'at PIT'!C170+'at MIN'!C170+PHI!C170+CLE!C170+STL!C170+WAS!C170+'at CLE'!C170+'at STL'!C170+CHI!C170+PIT!C170+'at WAS'!C170+DAL!C170</f>
        <v>0</v>
      </c>
      <c r="D170">
        <f>+'at DAL'!D170+'at PHI'!D170+'at PIT'!D170+'at MIN'!D170+PHI!D170+CLE!D170+STL!D170+WAS!D170+'at CLE'!D170+'at STL'!D170+CHI!D170+PIT!D170+'at WAS'!D170+DAL!D170</f>
        <v>0</v>
      </c>
      <c r="E170">
        <f>MAX('at DAL'!E170,'at PHI'!E170,'at PIT'!E170,'at MIN'!E170,PHI!E170,CLE!E170,STL!E170,'at CLE'!E170,'at STL'!E170,CHI!E170,PIT!E170,'at WAS'!E170,DAL!E170,+WAS!E170)</f>
        <v>0</v>
      </c>
      <c r="F170">
        <f>+'at DAL'!F170+'at PHI'!F170+'at PIT'!F170+'at MIN'!F170+PHI!F170+CLE!F170+STL!F170+WAS!F170+'at CLE'!F170+'at STL'!F170+CHI!F170+PIT!F170+'at WAS'!F170+DAL!F170</f>
        <v>0</v>
      </c>
      <c r="G170">
        <f>+'at DAL'!G170+'at PHI'!G170+'at PIT'!G170+'at MIN'!G170+PHI!G170+CLE!G170+STL!G170+WAS!G170+'at CLE'!G170+'at STL'!G170+CHI!G170+PIT!G170+'at WAS'!G170+DAL!G170</f>
        <v>0</v>
      </c>
    </row>
    <row r="171" spans="1:7" ht="12.75">
      <c r="A171" s="19" t="s">
        <v>145</v>
      </c>
      <c r="C171">
        <f>+'at DAL'!C171+'at PHI'!C171+'at PIT'!C171+'at MIN'!C171+PHI!C171+CLE!C171+STL!C171+WAS!C171+'at CLE'!C171+'at STL'!C171+CHI!C171+PIT!C171+'at WAS'!C171+DAL!C171</f>
        <v>1</v>
      </c>
      <c r="D171">
        <f>+'at DAL'!D171+'at PHI'!D171+'at PIT'!D171+'at MIN'!D171+PHI!D171+CLE!D171+STL!D171+WAS!D171+'at CLE'!D171+'at STL'!D171+CHI!D171+PIT!D171+'at WAS'!D171+DAL!D171</f>
        <v>0</v>
      </c>
      <c r="E171">
        <f>MAX('at DAL'!E171,'at PHI'!E171,'at PIT'!E171,'at MIN'!E171,PHI!E171,CLE!E171,STL!E171,'at CLE'!E171,'at STL'!E171,CHI!E171,PIT!E171,'at WAS'!E171,DAL!E171,+WAS!E171)</f>
        <v>0</v>
      </c>
      <c r="F171">
        <f>+'at DAL'!F171+'at PHI'!F171+'at PIT'!F171+'at MIN'!F171+PHI!F171+CLE!F171+STL!F171+WAS!F171+'at CLE'!F171+'at STL'!F171+CHI!F171+PIT!F171+'at WAS'!F171+DAL!F171</f>
        <v>0</v>
      </c>
      <c r="G171">
        <f>+'at DAL'!G171+'at PHI'!G171+'at PIT'!G171+'at MIN'!G171+PHI!G171+CLE!G171+STL!G171+WAS!G171+'at CLE'!G171+'at STL'!G171+CHI!G171+PIT!G171+'at WAS'!G171+DAL!G171</f>
        <v>0</v>
      </c>
    </row>
    <row r="172" spans="1:7" ht="12.75">
      <c r="A172" s="19" t="s">
        <v>146</v>
      </c>
      <c r="C172">
        <f>+'at DAL'!C172+'at PHI'!C172+'at PIT'!C172+'at MIN'!C172+PHI!C172+CLE!C172+STL!C172+WAS!C172+'at CLE'!C172+'at STL'!C172+CHI!C172+PIT!C172+'at WAS'!C172+DAL!C172</f>
        <v>2</v>
      </c>
      <c r="D172">
        <f>+'at DAL'!D172+'at PHI'!D172+'at PIT'!D172+'at MIN'!D172+PHI!D172+CLE!D172+STL!D172+WAS!D172+'at CLE'!D172+'at STL'!D172+CHI!D172+PIT!D172+'at WAS'!D172+DAL!D172</f>
        <v>0</v>
      </c>
      <c r="E172">
        <f>MAX('at DAL'!E172,'at PHI'!E172,'at PIT'!E172,'at MIN'!E172,PHI!E172,CLE!E172,STL!E172,'at CLE'!E172,'at STL'!E172,CHI!E172,PIT!E172,'at WAS'!E172,DAL!E172,+WAS!E172)</f>
        <v>0</v>
      </c>
      <c r="F172">
        <f>+'at DAL'!F172+'at PHI'!F172+'at PIT'!F172+'at MIN'!F172+PHI!F172+CLE!F172+STL!F172+WAS!F172+'at CLE'!F172+'at STL'!F172+CHI!F172+PIT!F172+'at WAS'!F172+DAL!F172</f>
        <v>0</v>
      </c>
      <c r="G172">
        <f>+'at DAL'!G172+'at PHI'!G172+'at PIT'!G172+'at MIN'!G172+PHI!G172+CLE!G172+STL!G172+WAS!G172+'at CLE'!G172+'at STL'!G172+CHI!G172+PIT!G172+'at WAS'!G172+DAL!G172</f>
        <v>0</v>
      </c>
    </row>
    <row r="173" spans="1:7" ht="12.75">
      <c r="A173" s="19" t="s">
        <v>147</v>
      </c>
      <c r="C173">
        <f>+'at DAL'!C173+'at PHI'!C173+'at PIT'!C173+'at MIN'!C173+PHI!C173+CLE!C173+STL!C173+WAS!C173+'at CLE'!C173+'at STL'!C173+CHI!C173+PIT!C173+'at WAS'!C173+DAL!C173</f>
        <v>0</v>
      </c>
      <c r="D173">
        <f>+'at DAL'!D173+'at PHI'!D173+'at PIT'!D173+'at MIN'!D173+PHI!D173+CLE!D173+STL!D173+WAS!D173+'at CLE'!D173+'at STL'!D173+CHI!D173+PIT!D173+'at WAS'!D173+DAL!D173</f>
        <v>0</v>
      </c>
      <c r="E173">
        <f>MAX('at DAL'!E173,'at PHI'!E173,'at PIT'!E173,'at MIN'!E173,PHI!E173,CLE!E173,STL!E173,'at CLE'!E173,'at STL'!E173,CHI!E173,PIT!E173,'at WAS'!E173,DAL!E173,+WAS!E173)</f>
        <v>0</v>
      </c>
      <c r="F173">
        <f>+'at DAL'!F173+'at PHI'!F173+'at PIT'!F173+'at MIN'!F173+PHI!F173+CLE!F173+STL!F173+WAS!F173+'at CLE'!F173+'at STL'!F173+CHI!F173+PIT!F173+'at WAS'!F173+DAL!F173</f>
        <v>0</v>
      </c>
      <c r="G173">
        <f>+'at DAL'!G173+'at PHI'!G173+'at PIT'!G173+'at MIN'!G173+PHI!G173+CLE!G173+STL!G173+WAS!G173+'at CLE'!G173+'at STL'!G173+CHI!G173+PIT!G173+'at WAS'!G173+DAL!G173</f>
        <v>0</v>
      </c>
    </row>
    <row r="174" spans="1:7" ht="12.75">
      <c r="A174" s="19" t="s">
        <v>148</v>
      </c>
      <c r="C174">
        <f>+'at DAL'!C174+'at PHI'!C174+'at PIT'!C174+'at MIN'!C174+PHI!C174+CLE!C174+STL!C174+WAS!C174+'at CLE'!C174+'at STL'!C174+CHI!C174+PIT!C174+'at WAS'!C174+DAL!C174</f>
        <v>2</v>
      </c>
      <c r="D174">
        <f>+'at DAL'!D174+'at PHI'!D174+'at PIT'!D174+'at MIN'!D174+PHI!D174+CLE!D174+STL!D174+WAS!D174+'at CLE'!D174+'at STL'!D174+CHI!D174+PIT!D174+'at WAS'!D174+DAL!D174</f>
        <v>155</v>
      </c>
      <c r="E174">
        <f>MAX('at DAL'!E174,'at PHI'!E174,'at PIT'!E174,'at MIN'!E174,PHI!E174,CLE!E174,STL!E174,'at CLE'!E174,'at STL'!E174,CHI!E174,PIT!E174,'at WAS'!E174,DAL!E174,+WAS!E174)</f>
        <v>87</v>
      </c>
      <c r="F174">
        <f>+'at DAL'!F174+'at PHI'!F174+'at PIT'!F174+'at MIN'!F174+PHI!F174+CLE!F174+STL!F174+WAS!F174+'at CLE'!F174+'at STL'!F174+CHI!F174+PIT!F174+'at WAS'!F174+DAL!F174</f>
        <v>1</v>
      </c>
      <c r="G174">
        <f>+'at DAL'!G174+'at PHI'!G174+'at PIT'!G174+'at MIN'!G174+PHI!G174+CLE!G174+STL!G174+WAS!G174+'at CLE'!G174+'at STL'!G174+CHI!G174+PIT!G174+'at WAS'!G174+DAL!G174</f>
        <v>0</v>
      </c>
    </row>
    <row r="175" spans="1:7" ht="12.75">
      <c r="A175" s="19" t="s">
        <v>149</v>
      </c>
      <c r="C175">
        <f>+'at DAL'!C175+'at PHI'!C175+'at PIT'!C175+'at MIN'!C175+PHI!C175+CLE!C175+STL!C175+WAS!C175+'at CLE'!C175+'at STL'!C175+CHI!C175+PIT!C175+'at WAS'!C175+DAL!C175</f>
        <v>2</v>
      </c>
      <c r="D175">
        <f>+'at DAL'!D175+'at PHI'!D175+'at PIT'!D175+'at MIN'!D175+PHI!D175+CLE!D175+STL!D175+WAS!D175+'at CLE'!D175+'at STL'!D175+CHI!D175+PIT!D175+'at WAS'!D175+DAL!D175</f>
        <v>0</v>
      </c>
      <c r="E175">
        <f>MAX('at DAL'!E175,'at PHI'!E175,'at PIT'!E175,'at MIN'!E175,PHI!E175,CLE!E175,STL!E175,'at CLE'!E175,'at STL'!E175,CHI!E175,PIT!E175,'at WAS'!E175,DAL!E175,+WAS!E175)</f>
        <v>0</v>
      </c>
      <c r="F175">
        <f>+'at DAL'!F175+'at PHI'!F175+'at PIT'!F175+'at MIN'!F175+PHI!F175+CLE!F175+STL!F175+WAS!F175+'at CLE'!F175+'at STL'!F175+CHI!F175+PIT!F175+'at WAS'!F175+DAL!F175</f>
        <v>0</v>
      </c>
      <c r="G175">
        <f>+'at DAL'!G175+'at PHI'!G175+'at PIT'!G175+'at MIN'!G175+PHI!G175+CLE!G175+STL!G175+WAS!G175+'at CLE'!G175+'at STL'!G175+CHI!G175+PIT!G175+'at WAS'!G175+DAL!G175</f>
        <v>0</v>
      </c>
    </row>
    <row r="176" spans="1:7" ht="12.75">
      <c r="A176" s="19" t="s">
        <v>150</v>
      </c>
      <c r="C176">
        <f>+'at DAL'!C176+'at PHI'!C176+'at PIT'!C176+'at MIN'!C176+PHI!C176+CLE!C176+STL!C176+WAS!C176+'at CLE'!C176+'at STL'!C176+CHI!C176+PIT!C176+'at WAS'!C176+DAL!C176</f>
        <v>0</v>
      </c>
      <c r="D176">
        <f>+'at DAL'!D176+'at PHI'!D176+'at PIT'!D176+'at MIN'!D176+PHI!D176+CLE!D176+STL!D176+WAS!D176+'at CLE'!D176+'at STL'!D176+CHI!D176+PIT!D176+'at WAS'!D176+DAL!D176</f>
        <v>0</v>
      </c>
      <c r="E176">
        <f>MAX('at DAL'!E176,'at PHI'!E176,'at PIT'!E176,'at MIN'!E176,PHI!E176,CLE!E176,STL!E176,'at CLE'!E176,'at STL'!E176,CHI!E176,PIT!E176,'at WAS'!E176,DAL!E176,+WAS!E176)</f>
        <v>0</v>
      </c>
      <c r="F176">
        <f>+'at DAL'!F176+'at PHI'!F176+'at PIT'!F176+'at MIN'!F176+PHI!F176+CLE!F176+STL!F176+WAS!F176+'at CLE'!F176+'at STL'!F176+CHI!F176+PIT!F176+'at WAS'!F176+DAL!F176</f>
        <v>0</v>
      </c>
      <c r="G176">
        <f>+'at DAL'!G176+'at PHI'!G176+'at PIT'!G176+'at MIN'!G176+PHI!G176+CLE!G176+STL!G176+WAS!G176+'at CLE'!G176+'at STL'!G176+CHI!G176+PIT!G176+'at WAS'!G176+DAL!G176</f>
        <v>0</v>
      </c>
    </row>
    <row r="177" spans="1:7" ht="12.75">
      <c r="A177" s="19" t="s">
        <v>151</v>
      </c>
      <c r="C177">
        <f>+'at DAL'!C177+'at PHI'!C177+'at PIT'!C177+'at MIN'!C177+PHI!C177+CLE!C177+STL!C177+WAS!C177+'at CLE'!C177+'at STL'!C177+CHI!C177+PIT!C177+'at WAS'!C177+DAL!C177</f>
        <v>2</v>
      </c>
      <c r="D177">
        <f>+'at DAL'!D177+'at PHI'!D177+'at PIT'!D177+'at MIN'!D177+PHI!D177+CLE!D177+STL!D177+WAS!D177+'at CLE'!D177+'at STL'!D177+CHI!D177+PIT!D177+'at WAS'!D177+DAL!D177</f>
        <v>0</v>
      </c>
      <c r="E177">
        <f>MAX('at DAL'!E177,'at PHI'!E177,'at PIT'!E177,'at MIN'!E177,PHI!E177,CLE!E177,STL!E177,'at CLE'!E177,'at STL'!E177,CHI!E177,PIT!E177,'at WAS'!E177,DAL!E177,+WAS!E177)</f>
        <v>0</v>
      </c>
      <c r="F177">
        <f>+'at DAL'!F177+'at PHI'!F177+'at PIT'!F177+'at MIN'!F177+PHI!F177+CLE!F177+STL!F177+WAS!F177+'at CLE'!F177+'at STL'!F177+CHI!F177+PIT!F177+'at WAS'!F177+DAL!F177</f>
        <v>0</v>
      </c>
      <c r="G177">
        <f>+'at DAL'!G177+'at PHI'!G177+'at PIT'!G177+'at MIN'!G177+PHI!G177+CLE!G177+STL!G177+WAS!G177+'at CLE'!G177+'at STL'!G177+CHI!G177+PIT!G177+'at WAS'!G177+DAL!G177</f>
        <v>0</v>
      </c>
    </row>
    <row r="178" spans="1:7" ht="12.75">
      <c r="A178" s="19" t="s">
        <v>152</v>
      </c>
      <c r="C178">
        <f>+'at DAL'!C178+'at PHI'!C178+'at PIT'!C178+'at MIN'!C178+PHI!C178+CLE!C178+STL!C178+WAS!C178+'at CLE'!C178+'at STL'!C178+CHI!C178+PIT!C178+'at WAS'!C178+DAL!C178</f>
        <v>0</v>
      </c>
      <c r="D178">
        <f>+'at DAL'!D178+'at PHI'!D178+'at PIT'!D178+'at MIN'!D178+PHI!D178+CLE!D178+STL!D178+WAS!D178+'at CLE'!D178+'at STL'!D178+CHI!D178+PIT!D178+'at WAS'!D178+DAL!D178</f>
        <v>0</v>
      </c>
      <c r="E178">
        <f>MAX('at DAL'!E178,'at PHI'!E178,'at PIT'!E178,'at MIN'!E178,PHI!E178,CLE!E178,STL!E178,'at CLE'!E178,'at STL'!E178,CHI!E178,PIT!E178,'at WAS'!E178,DAL!E178,+WAS!E178)</f>
        <v>0</v>
      </c>
      <c r="F178">
        <f>+'at DAL'!F178+'at PHI'!F178+'at PIT'!F178+'at MIN'!F178+PHI!F178+CLE!F178+STL!F178+WAS!F178+'at CLE'!F178+'at STL'!F178+CHI!F178+PIT!F178+'at WAS'!F178+DAL!F178</f>
        <v>0</v>
      </c>
      <c r="G178">
        <f>+'at DAL'!G178+'at PHI'!G178+'at PIT'!G178+'at MIN'!G178+PHI!G178+CLE!G178+STL!G178+WAS!G178+'at CLE'!G178+'at STL'!G178+CHI!G178+PIT!G178+'at WAS'!G178+DAL!G178</f>
        <v>0</v>
      </c>
    </row>
    <row r="179" spans="1:7" ht="12.75">
      <c r="A179" s="19" t="s">
        <v>153</v>
      </c>
      <c r="C179">
        <f>+'at DAL'!C179+'at PHI'!C179+'at PIT'!C179+'at MIN'!C179+PHI!C179+CLE!C179+STL!C179+WAS!C179+'at CLE'!C179+'at STL'!C179+CHI!C179+PIT!C179+'at WAS'!C179+DAL!C179</f>
        <v>2</v>
      </c>
      <c r="D179">
        <f>+'at DAL'!D179+'at PHI'!D179+'at PIT'!D179+'at MIN'!D179+PHI!D179+CLE!D179+STL!D179+WAS!D179+'at CLE'!D179+'at STL'!D179+CHI!D179+PIT!D179+'at WAS'!D179+DAL!D179</f>
        <v>0</v>
      </c>
      <c r="E179">
        <f>MAX('at DAL'!E179,'at PHI'!E179,'at PIT'!E179,'at MIN'!E179,PHI!E179,CLE!E179,STL!E179,'at CLE'!E179,'at STL'!E179,CHI!E179,PIT!E179,'at WAS'!E179,DAL!E179,+WAS!E179)</f>
        <v>0</v>
      </c>
      <c r="F179">
        <f>+'at DAL'!F179+'at PHI'!F179+'at PIT'!F179+'at MIN'!F179+PHI!F179+CLE!F179+STL!F179+WAS!F179+'at CLE'!F179+'at STL'!F179+CHI!F179+PIT!F179+'at WAS'!F179+DAL!F179</f>
        <v>0</v>
      </c>
      <c r="G179">
        <f>+'at DAL'!G179+'at PHI'!G179+'at PIT'!G179+'at MIN'!G179+PHI!G179+CLE!G179+STL!G179+WAS!G179+'at CLE'!G179+'at STL'!G179+CHI!G179+PIT!G179+'at WAS'!G179+DAL!G179</f>
        <v>0</v>
      </c>
    </row>
    <row r="180" spans="1:7" ht="12.75">
      <c r="A180" s="19" t="s">
        <v>154</v>
      </c>
      <c r="C180">
        <f>+'at DAL'!C180+'at PHI'!C180+'at PIT'!C180+'at MIN'!C180+PHI!C180+CLE!C180+STL!C180+WAS!C180+'at CLE'!C180+'at STL'!C180+CHI!C180+PIT!C180+'at WAS'!C180+DAL!C180</f>
        <v>0</v>
      </c>
      <c r="D180">
        <f>+'at DAL'!D180+'at PHI'!D180+'at PIT'!D180+'at MIN'!D180+PHI!D180+CLE!D180+STL!D180+WAS!D180+'at CLE'!D180+'at STL'!D180+CHI!D180+PIT!D180+'at WAS'!D180+DAL!D180</f>
        <v>0</v>
      </c>
      <c r="E180">
        <f>MAX('at DAL'!E180,'at PHI'!E180,'at PIT'!E180,'at MIN'!E180,PHI!E180,CLE!E180,STL!E180,'at CLE'!E180,'at STL'!E180,CHI!E180,PIT!E180,'at WAS'!E180,DAL!E180,+WAS!E180)</f>
        <v>0</v>
      </c>
      <c r="F180">
        <f>+'at DAL'!F180+'at PHI'!F180+'at PIT'!F180+'at MIN'!F180+PHI!F180+CLE!F180+STL!F180+WAS!F180+'at CLE'!F180+'at STL'!F180+CHI!F180+PIT!F180+'at WAS'!F180+DAL!F180</f>
        <v>0</v>
      </c>
      <c r="G180">
        <f>+'at DAL'!G180+'at PHI'!G180+'at PIT'!G180+'at MIN'!G180+PHI!G180+CLE!G180+STL!G180+WAS!G180+'at CLE'!G180+'at STL'!G180+CHI!G180+PIT!G180+'at WAS'!G180+DAL!G180</f>
        <v>0</v>
      </c>
    </row>
    <row r="181" spans="1:7" ht="12.75">
      <c r="A181" s="19" t="s">
        <v>155</v>
      </c>
      <c r="C181">
        <f>+'at DAL'!C181+'at PHI'!C181+'at PIT'!C181+'at MIN'!C181+PHI!C181+CLE!C181+STL!C181+WAS!C181+'at CLE'!C181+'at STL'!C181+CHI!C181+PIT!C181+'at WAS'!C181+DAL!C181</f>
        <v>1</v>
      </c>
      <c r="D181">
        <f>+'at DAL'!D181+'at PHI'!D181+'at PIT'!D181+'at MIN'!D181+PHI!D181+CLE!D181+STL!D181+WAS!D181+'at CLE'!D181+'at STL'!D181+CHI!D181+PIT!D181+'at WAS'!D181+DAL!D181</f>
        <v>0</v>
      </c>
      <c r="E181">
        <f>MAX('at DAL'!E181,'at PHI'!E181,'at PIT'!E181,'at MIN'!E181,PHI!E181,CLE!E181,STL!E181,'at CLE'!E181,'at STL'!E181,CHI!E181,PIT!E181,'at WAS'!E181,DAL!E181,+WAS!E181)</f>
        <v>0</v>
      </c>
      <c r="F181">
        <f>+'at DAL'!F181+'at PHI'!F181+'at PIT'!F181+'at MIN'!F181+PHI!F181+CLE!F181+STL!F181+WAS!F181+'at CLE'!F181+'at STL'!F181+CHI!F181+PIT!F181+'at WAS'!F181+DAL!F181</f>
        <v>0</v>
      </c>
      <c r="G181">
        <f>+'at DAL'!G181+'at PHI'!G181+'at PIT'!G181+'at MIN'!G181+PHI!G181+CLE!G181+STL!G181+WAS!G181+'at CLE'!G181+'at STL'!G181+CHI!G181+PIT!G181+'at WAS'!G181+DAL!G181</f>
        <v>0</v>
      </c>
    </row>
    <row r="182" spans="1:7" ht="12.75">
      <c r="A182" s="19" t="s">
        <v>156</v>
      </c>
      <c r="C182">
        <f>+'at DAL'!C182+'at PHI'!C182+'at PIT'!C182+'at MIN'!C182+PHI!C182+CLE!C182+STL!C182+WAS!C182+'at CLE'!C182+'at STL'!C182+CHI!C182+PIT!C182+'at WAS'!C182+DAL!C182</f>
        <v>1</v>
      </c>
      <c r="D182">
        <f>+'at DAL'!D182+'at PHI'!D182+'at PIT'!D182+'at MIN'!D182+PHI!D182+CLE!D182+STL!D182+WAS!D182+'at CLE'!D182+'at STL'!D182+CHI!D182+PIT!D182+'at WAS'!D182+DAL!D182</f>
        <v>0</v>
      </c>
      <c r="E182">
        <f>MAX('at DAL'!E182,'at PHI'!E182,'at PIT'!E182,'at MIN'!E182,PHI!E182,CLE!E182,STL!E182,'at CLE'!E182,'at STL'!E182,CHI!E182,PIT!E182,'at WAS'!E182,DAL!E182,+WAS!E182)</f>
        <v>0</v>
      </c>
      <c r="F182">
        <f>+'at DAL'!F182+'at PHI'!F182+'at PIT'!F182+'at MIN'!F182+PHI!F182+CLE!F182+STL!F182+WAS!F182+'at CLE'!F182+'at STL'!F182+CHI!F182+PIT!F182+'at WAS'!F182+DAL!F182</f>
        <v>0</v>
      </c>
      <c r="G182">
        <f>+'at DAL'!G182+'at PHI'!G182+'at PIT'!G182+'at MIN'!G182+PHI!G182+CLE!G182+STL!G182+WAS!G182+'at CLE'!G182+'at STL'!G182+CHI!G182+PIT!G182+'at WAS'!G182+DAL!G182</f>
        <v>0</v>
      </c>
    </row>
    <row r="183" spans="1:7" ht="12.75">
      <c r="A183" s="19" t="s">
        <v>157</v>
      </c>
      <c r="C183">
        <f>+'at DAL'!C183+'at PHI'!C183+'at PIT'!C183+'at MIN'!C183+PHI!C183+CLE!C183+STL!C183+WAS!C183+'at CLE'!C183+'at STL'!C183+CHI!C183+PIT!C183+'at WAS'!C183+DAL!C183</f>
        <v>1</v>
      </c>
      <c r="D183">
        <f>+'at DAL'!D183+'at PHI'!D183+'at PIT'!D183+'at MIN'!D183+PHI!D183+CLE!D183+STL!D183+WAS!D183+'at CLE'!D183+'at STL'!D183+CHI!D183+PIT!D183+'at WAS'!D183+DAL!D183</f>
        <v>0</v>
      </c>
      <c r="E183">
        <f>MAX('at DAL'!E183,'at PHI'!E183,'at PIT'!E183,'at MIN'!E183,PHI!E183,CLE!E183,STL!E183,'at CLE'!E183,'at STL'!E183,CHI!E183,PIT!E183,'at WAS'!E183,DAL!E183,+WAS!E183)</f>
        <v>0</v>
      </c>
      <c r="F183">
        <f>+'at DAL'!F183+'at PHI'!F183+'at PIT'!F183+'at MIN'!F183+PHI!F183+CLE!F183+STL!F183+WAS!F183+'at CLE'!F183+'at STL'!F183+CHI!F183+PIT!F183+'at WAS'!F183+DAL!F183</f>
        <v>0</v>
      </c>
      <c r="G183">
        <f>+'at DAL'!G183+'at PHI'!G183+'at PIT'!G183+'at MIN'!G183+PHI!G183+CLE!G183+STL!G183+WAS!G183+'at CLE'!G183+'at STL'!G183+CHI!G183+PIT!G183+'at WAS'!G183+DAL!G183</f>
        <v>0</v>
      </c>
    </row>
    <row r="184" spans="1:7" ht="12.75">
      <c r="A184" s="19" t="s">
        <v>158</v>
      </c>
      <c r="C184">
        <f>+'at DAL'!C184+'at PHI'!C184+'at PIT'!C184+'at MIN'!C184+PHI!C184+CLE!C184+STL!C184+WAS!C184+'at CLE'!C184+'at STL'!C184+CHI!C184+PIT!C184+'at WAS'!C184+DAL!C184</f>
        <v>0</v>
      </c>
      <c r="D184">
        <f>+'at DAL'!D184+'at PHI'!D184+'at PIT'!D184+'at MIN'!D184+PHI!D184+CLE!D184+STL!D184+WAS!D184+'at CLE'!D184+'at STL'!D184+CHI!D184+PIT!D184+'at WAS'!D184+DAL!D184</f>
        <v>0</v>
      </c>
      <c r="E184">
        <f>MAX('at DAL'!E184,'at PHI'!E184,'at PIT'!E184,'at MIN'!E184,PHI!E184,CLE!E184,STL!E184,'at CLE'!E184,'at STL'!E184,CHI!E184,PIT!E184,'at WAS'!E184,DAL!E184,+WAS!E184)</f>
        <v>0</v>
      </c>
      <c r="F184">
        <f>+'at DAL'!F184+'at PHI'!F184+'at PIT'!F184+'at MIN'!F184+PHI!F184+CLE!F184+STL!F184+WAS!F184+'at CLE'!F184+'at STL'!F184+CHI!F184+PIT!F184+'at WAS'!F184+DAL!F184</f>
        <v>0</v>
      </c>
      <c r="G184">
        <f>+'at DAL'!G184+'at PHI'!G184+'at PIT'!G184+'at MIN'!G184+PHI!G184+CLE!G184+STL!G184+WAS!G184+'at CLE'!G184+'at STL'!G184+CHI!G184+PIT!G184+'at WAS'!G184+DAL!G184</f>
        <v>0</v>
      </c>
    </row>
    <row r="185" spans="1:7" ht="12.75">
      <c r="A185" s="19" t="s">
        <v>159</v>
      </c>
      <c r="C185">
        <f>+'at DAL'!C185+'at PHI'!C185+'at PIT'!C185+'at MIN'!C185+PHI!C185+CLE!C185+STL!C185+WAS!C185+'at CLE'!C185+'at STL'!C185+CHI!C185+PIT!C185+'at WAS'!C185+DAL!C185</f>
        <v>2</v>
      </c>
      <c r="D185">
        <f>+'at DAL'!D185+'at PHI'!D185+'at PIT'!D185+'at MIN'!D185+PHI!D185+CLE!D185+STL!D185+WAS!D185+'at CLE'!D185+'at STL'!D185+CHI!D185+PIT!D185+'at WAS'!D185+DAL!D185</f>
        <v>8</v>
      </c>
      <c r="E185">
        <f>MAX('at DAL'!E185,'at PHI'!E185,'at PIT'!E185,'at MIN'!E185,PHI!E185,CLE!E185,STL!E185,'at CLE'!E185,'at STL'!E185,CHI!E185,PIT!E185,'at WAS'!E185,DAL!E185,+WAS!E185)</f>
        <v>4</v>
      </c>
      <c r="F185">
        <f>+'at DAL'!F185+'at PHI'!F185+'at PIT'!F185+'at MIN'!F185+PHI!F185+CLE!F185+STL!F185+WAS!F185+'at CLE'!F185+'at STL'!F185+CHI!F185+PIT!F185+'at WAS'!F185+DAL!F185</f>
        <v>0</v>
      </c>
      <c r="G185">
        <f>+'at DAL'!G185+'at PHI'!G185+'at PIT'!G185+'at MIN'!G185+PHI!G185+CLE!G185+STL!G185+WAS!G185+'at CLE'!G185+'at STL'!G185+CHI!G185+PIT!G185+'at WAS'!G185+DAL!G185</f>
        <v>0</v>
      </c>
    </row>
    <row r="186" spans="1:7" ht="12.75">
      <c r="A186" s="19" t="s">
        <v>160</v>
      </c>
      <c r="C186">
        <f>+'at DAL'!C186+'at PHI'!C186+'at PIT'!C186+'at MIN'!C186+PHI!C186+CLE!C186+STL!C186+WAS!C186+'at CLE'!C186+'at STL'!C186+CHI!C186+PIT!C186+'at WAS'!C186+DAL!C186</f>
        <v>4</v>
      </c>
      <c r="D186">
        <f>+'at DAL'!D186+'at PHI'!D186+'at PIT'!D186+'at MIN'!D186+PHI!D186+CLE!D186+STL!D186+WAS!D186+'at CLE'!D186+'at STL'!D186+CHI!D186+PIT!D186+'at WAS'!D186+DAL!D186</f>
        <v>0</v>
      </c>
      <c r="E186">
        <f>MAX('at DAL'!E186,'at PHI'!E186,'at PIT'!E186,'at MIN'!E186,PHI!E186,CLE!E186,STL!E186,'at CLE'!E186,'at STL'!E186,CHI!E186,PIT!E186,'at WAS'!E186,DAL!E186,+WAS!E186)</f>
        <v>0</v>
      </c>
      <c r="F186">
        <f>+'at DAL'!F186+'at PHI'!F186+'at PIT'!F186+'at MIN'!F186+PHI!F186+CLE!F186+STL!F186+WAS!F186+'at CLE'!F186+'at STL'!F186+CHI!F186+PIT!F186+'at WAS'!F186+DAL!F186</f>
        <v>0</v>
      </c>
      <c r="G186">
        <f>+'at DAL'!G186+'at PHI'!G186+'at PIT'!G186+'at MIN'!G186+PHI!G186+CLE!G186+STL!G186+WAS!G186+'at CLE'!G186+'at STL'!G186+CHI!G186+PIT!G186+'at WAS'!G186+DAL!G186</f>
        <v>0</v>
      </c>
    </row>
    <row r="187" spans="1:7" ht="12.75">
      <c r="A187" s="19" t="s">
        <v>161</v>
      </c>
      <c r="C187">
        <f>+'at DAL'!C187+'at PHI'!C187+'at PIT'!C187+'at MIN'!C187+PHI!C187+CLE!C187+STL!C187+WAS!C187+'at CLE'!C187+'at STL'!C187+CHI!C187+PIT!C187+'at WAS'!C187+DAL!C187</f>
        <v>1</v>
      </c>
      <c r="D187">
        <f>+'at DAL'!D187+'at PHI'!D187+'at PIT'!D187+'at MIN'!D187+PHI!D187+CLE!D187+STL!D187+WAS!D187+'at CLE'!D187+'at STL'!D187+CHI!D187+PIT!D187+'at WAS'!D187+DAL!D187</f>
        <v>0</v>
      </c>
      <c r="E187">
        <f>MAX('at DAL'!E187,'at PHI'!E187,'at PIT'!E187,'at MIN'!E187,PHI!E187,CLE!E187,STL!E187,'at CLE'!E187,'at STL'!E187,CHI!E187,PIT!E187,'at WAS'!E187,DAL!E187,+WAS!E187)</f>
        <v>0</v>
      </c>
      <c r="F187">
        <f>+'at DAL'!F187+'at PHI'!F187+'at PIT'!F187+'at MIN'!F187+PHI!F187+CLE!F187+STL!F187+WAS!F187+'at CLE'!F187+'at STL'!F187+CHI!F187+PIT!F187+'at WAS'!F187+DAL!F187</f>
        <v>0</v>
      </c>
      <c r="G187">
        <f>+'at DAL'!G187+'at PHI'!G187+'at PIT'!G187+'at MIN'!G187+PHI!G187+CLE!G187+STL!G187+WAS!G187+'at CLE'!G187+'at STL'!G187+CHI!G187+PIT!G187+'at WAS'!G187+DAL!G187</f>
        <v>0</v>
      </c>
    </row>
    <row r="188" spans="1:7" ht="12.75">
      <c r="A188" s="19" t="s">
        <v>162</v>
      </c>
      <c r="C188">
        <f>+'at DAL'!C188+'at PHI'!C188+'at PIT'!C188+'at MIN'!C188+PHI!C188+CLE!C188+STL!C188+WAS!C188+'at CLE'!C188+'at STL'!C188+CHI!C188+PIT!C188+'at WAS'!C188+DAL!C188</f>
        <v>0</v>
      </c>
      <c r="D188">
        <f>+'at DAL'!D188+'at PHI'!D188+'at PIT'!D188+'at MIN'!D188+PHI!D188+CLE!D188+STL!D188+WAS!D188+'at CLE'!D188+'at STL'!D188+CHI!D188+PIT!D188+'at WAS'!D188+DAL!D188</f>
        <v>0</v>
      </c>
      <c r="E188">
        <f>MAX('at DAL'!E188,'at PHI'!E188,'at PIT'!E188,'at MIN'!E188,PHI!E188,CLE!E188,STL!E188,'at CLE'!E188,'at STL'!E188,CHI!E188,PIT!E188,'at WAS'!E188,DAL!E188,+WAS!E188)</f>
        <v>0</v>
      </c>
      <c r="F188">
        <f>+'at DAL'!F188+'at PHI'!F188+'at PIT'!F188+'at MIN'!F188+PHI!F188+CLE!F188+STL!F188+WAS!F188+'at CLE'!F188+'at STL'!F188+CHI!F188+PIT!F188+'at WAS'!F188+DAL!F188</f>
        <v>0</v>
      </c>
      <c r="G188">
        <f>+'at DAL'!G188+'at PHI'!G188+'at PIT'!G188+'at MIN'!G188+PHI!G188+CLE!G188+STL!G188+WAS!G188+'at CLE'!G188+'at STL'!G188+CHI!G188+PIT!G188+'at WAS'!G188+DAL!G188</f>
        <v>0</v>
      </c>
    </row>
    <row r="189" spans="1:7" ht="12.75">
      <c r="A189" s="19" t="s">
        <v>163</v>
      </c>
      <c r="C189">
        <f>+'at DAL'!C189+'at PHI'!C189+'at PIT'!C189+'at MIN'!C189+PHI!C189+CLE!C189+STL!C189+WAS!C189+'at CLE'!C189+'at STL'!C189+CHI!C189+PIT!C189+'at WAS'!C189+DAL!C189</f>
        <v>0</v>
      </c>
      <c r="D189">
        <f>+'at DAL'!D189+'at PHI'!D189+'at PIT'!D189+'at MIN'!D189+PHI!D189+CLE!D189+STL!D189+WAS!D189+'at CLE'!D189+'at STL'!D189+CHI!D189+PIT!D189+'at WAS'!D189+DAL!D189</f>
        <v>0</v>
      </c>
      <c r="E189">
        <f>MAX('at DAL'!E189,'at PHI'!E189,'at PIT'!E189,'at MIN'!E189,PHI!E189,CLE!E189,STL!E189,'at CLE'!E189,'at STL'!E189,CHI!E189,PIT!E189,'at WAS'!E189,DAL!E189,+WAS!E189)</f>
        <v>0</v>
      </c>
      <c r="F189">
        <f>+'at DAL'!F189+'at PHI'!F189+'at PIT'!F189+'at MIN'!F189+PHI!F189+CLE!F189+STL!F189+WAS!F189+'at CLE'!F189+'at STL'!F189+CHI!F189+PIT!F189+'at WAS'!F189+DAL!F189</f>
        <v>0</v>
      </c>
      <c r="G189">
        <f>+'at DAL'!G189+'at PHI'!G189+'at PIT'!G189+'at MIN'!G189+PHI!G189+CLE!G189+STL!G189+WAS!G189+'at CLE'!G189+'at STL'!G189+CHI!G189+PIT!G189+'at WAS'!G189+DAL!G189</f>
        <v>0</v>
      </c>
    </row>
    <row r="190" spans="1:7" ht="12.75">
      <c r="A190" s="19" t="s">
        <v>164</v>
      </c>
      <c r="C190">
        <f>+'at DAL'!C190+'at PHI'!C190+'at PIT'!C190+'at MIN'!C190+PHI!C190+CLE!C190+STL!C190+WAS!C190+'at CLE'!C190+'at STL'!C190+CHI!C190+PIT!C190+'at WAS'!C190+DAL!C190</f>
        <v>0</v>
      </c>
      <c r="D190">
        <f>+'at DAL'!D190+'at PHI'!D190+'at PIT'!D190+'at MIN'!D190+PHI!D190+CLE!D190+STL!D190+WAS!D190+'at CLE'!D190+'at STL'!D190+CHI!D190+PIT!D190+'at WAS'!D190+DAL!D190</f>
        <v>0</v>
      </c>
      <c r="E190">
        <f>MAX('at DAL'!E190,'at PHI'!E190,'at PIT'!E190,'at MIN'!E190,PHI!E190,CLE!E190,STL!E190,'at CLE'!E190,'at STL'!E190,CHI!E190,PIT!E190,'at WAS'!E190,DAL!E190,+WAS!E190)</f>
        <v>0</v>
      </c>
      <c r="F190">
        <f>+'at DAL'!F190+'at PHI'!F190+'at PIT'!F190+'at MIN'!F190+PHI!F190+CLE!F190+STL!F190+WAS!F190+'at CLE'!F190+'at STL'!F190+CHI!F190+PIT!F190+'at WAS'!F190+DAL!F190</f>
        <v>0</v>
      </c>
      <c r="G190">
        <f>+'at DAL'!G190+'at PHI'!G190+'at PIT'!G190+'at MIN'!G190+PHI!G190+CLE!G190+STL!G190+WAS!G190+'at CLE'!G190+'at STL'!G190+CHI!G190+PIT!G190+'at WAS'!G190+DAL!G190</f>
        <v>0</v>
      </c>
    </row>
    <row r="191" spans="1:7" ht="12.75">
      <c r="A191" s="19" t="s">
        <v>165</v>
      </c>
      <c r="C191">
        <f>+'at DAL'!C191+'at PHI'!C191+'at PIT'!C191+'at MIN'!C191+PHI!C191+CLE!C191+STL!C191+WAS!C191+'at CLE'!C191+'at STL'!C191+CHI!C191+PIT!C191+'at WAS'!C191+DAL!C191</f>
        <v>0</v>
      </c>
      <c r="D191">
        <f>+'at DAL'!D191+'at PHI'!D191+'at PIT'!D191+'at MIN'!D191+PHI!D191+CLE!D191+STL!D191+WAS!D191+'at CLE'!D191+'at STL'!D191+CHI!D191+PIT!D191+'at WAS'!D191+DAL!D191</f>
        <v>0</v>
      </c>
      <c r="E191">
        <f>MAX('at DAL'!E191,'at PHI'!E191,'at PIT'!E191,'at MIN'!E191,PHI!E191,CLE!E191,STL!E191,'at CLE'!E191,'at STL'!E191,CHI!E191,PIT!E191,'at WAS'!E191,DAL!E191,+WAS!E191)</f>
        <v>0</v>
      </c>
      <c r="F191">
        <f>+'at DAL'!F191+'at PHI'!F191+'at PIT'!F191+'at MIN'!F191+PHI!F191+CLE!F191+STL!F191+WAS!F191+'at CLE'!F191+'at STL'!F191+CHI!F191+PIT!F191+'at WAS'!F191+DAL!F191</f>
        <v>0</v>
      </c>
      <c r="G191">
        <f>+'at DAL'!G191+'at PHI'!G191+'at PIT'!G191+'at MIN'!G191+PHI!G191+CLE!G191+STL!G191+WAS!G191+'at CLE'!G191+'at STL'!G191+CHI!G191+PIT!G191+'at WAS'!G191+DAL!G191</f>
        <v>0</v>
      </c>
    </row>
    <row r="192" spans="1:7" ht="12.75">
      <c r="A192" s="19" t="s">
        <v>166</v>
      </c>
      <c r="C192">
        <f>+'at DAL'!C192+'at PHI'!C192+'at PIT'!C192+'at MIN'!C192+PHI!C192+CLE!C192+STL!C192+WAS!C192+'at CLE'!C192+'at STL'!C192+CHI!C192+PIT!C192+'at WAS'!C192+DAL!C192</f>
        <v>1</v>
      </c>
      <c r="D192">
        <f>+'at DAL'!D192+'at PHI'!D192+'at PIT'!D192+'at MIN'!D192+PHI!D192+CLE!D192+STL!D192+WAS!D192+'at CLE'!D192+'at STL'!D192+CHI!D192+PIT!D192+'at WAS'!D192+DAL!D192</f>
        <v>0</v>
      </c>
      <c r="E192">
        <f>MAX('at DAL'!E192,'at PHI'!E192,'at PIT'!E192,'at MIN'!E192,PHI!E192,CLE!E192,STL!E192,'at CLE'!E192,'at STL'!E192,CHI!E192,PIT!E192,'at WAS'!E192,DAL!E192,+WAS!E192)</f>
        <v>0</v>
      </c>
      <c r="F192">
        <f>+'at DAL'!F192+'at PHI'!F192+'at PIT'!F192+'at MIN'!F192+PHI!F192+CLE!F192+STL!F192+WAS!F192+'at CLE'!F192+'at STL'!F192+CHI!F192+PIT!F192+'at WAS'!F192+DAL!F192</f>
        <v>0</v>
      </c>
      <c r="G192">
        <f>+'at DAL'!G192+'at PHI'!G192+'at PIT'!G192+'at MIN'!G192+PHI!G192+CLE!G192+STL!G192+WAS!G192+'at CLE'!G192+'at STL'!G192+CHI!G192+PIT!G192+'at WAS'!G192+DAL!G192</f>
        <v>0</v>
      </c>
    </row>
    <row r="193" spans="1:7" ht="12.75">
      <c r="A193" s="19" t="s">
        <v>167</v>
      </c>
      <c r="C193">
        <f>+'at DAL'!C193+'at PHI'!C193+'at PIT'!C193+'at MIN'!C193+PHI!C193+CLE!C193+STL!C193+WAS!C193+'at CLE'!C193+'at STL'!C193+CHI!C193+PIT!C193+'at WAS'!C193+DAL!C193</f>
        <v>0</v>
      </c>
      <c r="D193">
        <f>+'at DAL'!D193+'at PHI'!D193+'at PIT'!D193+'at MIN'!D193+PHI!D193+CLE!D193+STL!D193+WAS!D193+'at CLE'!D193+'at STL'!D193+CHI!D193+PIT!D193+'at WAS'!D193+DAL!D193</f>
        <v>0</v>
      </c>
      <c r="E193">
        <f>MAX('at DAL'!E193,'at PHI'!E193,'at PIT'!E193,'at MIN'!E193,PHI!E193,CLE!E193,STL!E193,'at CLE'!E193,'at STL'!E193,CHI!E193,PIT!E193,'at WAS'!E193,DAL!E193,+WAS!E193)</f>
        <v>0</v>
      </c>
      <c r="F193">
        <f>+'at DAL'!F193+'at PHI'!F193+'at PIT'!F193+'at MIN'!F193+PHI!F193+CLE!F193+STL!F193+WAS!F193+'at CLE'!F193+'at STL'!F193+CHI!F193+PIT!F193+'at WAS'!F193+DAL!F193</f>
        <v>0</v>
      </c>
      <c r="G193">
        <f>+'at DAL'!G193+'at PHI'!G193+'at PIT'!G193+'at MIN'!G193+PHI!G193+CLE!G193+STL!G193+WAS!G193+'at CLE'!G193+'at STL'!G193+CHI!G193+PIT!G193+'at WAS'!G193+DAL!G193</f>
        <v>0</v>
      </c>
    </row>
    <row r="194" spans="1:7" ht="12.75">
      <c r="A194" s="19" t="s">
        <v>168</v>
      </c>
      <c r="C194">
        <f>+'at DAL'!C194+'at PHI'!C194+'at PIT'!C194+'at MIN'!C194+PHI!C194+CLE!C194+STL!C194+WAS!C194+'at CLE'!C194+'at STL'!C194+CHI!C194+PIT!C194+'at WAS'!C194+DAL!C194</f>
        <v>0</v>
      </c>
      <c r="D194">
        <f>+'at DAL'!D194+'at PHI'!D194+'at PIT'!D194+'at MIN'!D194+PHI!D194+CLE!D194+STL!D194+WAS!D194+'at CLE'!D194+'at STL'!D194+CHI!D194+PIT!D194+'at WAS'!D194+DAL!D194</f>
        <v>0</v>
      </c>
      <c r="E194">
        <f>MAX('at DAL'!E194,'at PHI'!E194,'at PIT'!E194,'at MIN'!E194,PHI!E194,CLE!E194,STL!E194,'at CLE'!E194,'at STL'!E194,CHI!E194,PIT!E194,'at WAS'!E194,DAL!E194,+WAS!E194)</f>
        <v>0</v>
      </c>
      <c r="F194">
        <f>+'at DAL'!F194+'at PHI'!F194+'at PIT'!F194+'at MIN'!F194+PHI!F194+CLE!F194+STL!F194+WAS!F194+'at CLE'!F194+'at STL'!F194+CHI!F194+PIT!F194+'at WAS'!F194+DAL!F194</f>
        <v>0</v>
      </c>
      <c r="G194">
        <f>+'at DAL'!G194+'at PHI'!G194+'at PIT'!G194+'at MIN'!G194+PHI!G194+CLE!G194+STL!G194+WAS!G194+'at CLE'!G194+'at STL'!G194+CHI!G194+PIT!G194+'at WAS'!G194+DAL!G194</f>
        <v>0</v>
      </c>
    </row>
    <row r="195" spans="1:7" ht="12.75">
      <c r="A195" s="19" t="s">
        <v>169</v>
      </c>
      <c r="C195">
        <f>+'at DAL'!C195+'at PHI'!C195+'at PIT'!C195+'at MIN'!C195+PHI!C195+CLE!C195+STL!C195+WAS!C195+'at CLE'!C195+'at STL'!C195+CHI!C195+PIT!C195+'at WAS'!C195+DAL!C195</f>
        <v>0</v>
      </c>
      <c r="D195">
        <f>+'at DAL'!D195+'at PHI'!D195+'at PIT'!D195+'at MIN'!D195+PHI!D195+CLE!D195+STL!D195+WAS!D195+'at CLE'!D195+'at STL'!D195+CHI!D195+PIT!D195+'at WAS'!D195+DAL!D195</f>
        <v>0</v>
      </c>
      <c r="E195">
        <f>MAX('at DAL'!E195,'at PHI'!E195,'at PIT'!E195,'at MIN'!E195,PHI!E195,CLE!E195,STL!E195,'at CLE'!E195,'at STL'!E195,CHI!E195,PIT!E195,'at WAS'!E195,DAL!E195,+WAS!E195)</f>
        <v>0</v>
      </c>
      <c r="F195">
        <f>+'at DAL'!F195+'at PHI'!F195+'at PIT'!F195+'at MIN'!F195+PHI!F195+CLE!F195+STL!F195+WAS!F195+'at CLE'!F195+'at STL'!F195+CHI!F195+PIT!F195+'at WAS'!F195+DAL!F195</f>
        <v>0</v>
      </c>
      <c r="G195">
        <f>+'at DAL'!G195+'at PHI'!G195+'at PIT'!G195+'at MIN'!G195+PHI!G195+CLE!G195+STL!G195+WAS!G195+'at CLE'!G195+'at STL'!G195+CHI!G195+PIT!G195+'at WAS'!G195+DAL!G195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34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16</v>
      </c>
      <c r="H6" s="1" t="s">
        <v>29</v>
      </c>
      <c r="M6" s="2">
        <v>21</v>
      </c>
    </row>
    <row r="7" spans="1:13" ht="12.75">
      <c r="A7" s="18" t="s">
        <v>95</v>
      </c>
      <c r="D7" s="2">
        <v>8</v>
      </c>
      <c r="H7" s="18" t="s">
        <v>95</v>
      </c>
      <c r="M7" s="2">
        <v>14</v>
      </c>
    </row>
    <row r="8" spans="1:13" ht="12.75">
      <c r="A8" s="18" t="s">
        <v>96</v>
      </c>
      <c r="D8" s="2">
        <v>7</v>
      </c>
      <c r="H8" s="18" t="s">
        <v>96</v>
      </c>
      <c r="M8" s="2">
        <v>6</v>
      </c>
    </row>
    <row r="9" spans="1:13" ht="12.75">
      <c r="A9" s="18" t="s">
        <v>97</v>
      </c>
      <c r="D9" s="2">
        <v>1</v>
      </c>
      <c r="H9" s="18" t="s">
        <v>97</v>
      </c>
      <c r="M9" s="2">
        <v>1</v>
      </c>
    </row>
    <row r="11" spans="1:23" ht="12.75">
      <c r="A11" t="s">
        <v>1</v>
      </c>
      <c r="D11" s="2">
        <f>16+9+3</f>
        <v>28</v>
      </c>
      <c r="H11" t="s">
        <v>1</v>
      </c>
      <c r="M11" s="2">
        <f>28+13+3+1+1</f>
        <v>46</v>
      </c>
      <c r="V11">
        <f>+D11</f>
        <v>28</v>
      </c>
      <c r="W11">
        <f>+M11</f>
        <v>46</v>
      </c>
    </row>
    <row r="12" spans="1:23" ht="12.75">
      <c r="A12" t="s">
        <v>2</v>
      </c>
      <c r="D12" s="2">
        <f>104+34+4+7</f>
        <v>149</v>
      </c>
      <c r="H12" t="s">
        <v>2</v>
      </c>
      <c r="M12" s="2">
        <f>171+34+26+24-1</f>
        <v>254</v>
      </c>
      <c r="U12" s="13"/>
      <c r="V12">
        <f>+D16</f>
        <v>13</v>
      </c>
      <c r="W12">
        <f>+M16</f>
        <v>9</v>
      </c>
    </row>
    <row r="13" spans="1:23" ht="12.75">
      <c r="A13" s="1" t="s">
        <v>3</v>
      </c>
      <c r="D13" s="8">
        <f>+D12/D11</f>
        <v>5.321428571428571</v>
      </c>
      <c r="H13" s="1" t="s">
        <v>3</v>
      </c>
      <c r="M13" s="8">
        <f>+M12/M11</f>
        <v>5.521739130434782</v>
      </c>
      <c r="V13">
        <f>+(D15-D16)/2</f>
        <v>5.5</v>
      </c>
      <c r="W13">
        <f>+(M15-M16)/2</f>
        <v>4</v>
      </c>
    </row>
    <row r="14" spans="22:23" ht="12.75">
      <c r="V14">
        <f>+D38/2</f>
        <v>2</v>
      </c>
      <c r="W14">
        <f>+M38/2</f>
        <v>1.5</v>
      </c>
    </row>
    <row r="15" spans="1:23" ht="12.75">
      <c r="A15" t="s">
        <v>4</v>
      </c>
      <c r="D15" s="2">
        <v>24</v>
      </c>
      <c r="H15" t="s">
        <v>4</v>
      </c>
      <c r="M15" s="2">
        <v>17</v>
      </c>
      <c r="V15">
        <f>+D42/2</f>
        <v>0</v>
      </c>
      <c r="W15">
        <f>+M42/2</f>
        <v>0.5</v>
      </c>
    </row>
    <row r="16" spans="1:23" ht="12.75">
      <c r="A16" t="s">
        <v>5</v>
      </c>
      <c r="D16" s="2">
        <v>13</v>
      </c>
      <c r="H16" t="s">
        <v>5</v>
      </c>
      <c r="M16" s="2">
        <v>9</v>
      </c>
      <c r="V16">
        <f>+D47/2</f>
        <v>1</v>
      </c>
      <c r="W16">
        <f>+M47/2</f>
        <v>1.5</v>
      </c>
    </row>
    <row r="17" spans="1:13" ht="12.75">
      <c r="A17" t="s">
        <v>6</v>
      </c>
      <c r="D17" s="8">
        <f>+D16/D15*100</f>
        <v>54.166666666666664</v>
      </c>
      <c r="H17" t="s">
        <v>6</v>
      </c>
      <c r="M17" s="8">
        <f>+M16/M15*100</f>
        <v>52.94117647058824</v>
      </c>
    </row>
    <row r="18" spans="1:24" ht="12.75">
      <c r="A18" t="s">
        <v>7</v>
      </c>
      <c r="D18" s="2">
        <v>227</v>
      </c>
      <c r="H18" t="s">
        <v>7</v>
      </c>
      <c r="M18" s="2">
        <v>153</v>
      </c>
      <c r="V18">
        <f>SUM(V11:V16)</f>
        <v>49.5</v>
      </c>
      <c r="W18">
        <f>SUM(W11:W16)</f>
        <v>62.5</v>
      </c>
      <c r="X18">
        <f>+W18+V18</f>
        <v>112</v>
      </c>
    </row>
    <row r="19" spans="1:23" ht="12.75">
      <c r="A19" t="s">
        <v>8</v>
      </c>
      <c r="D19" s="2">
        <v>3</v>
      </c>
      <c r="H19" t="s">
        <v>8</v>
      </c>
      <c r="M19" s="2">
        <v>5</v>
      </c>
      <c r="V19">
        <f>+V18/X18</f>
        <v>0.4419642857142857</v>
      </c>
      <c r="W19">
        <f>+W18/X18</f>
        <v>0.5580357142857143</v>
      </c>
    </row>
    <row r="20" spans="1:23" ht="12.75">
      <c r="A20" t="s">
        <v>9</v>
      </c>
      <c r="D20" s="2">
        <v>12</v>
      </c>
      <c r="H20" t="s">
        <v>9</v>
      </c>
      <c r="M20" s="2">
        <f>5+8+6+3+15</f>
        <v>37</v>
      </c>
      <c r="V20">
        <f>+V19*60</f>
        <v>26.517857142857142</v>
      </c>
      <c r="W20">
        <f>+W19*60</f>
        <v>33.48214285714286</v>
      </c>
    </row>
    <row r="21" spans="1:23" ht="12.75">
      <c r="A21" t="s">
        <v>10</v>
      </c>
      <c r="D21">
        <f>+D18-D20</f>
        <v>215</v>
      </c>
      <c r="H21" t="s">
        <v>10</v>
      </c>
      <c r="M21">
        <f>+M18-M20</f>
        <v>116</v>
      </c>
      <c r="V21">
        <f>+V20-INT(V20)</f>
        <v>0.5178571428571423</v>
      </c>
      <c r="W21">
        <f>+W20-INT(W20)</f>
        <v>0.4821428571428612</v>
      </c>
    </row>
    <row r="22" spans="1:23" ht="12.75">
      <c r="A22" t="s">
        <v>11</v>
      </c>
      <c r="D22" s="7">
        <f>+D21/(D15+D19)</f>
        <v>7.962962962962963</v>
      </c>
      <c r="H22" t="s">
        <v>11</v>
      </c>
      <c r="M22" s="7">
        <f>+M21/(M15+M19)</f>
        <v>5.2727272727272725</v>
      </c>
      <c r="V22">
        <f>+V21*60</f>
        <v>31.07142857142854</v>
      </c>
      <c r="W22">
        <f>+W21*60</f>
        <v>28.928571428571672</v>
      </c>
    </row>
    <row r="23" spans="1:23" ht="12.75">
      <c r="A23" t="s">
        <v>12</v>
      </c>
      <c r="D23" s="7">
        <f>+D18/D16</f>
        <v>17.46153846153846</v>
      </c>
      <c r="H23" t="s">
        <v>12</v>
      </c>
      <c r="M23" s="7">
        <f>+M18/M16</f>
        <v>17</v>
      </c>
      <c r="U23">
        <v>0</v>
      </c>
      <c r="V23" s="11">
        <f>ROUND(V22,0)</f>
        <v>31</v>
      </c>
      <c r="W23">
        <f>ROUND(W22,0)</f>
        <v>29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364</v>
      </c>
      <c r="H26" t="s">
        <v>14</v>
      </c>
      <c r="M26">
        <f>+M21+M12</f>
        <v>370</v>
      </c>
      <c r="V26" s="14" t="str">
        <f>+V24&amp;V25&amp;V23</f>
        <v>26:31</v>
      </c>
      <c r="W26" s="9" t="str">
        <f>+W24&amp;W25&amp;W23</f>
        <v>33:29</v>
      </c>
    </row>
    <row r="27" spans="1:23" ht="12.75">
      <c r="A27" t="s">
        <v>15</v>
      </c>
      <c r="D27" s="7">
        <f>+D12/D26*100</f>
        <v>40.934065934065934</v>
      </c>
      <c r="H27" t="s">
        <v>15</v>
      </c>
      <c r="M27" s="7">
        <f>+M12/M26*100</f>
        <v>68.64864864864865</v>
      </c>
      <c r="V27" s="9" t="str">
        <f>IF(V23&lt;10,+V24&amp;V25&amp;$U$23&amp;V23,+V24&amp;V25&amp;V23)</f>
        <v>26:31</v>
      </c>
      <c r="W27" s="9" t="str">
        <f>IF(W23&lt;10,+W24&amp;W25&amp;$U$23&amp;W23,+W24&amp;W25&amp;W23)</f>
        <v>33:29</v>
      </c>
    </row>
    <row r="28" spans="1:13" ht="12.75">
      <c r="A28" s="1" t="s">
        <v>90</v>
      </c>
      <c r="D28" s="7">
        <f>+D21/D26*100</f>
        <v>59.065934065934066</v>
      </c>
      <c r="H28" s="1" t="s">
        <v>90</v>
      </c>
      <c r="M28" s="7">
        <f>+M21/M26*100</f>
        <v>31.351351351351354</v>
      </c>
    </row>
    <row r="30" spans="1:13" ht="12.75">
      <c r="A30" t="s">
        <v>16</v>
      </c>
      <c r="D30">
        <f>+D11+D15+D19</f>
        <v>55</v>
      </c>
      <c r="H30" t="s">
        <v>16</v>
      </c>
      <c r="M30">
        <f>+M11+M15+M19</f>
        <v>68</v>
      </c>
    </row>
    <row r="31" spans="1:13" ht="12.75">
      <c r="A31" t="s">
        <v>17</v>
      </c>
      <c r="D31" s="8">
        <f>+D26/D30</f>
        <v>6.618181818181818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5.4411764705882355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92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3</v>
      </c>
    </row>
    <row r="39" spans="1:13" ht="12.75">
      <c r="A39" t="s">
        <v>23</v>
      </c>
      <c r="D39" s="2">
        <f>20+34+40+55</f>
        <v>149</v>
      </c>
      <c r="H39" t="s">
        <v>23</v>
      </c>
      <c r="M39" s="2">
        <f>77+30+39</f>
        <v>146</v>
      </c>
    </row>
    <row r="40" spans="1:13" ht="12.75">
      <c r="A40" t="s">
        <v>24</v>
      </c>
      <c r="D40" s="8">
        <f>+D39/D38</f>
        <v>37.25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48.666666666666664</v>
      </c>
    </row>
    <row r="42" spans="1:13" ht="12.75">
      <c r="A42" t="s">
        <v>25</v>
      </c>
      <c r="D42" s="2">
        <v>0</v>
      </c>
      <c r="H42" t="s">
        <v>25</v>
      </c>
      <c r="M42" s="2">
        <v>1</v>
      </c>
    </row>
    <row r="43" spans="1:13" ht="12.75">
      <c r="A43" t="s">
        <v>26</v>
      </c>
      <c r="D43" s="2">
        <v>0</v>
      </c>
      <c r="H43" t="s">
        <v>26</v>
      </c>
      <c r="M43" s="2">
        <v>13</v>
      </c>
    </row>
    <row r="44" spans="1:13" ht="12.75">
      <c r="A44" t="s">
        <v>27</v>
      </c>
      <c r="D44" s="8" t="e">
        <f>+D43/D42</f>
        <v>#DIV/0!</v>
      </c>
      <c r="H44" t="s">
        <v>27</v>
      </c>
      <c r="M44" s="8">
        <f>+M43/M42</f>
        <v>13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2</v>
      </c>
      <c r="H47" t="s">
        <v>30</v>
      </c>
      <c r="M47" s="2">
        <v>3</v>
      </c>
    </row>
    <row r="48" spans="1:13" ht="12.75">
      <c r="A48" t="s">
        <v>26</v>
      </c>
      <c r="D48" s="2">
        <v>40</v>
      </c>
      <c r="H48" t="s">
        <v>26</v>
      </c>
      <c r="M48" s="2">
        <f>28+28+28</f>
        <v>84</v>
      </c>
    </row>
    <row r="49" spans="1:13" ht="12.75">
      <c r="A49" t="s">
        <v>27</v>
      </c>
      <c r="D49" s="8">
        <f>+D48/D47</f>
        <v>20</v>
      </c>
      <c r="H49" t="s">
        <v>27</v>
      </c>
      <c r="M49" s="8">
        <f>+M48/M47</f>
        <v>28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2</v>
      </c>
      <c r="H52" t="s">
        <v>31</v>
      </c>
      <c r="M52" s="2">
        <v>6</v>
      </c>
    </row>
    <row r="53" spans="1:13" ht="12.75">
      <c r="A53" t="s">
        <v>32</v>
      </c>
      <c r="D53" s="2">
        <v>15</v>
      </c>
      <c r="H53" t="s">
        <v>32</v>
      </c>
      <c r="M53" s="2">
        <v>32</v>
      </c>
    </row>
    <row r="55" spans="1:13" ht="12.75">
      <c r="A55" t="s">
        <v>33</v>
      </c>
      <c r="D55" s="2">
        <v>0</v>
      </c>
      <c r="H55" t="s">
        <v>33</v>
      </c>
      <c r="M55" s="2">
        <v>1</v>
      </c>
    </row>
    <row r="56" spans="1:13" ht="12.75">
      <c r="A56" t="s">
        <v>34</v>
      </c>
      <c r="D56" s="2">
        <v>0</v>
      </c>
      <c r="H56" t="s">
        <v>34</v>
      </c>
      <c r="M56" s="2">
        <v>1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0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14</v>
      </c>
      <c r="H61" t="s">
        <v>38</v>
      </c>
      <c r="M61" s="2">
        <v>20</v>
      </c>
    </row>
    <row r="62" spans="1:13" ht="12.75">
      <c r="A62" t="s">
        <v>39</v>
      </c>
      <c r="D62" s="2">
        <v>2</v>
      </c>
      <c r="H62" t="s">
        <v>39</v>
      </c>
      <c r="M62" s="2">
        <v>2</v>
      </c>
    </row>
    <row r="63" spans="1:13" ht="12.75">
      <c r="A63" t="s">
        <v>40</v>
      </c>
      <c r="D63" s="2">
        <v>2</v>
      </c>
      <c r="H63" t="s">
        <v>40</v>
      </c>
      <c r="M63" s="2">
        <v>1</v>
      </c>
    </row>
    <row r="64" spans="1:13" ht="12.75">
      <c r="A64" t="s">
        <v>41</v>
      </c>
      <c r="D64" s="2">
        <v>0</v>
      </c>
      <c r="H64" t="s">
        <v>41</v>
      </c>
      <c r="M64" s="2">
        <v>0</v>
      </c>
    </row>
    <row r="65" spans="1:13" ht="12.75">
      <c r="A65" t="s">
        <v>42</v>
      </c>
      <c r="D65" s="2">
        <v>0</v>
      </c>
      <c r="H65" t="s">
        <v>42</v>
      </c>
      <c r="M65" s="2">
        <v>1</v>
      </c>
    </row>
    <row r="66" spans="1:13" ht="12.75">
      <c r="A66" t="s">
        <v>43</v>
      </c>
      <c r="D66" s="2">
        <v>2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2</v>
      </c>
    </row>
    <row r="69" spans="1:13" ht="12.75">
      <c r="A69" t="s">
        <v>46</v>
      </c>
      <c r="D69" s="2">
        <v>2</v>
      </c>
      <c r="H69" t="s">
        <v>46</v>
      </c>
      <c r="M69" s="2">
        <v>6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33.33333333333333</v>
      </c>
    </row>
    <row r="71" spans="1:13" ht="12.75">
      <c r="A71" t="s">
        <v>93</v>
      </c>
      <c r="D71" s="10" t="str">
        <f>IF(V23&lt;10,V27,V26)</f>
        <v>26:31</v>
      </c>
      <c r="E71" s="8"/>
      <c r="F71" s="8"/>
      <c r="H71" t="s">
        <v>93</v>
      </c>
      <c r="M71" s="10" t="str">
        <f>IF(W23&lt;10,W27,W26)</f>
        <v>33:29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16</v>
      </c>
      <c r="D75">
        <v>104</v>
      </c>
      <c r="E75" s="12">
        <f>+D75/C75</f>
        <v>6.5</v>
      </c>
      <c r="F75">
        <v>33</v>
      </c>
      <c r="G75">
        <v>1</v>
      </c>
      <c r="H75">
        <v>0</v>
      </c>
    </row>
    <row r="76" spans="1:8" ht="12.75">
      <c r="A76" s="1" t="s">
        <v>100</v>
      </c>
      <c r="C76">
        <v>9</v>
      </c>
      <c r="D76">
        <v>34</v>
      </c>
      <c r="E76" s="12">
        <f>+D76/C76</f>
        <v>3.7777777777777777</v>
      </c>
      <c r="F76">
        <v>15</v>
      </c>
      <c r="G76">
        <v>1</v>
      </c>
      <c r="H76">
        <v>0</v>
      </c>
    </row>
    <row r="77" spans="1:6" ht="12.75">
      <c r="A77" s="1" t="s">
        <v>101</v>
      </c>
      <c r="C77">
        <v>2</v>
      </c>
      <c r="D77">
        <v>4</v>
      </c>
      <c r="E77" s="12">
        <f>+D77/C77</f>
        <v>2</v>
      </c>
      <c r="F77">
        <v>3</v>
      </c>
    </row>
    <row r="78" spans="1:6" ht="12.75">
      <c r="A78" s="1" t="s">
        <v>102</v>
      </c>
      <c r="C78">
        <v>1</v>
      </c>
      <c r="D78">
        <v>7</v>
      </c>
      <c r="E78" s="12">
        <f aca="true" t="shared" si="0" ref="E78:E84">+D78/C78</f>
        <v>7</v>
      </c>
      <c r="F78">
        <v>7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5" ht="12.75">
      <c r="A82" s="1" t="s">
        <v>106</v>
      </c>
      <c r="E82" s="12" t="e">
        <f t="shared" si="0"/>
        <v>#DIV/0!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6" ht="12.75">
      <c r="A89" s="1" t="s">
        <v>107</v>
      </c>
      <c r="C89">
        <v>3</v>
      </c>
      <c r="D89">
        <v>44</v>
      </c>
      <c r="E89" s="12">
        <f aca="true" t="shared" si="1" ref="E89:E100">+D89/C89</f>
        <v>14.666666666666666</v>
      </c>
      <c r="F89">
        <v>28</v>
      </c>
    </row>
    <row r="90" spans="1:6" ht="12.75">
      <c r="A90" s="1" t="s">
        <v>109</v>
      </c>
      <c r="C90">
        <v>2</v>
      </c>
      <c r="D90">
        <v>100</v>
      </c>
      <c r="E90" s="12">
        <f t="shared" si="1"/>
        <v>50</v>
      </c>
      <c r="F90">
        <v>71</v>
      </c>
    </row>
    <row r="91" spans="1:5" ht="12.75">
      <c r="A91" s="1" t="s">
        <v>108</v>
      </c>
      <c r="E91" s="12" t="e">
        <f t="shared" si="1"/>
        <v>#DIV/0!</v>
      </c>
    </row>
    <row r="92" spans="1:6" ht="12.75">
      <c r="A92" s="1" t="s">
        <v>99</v>
      </c>
      <c r="C92">
        <v>4</v>
      </c>
      <c r="D92">
        <v>7</v>
      </c>
      <c r="E92" s="12">
        <f t="shared" si="1"/>
        <v>1.75</v>
      </c>
      <c r="F92">
        <v>6</v>
      </c>
    </row>
    <row r="93" spans="1:6" ht="12.75">
      <c r="A93" s="1" t="s">
        <v>110</v>
      </c>
      <c r="C93">
        <v>3</v>
      </c>
      <c r="D93">
        <v>75</v>
      </c>
      <c r="E93" s="12">
        <f t="shared" si="1"/>
        <v>25</v>
      </c>
      <c r="F93">
        <v>42</v>
      </c>
    </row>
    <row r="94" spans="1:6" ht="12.75">
      <c r="A94" s="1" t="s">
        <v>100</v>
      </c>
      <c r="C94">
        <v>1</v>
      </c>
      <c r="D94">
        <v>1</v>
      </c>
      <c r="E94" s="12">
        <f t="shared" si="1"/>
        <v>1</v>
      </c>
      <c r="F94">
        <v>1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24</v>
      </c>
      <c r="D106">
        <v>13</v>
      </c>
      <c r="E106" s="12">
        <f>+D106/C106*100</f>
        <v>54.166666666666664</v>
      </c>
      <c r="F106">
        <v>227</v>
      </c>
      <c r="G106">
        <v>0</v>
      </c>
      <c r="H106">
        <v>71</v>
      </c>
      <c r="I106">
        <v>3</v>
      </c>
      <c r="J106" s="8">
        <f>+G106/C106*100</f>
        <v>0</v>
      </c>
      <c r="K106" s="12">
        <f>+I106/C106*100</f>
        <v>12.5</v>
      </c>
      <c r="L106" s="12">
        <f>+F106/C106</f>
        <v>9.458333333333334</v>
      </c>
      <c r="M106" s="12">
        <f>100*(S106+U106+W106+Y106)/6</f>
        <v>47.048611111111114</v>
      </c>
      <c r="N106">
        <v>0</v>
      </c>
      <c r="R106">
        <f>+(E106-30)/20</f>
        <v>1.2083333333333333</v>
      </c>
      <c r="S106" s="2">
        <f>IF(R106&lt;0,0,R106)</f>
        <v>1.2083333333333333</v>
      </c>
      <c r="T106" s="6">
        <f>+(L106-3)/4</f>
        <v>1.6145833333333335</v>
      </c>
      <c r="U106" s="2">
        <f>IF(T106&lt;0,0,T106)</f>
        <v>1.6145833333333335</v>
      </c>
      <c r="V106">
        <f>+J106/5</f>
        <v>0</v>
      </c>
      <c r="W106" s="2">
        <f>IF(V106&lt;0,0,V106)</f>
        <v>0</v>
      </c>
      <c r="X106">
        <f>(9.5-K106)/4</f>
        <v>-0.75</v>
      </c>
      <c r="Y106" s="2">
        <f>IF(X106&lt;0,0,X106)</f>
        <v>0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.75">
      <c r="A113" s="1" t="s">
        <v>112</v>
      </c>
      <c r="F113" s="12" t="e">
        <f aca="true" t="shared" si="2" ref="F113:F118">+E113/C113</f>
        <v>#DIV/0!</v>
      </c>
    </row>
    <row r="114" spans="1:6" ht="12.75">
      <c r="A114" s="1" t="s">
        <v>123</v>
      </c>
      <c r="F114" s="12" t="e">
        <f t="shared" si="2"/>
        <v>#DIV/0!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1</v>
      </c>
      <c r="D123">
        <v>21</v>
      </c>
      <c r="E123" s="12">
        <f aca="true" t="shared" si="3" ref="E123:E128">+D123/C123</f>
        <v>21</v>
      </c>
      <c r="F123">
        <v>21</v>
      </c>
    </row>
    <row r="124" spans="1:6" ht="12.75">
      <c r="A124" s="1" t="s">
        <v>101</v>
      </c>
      <c r="C124">
        <v>1</v>
      </c>
      <c r="D124">
        <v>19</v>
      </c>
      <c r="E124" s="12">
        <f t="shared" si="3"/>
        <v>19</v>
      </c>
      <c r="F124">
        <v>19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4</v>
      </c>
      <c r="D133">
        <f>20+34+40+55</f>
        <v>149</v>
      </c>
      <c r="E133" s="12">
        <f>+D133/C133</f>
        <v>37.25</v>
      </c>
      <c r="F133">
        <v>55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10" ht="12.75">
      <c r="A138" s="1" t="s">
        <v>119</v>
      </c>
      <c r="C138">
        <v>3</v>
      </c>
      <c r="D138">
        <v>0</v>
      </c>
      <c r="E138">
        <v>2</v>
      </c>
      <c r="F138">
        <v>2</v>
      </c>
      <c r="G138">
        <v>2</v>
      </c>
      <c r="H138">
        <v>0</v>
      </c>
      <c r="I138" s="12">
        <f>+H138/G138*100</f>
        <v>0</v>
      </c>
      <c r="J138"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52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13</v>
      </c>
      <c r="H6" s="1" t="s">
        <v>29</v>
      </c>
      <c r="M6" s="2">
        <v>21</v>
      </c>
    </row>
    <row r="7" spans="1:13" ht="12.75">
      <c r="A7" s="18" t="s">
        <v>95</v>
      </c>
      <c r="D7" s="2">
        <v>3</v>
      </c>
      <c r="H7" s="18" t="s">
        <v>95</v>
      </c>
      <c r="M7" s="2">
        <v>11</v>
      </c>
    </row>
    <row r="8" spans="1:13" ht="12.75">
      <c r="A8" s="18" t="s">
        <v>96</v>
      </c>
      <c r="D8" s="2">
        <v>10</v>
      </c>
      <c r="H8" s="18" t="s">
        <v>96</v>
      </c>
      <c r="M8" s="2">
        <v>9</v>
      </c>
    </row>
    <row r="9" spans="1:13" ht="12.75">
      <c r="A9" s="18" t="s">
        <v>97</v>
      </c>
      <c r="D9" s="2">
        <v>0</v>
      </c>
      <c r="H9" s="18" t="s">
        <v>97</v>
      </c>
      <c r="M9" s="2">
        <v>1</v>
      </c>
    </row>
    <row r="11" spans="1:23" ht="12.75">
      <c r="A11" t="s">
        <v>1</v>
      </c>
      <c r="D11" s="2">
        <f>12+6+3+1+2</f>
        <v>24</v>
      </c>
      <c r="H11" t="s">
        <v>1</v>
      </c>
      <c r="M11" s="2">
        <f>7+13+8+5+4</f>
        <v>37</v>
      </c>
      <c r="V11">
        <f>+D11</f>
        <v>24</v>
      </c>
      <c r="W11">
        <f>+M11</f>
        <v>37</v>
      </c>
    </row>
    <row r="12" spans="1:23" ht="12.75">
      <c r="A12" t="s">
        <v>2</v>
      </c>
      <c r="D12" s="2">
        <f>30+8+17+4+11</f>
        <v>70</v>
      </c>
      <c r="H12" t="s">
        <v>2</v>
      </c>
      <c r="M12" s="2">
        <f>46+53+39+29+32</f>
        <v>199</v>
      </c>
      <c r="U12" s="13"/>
      <c r="V12">
        <f>+D16</f>
        <v>14</v>
      </c>
      <c r="W12">
        <f>+M16</f>
        <v>18</v>
      </c>
    </row>
    <row r="13" spans="1:23" ht="12.75">
      <c r="A13" s="1" t="s">
        <v>3</v>
      </c>
      <c r="D13" s="8">
        <f>+D12/D11</f>
        <v>2.9166666666666665</v>
      </c>
      <c r="H13" s="1" t="s">
        <v>3</v>
      </c>
      <c r="M13" s="8">
        <f>+M12/M11</f>
        <v>5.378378378378378</v>
      </c>
      <c r="V13">
        <f>+(D15-D16)/2</f>
        <v>5.5</v>
      </c>
      <c r="W13">
        <f>+(M15-M16)/2</f>
        <v>5</v>
      </c>
    </row>
    <row r="14" spans="22:23" ht="12.75">
      <c r="V14">
        <f>+D38/2</f>
        <v>3</v>
      </c>
      <c r="W14">
        <f>+M38/2</f>
        <v>1</v>
      </c>
    </row>
    <row r="15" spans="1:23" ht="12.75">
      <c r="A15" t="s">
        <v>4</v>
      </c>
      <c r="D15" s="2">
        <v>25</v>
      </c>
      <c r="H15" t="s">
        <v>4</v>
      </c>
      <c r="M15" s="2">
        <v>28</v>
      </c>
      <c r="V15">
        <f>+D42/2</f>
        <v>1</v>
      </c>
      <c r="W15">
        <f>+M42/2</f>
        <v>2</v>
      </c>
    </row>
    <row r="16" spans="1:23" ht="12.75">
      <c r="A16" t="s">
        <v>5</v>
      </c>
      <c r="D16" s="2">
        <v>14</v>
      </c>
      <c r="H16" t="s">
        <v>5</v>
      </c>
      <c r="M16" s="2">
        <v>18</v>
      </c>
      <c r="V16">
        <f>+D47/2</f>
        <v>2</v>
      </c>
      <c r="W16">
        <f>+M47/2</f>
        <v>1.5</v>
      </c>
    </row>
    <row r="17" spans="1:13" ht="12.75">
      <c r="A17" t="s">
        <v>6</v>
      </c>
      <c r="D17" s="8">
        <f>+D16/D15*100</f>
        <v>56.00000000000001</v>
      </c>
      <c r="H17" t="s">
        <v>6</v>
      </c>
      <c r="M17" s="8">
        <f>+M16/M15*100</f>
        <v>64.28571428571429</v>
      </c>
    </row>
    <row r="18" spans="1:24" ht="12.75">
      <c r="A18" t="s">
        <v>7</v>
      </c>
      <c r="D18" s="2">
        <v>252</v>
      </c>
      <c r="H18" t="s">
        <v>7</v>
      </c>
      <c r="M18" s="2">
        <v>155</v>
      </c>
      <c r="V18">
        <f>SUM(V11:V16)</f>
        <v>49.5</v>
      </c>
      <c r="W18">
        <f>SUM(W11:W16)</f>
        <v>64.5</v>
      </c>
      <c r="X18">
        <f>+W18+V18</f>
        <v>114</v>
      </c>
    </row>
    <row r="19" spans="1:23" ht="12.75">
      <c r="A19" t="s">
        <v>8</v>
      </c>
      <c r="D19" s="2">
        <v>4</v>
      </c>
      <c r="H19" t="s">
        <v>8</v>
      </c>
      <c r="M19" s="2">
        <v>2</v>
      </c>
      <c r="V19">
        <f>+V18/X18</f>
        <v>0.4342105263157895</v>
      </c>
      <c r="W19">
        <f>+W18/X18</f>
        <v>0.5657894736842105</v>
      </c>
    </row>
    <row r="20" spans="1:23" ht="12.75">
      <c r="A20" t="s">
        <v>9</v>
      </c>
      <c r="D20" s="2">
        <f>2+7+15+16</f>
        <v>40</v>
      </c>
      <c r="H20" t="s">
        <v>9</v>
      </c>
      <c r="M20" s="2">
        <v>19</v>
      </c>
      <c r="V20">
        <f>+V19*60</f>
        <v>26.05263157894737</v>
      </c>
      <c r="W20">
        <f>+W19*60</f>
        <v>33.94736842105263</v>
      </c>
    </row>
    <row r="21" spans="1:23" ht="12.75">
      <c r="A21" t="s">
        <v>10</v>
      </c>
      <c r="D21">
        <f>+D18-D20</f>
        <v>212</v>
      </c>
      <c r="H21" t="s">
        <v>10</v>
      </c>
      <c r="M21">
        <f>+M18-M20</f>
        <v>136</v>
      </c>
      <c r="V21">
        <f>+V20-INT(V20)</f>
        <v>0.05263157894736992</v>
      </c>
      <c r="W21">
        <f>+W20-INT(W20)</f>
        <v>0.9473684210526301</v>
      </c>
    </row>
    <row r="22" spans="1:23" ht="12.75">
      <c r="A22" t="s">
        <v>11</v>
      </c>
      <c r="D22" s="7">
        <f>+D21/(D15+D19)</f>
        <v>7.310344827586207</v>
      </c>
      <c r="H22" t="s">
        <v>11</v>
      </c>
      <c r="M22" s="7">
        <f>+M21/(M15+M19)</f>
        <v>4.533333333333333</v>
      </c>
      <c r="V22">
        <f>+V21*60</f>
        <v>3.157894736842195</v>
      </c>
      <c r="W22">
        <f>+W21*60</f>
        <v>56.842105263157805</v>
      </c>
    </row>
    <row r="23" spans="1:23" ht="12.75">
      <c r="A23" t="s">
        <v>12</v>
      </c>
      <c r="D23" s="7">
        <f>+D18/D16</f>
        <v>18</v>
      </c>
      <c r="H23" t="s">
        <v>12</v>
      </c>
      <c r="M23" s="7">
        <f>+M18/M16</f>
        <v>8.61111111111111</v>
      </c>
      <c r="U23">
        <v>0</v>
      </c>
      <c r="V23" s="11">
        <f>ROUND(V22,0)</f>
        <v>3</v>
      </c>
      <c r="W23">
        <f>ROUND(W22,0)</f>
        <v>57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282</v>
      </c>
      <c r="H26" t="s">
        <v>14</v>
      </c>
      <c r="M26">
        <f>+M21+M12</f>
        <v>335</v>
      </c>
      <c r="V26" s="14" t="str">
        <f>+V24&amp;V25&amp;V23</f>
        <v>26:3</v>
      </c>
      <c r="W26" s="9" t="str">
        <f>+W24&amp;W25&amp;W23</f>
        <v>33:57</v>
      </c>
    </row>
    <row r="27" spans="1:23" ht="12.75">
      <c r="A27" t="s">
        <v>15</v>
      </c>
      <c r="D27" s="7">
        <f>+D12/D26*100</f>
        <v>24.822695035460992</v>
      </c>
      <c r="H27" t="s">
        <v>15</v>
      </c>
      <c r="M27" s="7">
        <f>+M12/M26*100</f>
        <v>59.40298507462687</v>
      </c>
      <c r="V27" s="9" t="str">
        <f>IF(V23&lt;10,+V24&amp;V25&amp;$U$23&amp;V23,+V24&amp;V25&amp;V23)</f>
        <v>26:03</v>
      </c>
      <c r="W27" s="9" t="str">
        <f>IF(W23&lt;10,+W24&amp;W25&amp;$U$23&amp;W23,+W24&amp;W25&amp;W23)</f>
        <v>33:57</v>
      </c>
    </row>
    <row r="28" spans="1:13" ht="12.75">
      <c r="A28" s="1" t="s">
        <v>90</v>
      </c>
      <c r="D28" s="7">
        <f>+D21/D26*100</f>
        <v>75.177304964539</v>
      </c>
      <c r="H28" s="1" t="s">
        <v>90</v>
      </c>
      <c r="M28" s="7">
        <f>+M21/M26*100</f>
        <v>40.59701492537313</v>
      </c>
    </row>
    <row r="30" spans="1:13" ht="12.75">
      <c r="A30" t="s">
        <v>16</v>
      </c>
      <c r="D30">
        <f>+D11+D15+D19</f>
        <v>53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5.320754716981132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4</v>
      </c>
    </row>
    <row r="35" spans="1:13" ht="12.75">
      <c r="A35" t="s">
        <v>20</v>
      </c>
      <c r="D35" s="2">
        <v>0</v>
      </c>
      <c r="H35" t="s">
        <v>20</v>
      </c>
      <c r="M35" s="2">
        <v>5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2</v>
      </c>
    </row>
    <row r="39" spans="1:13" ht="12.75">
      <c r="A39" t="s">
        <v>23</v>
      </c>
      <c r="D39" s="2">
        <f>41+40+23+40+27+27</f>
        <v>198</v>
      </c>
      <c r="H39" t="s">
        <v>23</v>
      </c>
      <c r="M39" s="2">
        <f>47+58</f>
        <v>105</v>
      </c>
    </row>
    <row r="40" spans="1:13" ht="12.75">
      <c r="A40" t="s">
        <v>24</v>
      </c>
      <c r="D40" s="8">
        <f>+D39/D38</f>
        <v>33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52.5</v>
      </c>
    </row>
    <row r="42" spans="1:13" ht="12.75">
      <c r="A42" t="s">
        <v>25</v>
      </c>
      <c r="D42" s="2">
        <v>2</v>
      </c>
      <c r="H42" t="s">
        <v>25</v>
      </c>
      <c r="M42" s="2">
        <v>4</v>
      </c>
    </row>
    <row r="43" spans="1:13" ht="12.75">
      <c r="A43" t="s">
        <v>26</v>
      </c>
      <c r="D43" s="2">
        <v>0</v>
      </c>
      <c r="H43" t="s">
        <v>26</v>
      </c>
      <c r="M43" s="2">
        <f>-3+4+29</f>
        <v>30</v>
      </c>
    </row>
    <row r="44" spans="1:13" ht="12.75">
      <c r="A44" t="s">
        <v>27</v>
      </c>
      <c r="D44" s="8">
        <f>+D43/D42</f>
        <v>0</v>
      </c>
      <c r="H44" t="s">
        <v>27</v>
      </c>
      <c r="M44" s="8">
        <f>+M43/M42</f>
        <v>7.5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4</v>
      </c>
      <c r="H47" t="s">
        <v>30</v>
      </c>
      <c r="M47" s="2">
        <v>3</v>
      </c>
    </row>
    <row r="48" spans="1:13" ht="12.75">
      <c r="A48" t="s">
        <v>26</v>
      </c>
      <c r="D48" s="2">
        <f>20+16+19+13</f>
        <v>68</v>
      </c>
      <c r="H48" t="s">
        <v>26</v>
      </c>
      <c r="M48" s="2">
        <f>14+28+13</f>
        <v>55</v>
      </c>
    </row>
    <row r="49" spans="1:13" ht="12.75">
      <c r="A49" t="s">
        <v>27</v>
      </c>
      <c r="D49" s="8">
        <f>+D48/D47</f>
        <v>17</v>
      </c>
      <c r="H49" t="s">
        <v>27</v>
      </c>
      <c r="M49" s="8">
        <f>+M48/M47</f>
        <v>18.333333333333332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3</v>
      </c>
      <c r="H52" t="s">
        <v>31</v>
      </c>
      <c r="M52" s="2">
        <v>3</v>
      </c>
    </row>
    <row r="53" spans="1:13" ht="12.75">
      <c r="A53" t="s">
        <v>32</v>
      </c>
      <c r="D53" s="2">
        <v>35</v>
      </c>
      <c r="H53" t="s">
        <v>32</v>
      </c>
      <c r="M53" s="2">
        <v>25</v>
      </c>
    </row>
    <row r="55" spans="1:13" ht="12.75">
      <c r="A55" t="s">
        <v>33</v>
      </c>
      <c r="D55" s="2">
        <v>2</v>
      </c>
      <c r="H55" t="s">
        <v>33</v>
      </c>
      <c r="M55" s="2">
        <v>2</v>
      </c>
    </row>
    <row r="56" spans="1:13" ht="12.75">
      <c r="A56" t="s">
        <v>34</v>
      </c>
      <c r="D56" s="2">
        <v>1</v>
      </c>
      <c r="H56" t="s">
        <v>34</v>
      </c>
      <c r="M56" s="2">
        <v>1</v>
      </c>
    </row>
    <row r="57" spans="1:13" ht="12.75">
      <c r="A57" t="s">
        <v>35</v>
      </c>
      <c r="D57" s="2">
        <v>1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1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13</v>
      </c>
      <c r="H61" t="s">
        <v>38</v>
      </c>
      <c r="M61" s="2">
        <v>20</v>
      </c>
    </row>
    <row r="62" spans="1:13" ht="12.75">
      <c r="A62" t="s">
        <v>39</v>
      </c>
      <c r="D62" s="2">
        <v>2</v>
      </c>
      <c r="H62" t="s">
        <v>39</v>
      </c>
      <c r="M62" s="2">
        <v>2</v>
      </c>
    </row>
    <row r="63" spans="1:13" ht="12.75">
      <c r="A63" t="s">
        <v>40</v>
      </c>
      <c r="D63" s="2">
        <v>0</v>
      </c>
      <c r="H63" t="s">
        <v>40</v>
      </c>
      <c r="M63" s="2">
        <v>1</v>
      </c>
    </row>
    <row r="64" spans="1:13" ht="12.75">
      <c r="A64" t="s">
        <v>41</v>
      </c>
      <c r="D64" s="2">
        <v>1</v>
      </c>
      <c r="H64" t="s">
        <v>41</v>
      </c>
      <c r="M64" s="2">
        <v>1</v>
      </c>
    </row>
    <row r="65" spans="1:13" ht="12.75">
      <c r="A65" t="s">
        <v>42</v>
      </c>
      <c r="D65" s="2">
        <v>1</v>
      </c>
      <c r="H65" t="s">
        <v>42</v>
      </c>
      <c r="M65" s="2">
        <v>0</v>
      </c>
    </row>
    <row r="66" spans="1:13" ht="12.75">
      <c r="A66" t="s">
        <v>43</v>
      </c>
      <c r="D66" s="2">
        <v>1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2</v>
      </c>
    </row>
    <row r="69" spans="1:13" ht="12.75">
      <c r="A69" t="s">
        <v>46</v>
      </c>
      <c r="D69" s="2">
        <v>3</v>
      </c>
      <c r="H69" t="s">
        <v>46</v>
      </c>
      <c r="M69" s="2">
        <v>2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100</v>
      </c>
    </row>
    <row r="71" spans="1:13" ht="12.75">
      <c r="A71" t="s">
        <v>93</v>
      </c>
      <c r="D71" s="10" t="str">
        <f>IF(V23&lt;10,V27,V26)</f>
        <v>26:03</v>
      </c>
      <c r="E71" s="8"/>
      <c r="F71" s="8"/>
      <c r="H71" t="s">
        <v>93</v>
      </c>
      <c r="M71" s="10" t="str">
        <f>IF(W23&lt;10,W27,W26)</f>
        <v>33:57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12</v>
      </c>
      <c r="D75">
        <v>30</v>
      </c>
      <c r="E75" s="12">
        <f>+D75/C75</f>
        <v>2.5</v>
      </c>
      <c r="F75">
        <v>10</v>
      </c>
      <c r="H75">
        <v>1</v>
      </c>
    </row>
    <row r="76" spans="1:6" ht="12.75">
      <c r="A76" s="1" t="s">
        <v>100</v>
      </c>
      <c r="C76">
        <v>6</v>
      </c>
      <c r="D76">
        <v>8</v>
      </c>
      <c r="E76" s="12">
        <f>+D76/C76</f>
        <v>1.3333333333333333</v>
      </c>
      <c r="F76">
        <v>4</v>
      </c>
    </row>
    <row r="77" spans="1:6" ht="12.75">
      <c r="A77" s="1" t="s">
        <v>101</v>
      </c>
      <c r="C77">
        <v>3</v>
      </c>
      <c r="D77">
        <v>17</v>
      </c>
      <c r="E77" s="12">
        <f>+D77/C77</f>
        <v>5.666666666666667</v>
      </c>
      <c r="F77">
        <v>18</v>
      </c>
    </row>
    <row r="78" spans="1:6" ht="12.75">
      <c r="A78" s="1" t="s">
        <v>102</v>
      </c>
      <c r="C78">
        <v>1</v>
      </c>
      <c r="D78">
        <v>4</v>
      </c>
      <c r="E78" s="12">
        <f aca="true" t="shared" si="0" ref="E78:E84">+D78/C78</f>
        <v>4</v>
      </c>
      <c r="F78">
        <v>4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6" ht="12.75">
      <c r="A82" s="1" t="s">
        <v>106</v>
      </c>
      <c r="C82">
        <v>2</v>
      </c>
      <c r="D82">
        <v>11</v>
      </c>
      <c r="E82" s="12">
        <f t="shared" si="0"/>
        <v>5.5</v>
      </c>
      <c r="F82">
        <v>7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7" ht="12.75">
      <c r="A89" s="1" t="s">
        <v>107</v>
      </c>
      <c r="C89">
        <v>7</v>
      </c>
      <c r="D89">
        <v>141</v>
      </c>
      <c r="E89" s="12">
        <f aca="true" t="shared" si="1" ref="E89:E100">+D89/C89</f>
        <v>20.142857142857142</v>
      </c>
      <c r="F89">
        <v>49</v>
      </c>
      <c r="G89">
        <v>1</v>
      </c>
    </row>
    <row r="90" spans="1:5" ht="12.75">
      <c r="A90" s="1" t="s">
        <v>109</v>
      </c>
      <c r="E90" s="12" t="e">
        <f t="shared" si="1"/>
        <v>#DIV/0!</v>
      </c>
    </row>
    <row r="91" spans="1:6" ht="12.75">
      <c r="A91" s="1" t="s">
        <v>108</v>
      </c>
      <c r="C91">
        <v>3</v>
      </c>
      <c r="D91">
        <v>74</v>
      </c>
      <c r="E91" s="12">
        <f t="shared" si="1"/>
        <v>24.666666666666668</v>
      </c>
      <c r="F91">
        <v>39</v>
      </c>
    </row>
    <row r="92" spans="1:6" ht="12.75">
      <c r="A92" s="1" t="s">
        <v>99</v>
      </c>
      <c r="C92">
        <v>2</v>
      </c>
      <c r="D92">
        <v>44</v>
      </c>
      <c r="E92" s="12">
        <f t="shared" si="1"/>
        <v>22</v>
      </c>
      <c r="F92">
        <v>36</v>
      </c>
    </row>
    <row r="93" spans="1:5" ht="12.75">
      <c r="A93" s="1" t="s">
        <v>110</v>
      </c>
      <c r="E93" s="12" t="e">
        <f t="shared" si="1"/>
        <v>#DIV/0!</v>
      </c>
    </row>
    <row r="94" spans="1:6" ht="12.75">
      <c r="A94" s="1" t="s">
        <v>100</v>
      </c>
      <c r="C94">
        <v>2</v>
      </c>
      <c r="D94">
        <v>-7</v>
      </c>
      <c r="E94" s="12">
        <f t="shared" si="1"/>
        <v>-3.5</v>
      </c>
      <c r="F94">
        <v>-3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25</v>
      </c>
      <c r="D106">
        <v>14</v>
      </c>
      <c r="E106" s="12">
        <f>+D106/C106*100</f>
        <v>56.00000000000001</v>
      </c>
      <c r="F106">
        <v>252</v>
      </c>
      <c r="G106">
        <v>1</v>
      </c>
      <c r="H106">
        <v>49</v>
      </c>
      <c r="I106">
        <v>0</v>
      </c>
      <c r="J106" s="8">
        <f>+G106/C106*100</f>
        <v>4</v>
      </c>
      <c r="K106" s="12">
        <f>+I106/C106*100</f>
        <v>0</v>
      </c>
      <c r="L106" s="12">
        <f>+F106/C106</f>
        <v>10.08</v>
      </c>
      <c r="M106" s="12">
        <f>100*(S106+U106+W106+Y106)/6</f>
        <v>104.08333333333333</v>
      </c>
      <c r="N106">
        <v>0</v>
      </c>
      <c r="R106">
        <f>+(E106-30)/20</f>
        <v>1.3000000000000003</v>
      </c>
      <c r="S106" s="2">
        <f>IF(R106&lt;0,0,R106)</f>
        <v>1.3000000000000003</v>
      </c>
      <c r="T106" s="6">
        <f>+(L106-3)/4</f>
        <v>1.77</v>
      </c>
      <c r="U106" s="2">
        <f>IF(T106&lt;0,0,T106)</f>
        <v>1.77</v>
      </c>
      <c r="V106">
        <f>+J106/5</f>
        <v>0.8</v>
      </c>
      <c r="W106" s="2">
        <f>IF(V106&lt;0,0,V106)</f>
        <v>0.8</v>
      </c>
      <c r="X106">
        <f>(9.5-K106)/4</f>
        <v>2.375</v>
      </c>
      <c r="Y106" s="2">
        <f>IF(X106&lt;0,0,X106)</f>
        <v>2.375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.75">
      <c r="A113" s="1" t="s">
        <v>112</v>
      </c>
      <c r="C113">
        <v>1</v>
      </c>
      <c r="F113" s="12">
        <f aca="true" t="shared" si="2" ref="F113:F118">+E113/C113</f>
        <v>0</v>
      </c>
    </row>
    <row r="114" spans="1:6" ht="12.75">
      <c r="A114" s="1" t="s">
        <v>123</v>
      </c>
      <c r="C114">
        <v>1</v>
      </c>
      <c r="F114" s="12">
        <f t="shared" si="2"/>
        <v>0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.75">
      <c r="A123" s="1" t="s">
        <v>115</v>
      </c>
      <c r="E123" s="12" t="e">
        <f aca="true" t="shared" si="3" ref="E123:E128">+D123/C123</f>
        <v>#DIV/0!</v>
      </c>
    </row>
    <row r="124" spans="1:6" ht="12.75">
      <c r="A124" s="1" t="s">
        <v>101</v>
      </c>
      <c r="C124">
        <v>2</v>
      </c>
      <c r="D124">
        <v>32</v>
      </c>
      <c r="E124" s="12">
        <f t="shared" si="3"/>
        <v>16</v>
      </c>
      <c r="F124">
        <v>19</v>
      </c>
    </row>
    <row r="125" spans="1:6" ht="12.75">
      <c r="A125" s="1" t="s">
        <v>112</v>
      </c>
      <c r="C125">
        <v>1</v>
      </c>
      <c r="D125">
        <v>20</v>
      </c>
      <c r="E125" s="12">
        <f t="shared" si="3"/>
        <v>20</v>
      </c>
      <c r="F125">
        <v>20</v>
      </c>
    </row>
    <row r="126" spans="1:5" ht="12.75">
      <c r="A126" s="1" t="s">
        <v>116</v>
      </c>
      <c r="E126" s="12" t="e">
        <f t="shared" si="3"/>
        <v>#DIV/0!</v>
      </c>
    </row>
    <row r="127" spans="1:6" ht="12.75">
      <c r="A127" s="1" t="s">
        <v>100</v>
      </c>
      <c r="C127">
        <v>1</v>
      </c>
      <c r="D127">
        <v>16</v>
      </c>
      <c r="E127" s="12">
        <f t="shared" si="3"/>
        <v>16</v>
      </c>
      <c r="F127">
        <v>16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6</v>
      </c>
      <c r="D133">
        <f>41+40+23+40+27+27</f>
        <v>198</v>
      </c>
      <c r="E133" s="12">
        <f>+D133/C133</f>
        <v>33</v>
      </c>
      <c r="F133">
        <v>41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9" ht="12.75">
      <c r="A138" s="1" t="s">
        <v>119</v>
      </c>
      <c r="C138">
        <v>3</v>
      </c>
      <c r="E138">
        <v>2</v>
      </c>
      <c r="F138">
        <v>1</v>
      </c>
      <c r="G138">
        <v>3</v>
      </c>
      <c r="I138" s="12">
        <f>+H138/G138*100</f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C141">
        <v>1</v>
      </c>
      <c r="E141" s="12">
        <f>+D141/C141</f>
        <v>0</v>
      </c>
    </row>
    <row r="142" spans="1:6" ht="12.75">
      <c r="A142" s="1" t="s">
        <v>120</v>
      </c>
      <c r="C142">
        <v>1</v>
      </c>
      <c r="D142">
        <v>3</v>
      </c>
      <c r="E142" s="12">
        <f aca="true" t="shared" si="4" ref="E142:E148">+D142/C142</f>
        <v>3</v>
      </c>
      <c r="F142">
        <v>3</v>
      </c>
    </row>
    <row r="143" spans="1:5" ht="12.75">
      <c r="A143" s="1" t="s">
        <v>121</v>
      </c>
      <c r="E143" s="12" t="e">
        <f t="shared" si="4"/>
        <v>#DIV/0!</v>
      </c>
    </row>
    <row r="144" spans="1:8" ht="12.75">
      <c r="A144" s="1" t="s">
        <v>122</v>
      </c>
      <c r="C144">
        <v>1</v>
      </c>
      <c r="D144">
        <v>2</v>
      </c>
      <c r="E144" s="12">
        <f t="shared" si="4"/>
        <v>2</v>
      </c>
      <c r="F144">
        <v>2</v>
      </c>
      <c r="H144">
        <v>1</v>
      </c>
    </row>
    <row r="145" spans="1:5" ht="12.75">
      <c r="A145" s="1" t="s">
        <v>123</v>
      </c>
      <c r="C145">
        <v>1</v>
      </c>
      <c r="E145" s="12">
        <f t="shared" si="4"/>
        <v>0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spans="1:3" ht="12.75">
      <c r="A160" s="19" t="s">
        <v>134</v>
      </c>
      <c r="C160">
        <v>1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spans="1:6" ht="12.75">
      <c r="A174" s="19" t="s">
        <v>148</v>
      </c>
      <c r="C174">
        <v>1</v>
      </c>
      <c r="D174">
        <v>68</v>
      </c>
      <c r="E174">
        <v>68</v>
      </c>
      <c r="F174">
        <v>1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46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21</v>
      </c>
      <c r="H6" s="1" t="s">
        <v>29</v>
      </c>
      <c r="M6" s="2">
        <v>19</v>
      </c>
    </row>
    <row r="7" spans="1:13" ht="12.75">
      <c r="A7" s="18" t="s">
        <v>95</v>
      </c>
      <c r="D7" s="2">
        <v>5</v>
      </c>
      <c r="H7" s="18" t="s">
        <v>95</v>
      </c>
      <c r="M7" s="2">
        <v>10</v>
      </c>
    </row>
    <row r="8" spans="1:13" ht="12.75">
      <c r="A8" s="18" t="s">
        <v>96</v>
      </c>
      <c r="D8" s="2">
        <v>14</v>
      </c>
      <c r="H8" s="18" t="s">
        <v>96</v>
      </c>
      <c r="M8" s="2">
        <v>7</v>
      </c>
    </row>
    <row r="9" spans="1:13" ht="12.75">
      <c r="A9" s="18" t="s">
        <v>97</v>
      </c>
      <c r="D9" s="2">
        <v>2</v>
      </c>
      <c r="H9" s="18" t="s">
        <v>97</v>
      </c>
      <c r="M9" s="2">
        <v>2</v>
      </c>
    </row>
    <row r="11" spans="1:23" ht="12.75">
      <c r="A11" t="s">
        <v>1</v>
      </c>
      <c r="D11" s="2">
        <f>13+8+4+3+1+2+2</f>
        <v>33</v>
      </c>
      <c r="H11" t="s">
        <v>1</v>
      </c>
      <c r="M11" s="2">
        <f>11+5+5+4+1+1+2</f>
        <v>29</v>
      </c>
      <c r="V11">
        <f>+D11</f>
        <v>33</v>
      </c>
      <c r="W11">
        <f>+M11</f>
        <v>29</v>
      </c>
    </row>
    <row r="12" spans="1:23" ht="12.75">
      <c r="A12" t="s">
        <v>2</v>
      </c>
      <c r="D12" s="2">
        <f>5+21+48+17+10+8</f>
        <v>109</v>
      </c>
      <c r="H12" t="s">
        <v>2</v>
      </c>
      <c r="M12" s="2">
        <f>39+18+31+28+18-5+25</f>
        <v>154</v>
      </c>
      <c r="U12" s="13"/>
      <c r="V12">
        <f>+D16</f>
        <v>20</v>
      </c>
      <c r="W12">
        <f>+M16</f>
        <v>11</v>
      </c>
    </row>
    <row r="13" spans="1:23" ht="12.75">
      <c r="A13" s="1" t="s">
        <v>3</v>
      </c>
      <c r="D13" s="8">
        <f>+D12/D11</f>
        <v>3.303030303030303</v>
      </c>
      <c r="H13" s="1" t="s">
        <v>3</v>
      </c>
      <c r="M13" s="8">
        <f>+M12/M11</f>
        <v>5.310344827586207</v>
      </c>
      <c r="V13">
        <f>+(D15-D16)/2</f>
        <v>5.5</v>
      </c>
      <c r="W13">
        <f>+(M15-M16)/2</f>
        <v>4</v>
      </c>
    </row>
    <row r="14" spans="22:23" ht="12.75">
      <c r="V14">
        <f>+D38/2</f>
        <v>1</v>
      </c>
      <c r="W14">
        <f>+M38/2</f>
        <v>1.5</v>
      </c>
    </row>
    <row r="15" spans="1:23" ht="12.75">
      <c r="A15" t="s">
        <v>4</v>
      </c>
      <c r="D15" s="2">
        <v>31</v>
      </c>
      <c r="H15" t="s">
        <v>4</v>
      </c>
      <c r="M15" s="2">
        <v>19</v>
      </c>
      <c r="V15">
        <f>+D42/2</f>
        <v>1.5</v>
      </c>
      <c r="W15">
        <f>+M42/2</f>
        <v>0.5</v>
      </c>
    </row>
    <row r="16" spans="1:23" ht="12.75">
      <c r="A16" t="s">
        <v>5</v>
      </c>
      <c r="D16" s="2">
        <v>20</v>
      </c>
      <c r="H16" t="s">
        <v>5</v>
      </c>
      <c r="M16" s="2">
        <v>11</v>
      </c>
      <c r="V16">
        <f>+D47/2</f>
        <v>2.5</v>
      </c>
      <c r="W16">
        <f>+M47/2</f>
        <v>2.5</v>
      </c>
    </row>
    <row r="17" spans="1:13" ht="12.75">
      <c r="A17" t="s">
        <v>6</v>
      </c>
      <c r="D17" s="8">
        <f>+D16/D15*100</f>
        <v>64.51612903225806</v>
      </c>
      <c r="H17" t="s">
        <v>6</v>
      </c>
      <c r="M17" s="8">
        <f>+M16/M15*100</f>
        <v>57.89473684210527</v>
      </c>
    </row>
    <row r="18" spans="1:24" ht="12.75">
      <c r="A18" t="s">
        <v>7</v>
      </c>
      <c r="D18" s="2">
        <v>375</v>
      </c>
      <c r="H18" t="s">
        <v>7</v>
      </c>
      <c r="M18" s="2">
        <v>167</v>
      </c>
      <c r="V18">
        <f>SUM(V11:V16)</f>
        <v>63.5</v>
      </c>
      <c r="W18">
        <f>SUM(W11:W16)</f>
        <v>48.5</v>
      </c>
      <c r="X18">
        <f>+W18+V18</f>
        <v>112</v>
      </c>
    </row>
    <row r="19" spans="1:23" ht="12.75">
      <c r="A19" t="s">
        <v>8</v>
      </c>
      <c r="D19" s="2">
        <v>2</v>
      </c>
      <c r="H19" t="s">
        <v>8</v>
      </c>
      <c r="M19" s="2">
        <v>4</v>
      </c>
      <c r="V19">
        <f>+V18/X18</f>
        <v>0.5669642857142857</v>
      </c>
      <c r="W19">
        <f>+W18/X18</f>
        <v>0.4330357142857143</v>
      </c>
    </row>
    <row r="20" spans="1:23" ht="12.75">
      <c r="A20" t="s">
        <v>9</v>
      </c>
      <c r="D20" s="2">
        <v>15</v>
      </c>
      <c r="H20" t="s">
        <v>9</v>
      </c>
      <c r="M20" s="2">
        <f>2+7+11</f>
        <v>20</v>
      </c>
      <c r="V20">
        <f>+V19*60</f>
        <v>34.01785714285714</v>
      </c>
      <c r="W20">
        <f>+W19*60</f>
        <v>25.982142857142858</v>
      </c>
    </row>
    <row r="21" spans="1:23" ht="12.75">
      <c r="A21" t="s">
        <v>10</v>
      </c>
      <c r="D21">
        <f>+D18-D20</f>
        <v>360</v>
      </c>
      <c r="H21" t="s">
        <v>10</v>
      </c>
      <c r="M21">
        <f>+M18-M20</f>
        <v>147</v>
      </c>
      <c r="V21">
        <f>+V20-INT(V20)</f>
        <v>0.017857142857138797</v>
      </c>
      <c r="W21">
        <f>+W20-INT(W20)</f>
        <v>0.9821428571428577</v>
      </c>
    </row>
    <row r="22" spans="1:23" ht="12.75">
      <c r="A22" t="s">
        <v>11</v>
      </c>
      <c r="D22" s="7">
        <f>+D21/(D15+D19)</f>
        <v>10.909090909090908</v>
      </c>
      <c r="H22" t="s">
        <v>11</v>
      </c>
      <c r="M22" s="7">
        <f>+M21/(M15+M19)</f>
        <v>6.391304347826087</v>
      </c>
      <c r="V22">
        <f>+V21*60</f>
        <v>1.0714285714283278</v>
      </c>
      <c r="W22">
        <f>+W21*60</f>
        <v>58.92857142857146</v>
      </c>
    </row>
    <row r="23" spans="1:23" ht="12.75">
      <c r="A23" t="s">
        <v>12</v>
      </c>
      <c r="D23" s="7">
        <f>+D18/D16</f>
        <v>18.75</v>
      </c>
      <c r="H23" t="s">
        <v>12</v>
      </c>
      <c r="M23" s="7">
        <f>+M18/M16</f>
        <v>15.181818181818182</v>
      </c>
      <c r="U23">
        <v>0</v>
      </c>
      <c r="V23" s="11">
        <f>ROUND(V22,0)</f>
        <v>1</v>
      </c>
      <c r="W23">
        <f>ROUND(W22,0)</f>
        <v>59</v>
      </c>
    </row>
    <row r="24" spans="22:23" ht="12.75">
      <c r="V24">
        <f>INT(V20)</f>
        <v>34</v>
      </c>
      <c r="W24">
        <f>INT(W20)</f>
        <v>25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469</v>
      </c>
      <c r="H26" t="s">
        <v>14</v>
      </c>
      <c r="M26">
        <f>+M21+M12</f>
        <v>301</v>
      </c>
      <c r="V26" s="14" t="str">
        <f>+V24&amp;V25&amp;V23</f>
        <v>34:1</v>
      </c>
      <c r="W26" s="9" t="str">
        <f>+W24&amp;W25&amp;W23</f>
        <v>25:59</v>
      </c>
    </row>
    <row r="27" spans="1:23" ht="12.75">
      <c r="A27" t="s">
        <v>15</v>
      </c>
      <c r="D27" s="7">
        <f>+D12/D26*100</f>
        <v>23.240938166311302</v>
      </c>
      <c r="H27" t="s">
        <v>15</v>
      </c>
      <c r="M27" s="7">
        <f>+M12/M26*100</f>
        <v>51.162790697674424</v>
      </c>
      <c r="V27" s="9" t="str">
        <f>IF(V23&lt;10,+V24&amp;V25&amp;$U$23&amp;V23,+V24&amp;V25&amp;V23)</f>
        <v>34:01</v>
      </c>
      <c r="W27" s="9" t="str">
        <f>IF(W23&lt;10,+W24&amp;W25&amp;$U$23&amp;W23,+W24&amp;W25&amp;W23)</f>
        <v>25:59</v>
      </c>
    </row>
    <row r="28" spans="1:13" ht="12.75">
      <c r="A28" s="1" t="s">
        <v>90</v>
      </c>
      <c r="D28" s="7">
        <f>+D21/D26*100</f>
        <v>76.7590618336887</v>
      </c>
      <c r="H28" s="1" t="s">
        <v>90</v>
      </c>
      <c r="M28" s="7">
        <f>+M21/M26*100</f>
        <v>48.837209302325576</v>
      </c>
    </row>
    <row r="30" spans="1:13" ht="12.75">
      <c r="A30" t="s">
        <v>16</v>
      </c>
      <c r="D30">
        <f>+D11+D15+D19</f>
        <v>66</v>
      </c>
      <c r="H30" t="s">
        <v>16</v>
      </c>
      <c r="M30">
        <f>+M11+M15+M19</f>
        <v>52</v>
      </c>
    </row>
    <row r="31" spans="1:13" ht="12.75">
      <c r="A31" t="s">
        <v>17</v>
      </c>
      <c r="D31" s="8">
        <f>+D26/D30</f>
        <v>7.106060606060606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5.788461538461538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0</v>
      </c>
    </row>
    <row r="35" spans="1:13" ht="12.75">
      <c r="A35" t="s">
        <v>20</v>
      </c>
      <c r="D35" s="2">
        <f>56+17</f>
        <v>73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2</v>
      </c>
      <c r="H38" t="s">
        <v>22</v>
      </c>
      <c r="M38" s="2">
        <v>3</v>
      </c>
    </row>
    <row r="39" spans="1:13" ht="12.75">
      <c r="A39" t="s">
        <v>23</v>
      </c>
      <c r="D39" s="2">
        <v>66</v>
      </c>
      <c r="H39" t="s">
        <v>23</v>
      </c>
      <c r="M39" s="2">
        <f>48+40+45</f>
        <v>133</v>
      </c>
    </row>
    <row r="40" spans="1:13" ht="12.75">
      <c r="A40" t="s">
        <v>24</v>
      </c>
      <c r="D40" s="8">
        <f>+D39/D38</f>
        <v>33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44.333333333333336</v>
      </c>
    </row>
    <row r="42" spans="1:13" ht="12.75">
      <c r="A42" t="s">
        <v>25</v>
      </c>
      <c r="D42" s="2">
        <v>3</v>
      </c>
      <c r="H42" t="s">
        <v>25</v>
      </c>
      <c r="M42" s="2">
        <v>1</v>
      </c>
    </row>
    <row r="43" spans="1:13" ht="12.75">
      <c r="A43" t="s">
        <v>26</v>
      </c>
      <c r="D43" s="2">
        <v>-1</v>
      </c>
      <c r="H43" t="s">
        <v>26</v>
      </c>
      <c r="M43" s="2">
        <v>2</v>
      </c>
    </row>
    <row r="44" spans="1:13" ht="12.75">
      <c r="A44" t="s">
        <v>27</v>
      </c>
      <c r="D44" s="8">
        <f>+D43/D42</f>
        <v>-0.3333333333333333</v>
      </c>
      <c r="H44" t="s">
        <v>27</v>
      </c>
      <c r="M44" s="8">
        <f>+M43/M42</f>
        <v>2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5</v>
      </c>
      <c r="H47" t="s">
        <v>30</v>
      </c>
      <c r="M47" s="2">
        <v>5</v>
      </c>
    </row>
    <row r="48" spans="1:13" ht="12.75">
      <c r="A48" t="s">
        <v>26</v>
      </c>
      <c r="D48" s="2">
        <f>16+41+13+17+17</f>
        <v>104</v>
      </c>
      <c r="H48" t="s">
        <v>26</v>
      </c>
      <c r="M48" s="2">
        <f>56+21+35+13+45</f>
        <v>170</v>
      </c>
    </row>
    <row r="49" spans="1:13" ht="12.75">
      <c r="A49" t="s">
        <v>27</v>
      </c>
      <c r="D49" s="8">
        <f>+D48/D47</f>
        <v>20.8</v>
      </c>
      <c r="H49" t="s">
        <v>27</v>
      </c>
      <c r="M49" s="8">
        <f>+M48/M47</f>
        <v>34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7</v>
      </c>
      <c r="H52" t="s">
        <v>31</v>
      </c>
      <c r="M52" s="2">
        <v>7</v>
      </c>
    </row>
    <row r="53" spans="1:13" ht="12.75">
      <c r="A53" t="s">
        <v>32</v>
      </c>
      <c r="D53" s="2">
        <v>53</v>
      </c>
      <c r="H53" t="s">
        <v>32</v>
      </c>
      <c r="M53" s="2">
        <v>71</v>
      </c>
    </row>
    <row r="55" spans="1:13" ht="12.75">
      <c r="A55" t="s">
        <v>33</v>
      </c>
      <c r="D55" s="2">
        <v>1</v>
      </c>
      <c r="H55" t="s">
        <v>33</v>
      </c>
      <c r="M55" s="2">
        <v>3</v>
      </c>
    </row>
    <row r="56" spans="1:13" ht="12.75">
      <c r="A56" t="s">
        <v>34</v>
      </c>
      <c r="D56" s="2">
        <v>0</v>
      </c>
      <c r="H56" t="s">
        <v>34</v>
      </c>
      <c r="M56" s="2">
        <v>0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1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30</v>
      </c>
      <c r="H61" t="s">
        <v>38</v>
      </c>
      <c r="M61" s="2">
        <v>24</v>
      </c>
    </row>
    <row r="62" spans="1:13" ht="12.75">
      <c r="A62" t="s">
        <v>39</v>
      </c>
      <c r="D62" s="2">
        <v>4</v>
      </c>
      <c r="H62" t="s">
        <v>39</v>
      </c>
      <c r="M62" s="2">
        <v>3</v>
      </c>
    </row>
    <row r="63" spans="1:13" ht="12.75">
      <c r="A63" t="s">
        <v>40</v>
      </c>
      <c r="D63" s="2">
        <v>0</v>
      </c>
      <c r="H63" t="s">
        <v>40</v>
      </c>
      <c r="M63" s="2">
        <v>1</v>
      </c>
    </row>
    <row r="64" spans="1:13" ht="12.75">
      <c r="A64" t="s">
        <v>41</v>
      </c>
      <c r="D64" s="2">
        <v>4</v>
      </c>
      <c r="H64" t="s">
        <v>41</v>
      </c>
      <c r="M64" s="2">
        <v>1</v>
      </c>
    </row>
    <row r="65" spans="1:13" ht="12.75">
      <c r="A65" t="s">
        <v>42</v>
      </c>
      <c r="D65" s="2">
        <v>0</v>
      </c>
      <c r="H65" t="s">
        <v>42</v>
      </c>
      <c r="M65" s="2">
        <v>1</v>
      </c>
    </row>
    <row r="66" spans="1:13" ht="12.75">
      <c r="A66" t="s">
        <v>43</v>
      </c>
      <c r="D66" s="2">
        <v>3</v>
      </c>
      <c r="H66" t="s">
        <v>43</v>
      </c>
      <c r="M66" s="2">
        <v>3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1</v>
      </c>
      <c r="H68" t="s">
        <v>45</v>
      </c>
      <c r="M68" s="2">
        <v>1</v>
      </c>
    </row>
    <row r="69" spans="1:13" ht="12.75">
      <c r="A69" t="s">
        <v>46</v>
      </c>
      <c r="D69" s="2">
        <v>3</v>
      </c>
      <c r="H69" t="s">
        <v>46</v>
      </c>
      <c r="M69" s="2">
        <v>2</v>
      </c>
    </row>
    <row r="70" spans="1:13" ht="12.75">
      <c r="A70" t="s">
        <v>47</v>
      </c>
      <c r="D70" s="8">
        <f>+D68/D69*100</f>
        <v>33.33333333333333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.75">
      <c r="A71" t="s">
        <v>93</v>
      </c>
      <c r="D71" s="10" t="str">
        <f>IF(V23&lt;10,V27,V26)</f>
        <v>34:01</v>
      </c>
      <c r="E71" s="8"/>
      <c r="F71" s="8"/>
      <c r="H71" t="s">
        <v>93</v>
      </c>
      <c r="M71" s="10" t="str">
        <f>IF(W23&lt;10,W27,W26)</f>
        <v>25:59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.75">
      <c r="A75" s="1" t="s">
        <v>99</v>
      </c>
      <c r="C75">
        <v>13</v>
      </c>
      <c r="D75">
        <v>5</v>
      </c>
      <c r="E75" s="12">
        <f>+D75/C75</f>
        <v>0.38461538461538464</v>
      </c>
      <c r="F75">
        <v>5</v>
      </c>
    </row>
    <row r="76" spans="1:6" ht="12.75">
      <c r="A76" s="1" t="s">
        <v>100</v>
      </c>
      <c r="C76">
        <v>8</v>
      </c>
      <c r="D76">
        <v>21</v>
      </c>
      <c r="E76" s="12">
        <f>+D76/C76</f>
        <v>2.625</v>
      </c>
      <c r="F76">
        <v>13</v>
      </c>
    </row>
    <row r="77" spans="1:6" ht="12.75">
      <c r="A77" s="1" t="s">
        <v>101</v>
      </c>
      <c r="C77">
        <v>4</v>
      </c>
      <c r="D77">
        <v>48</v>
      </c>
      <c r="E77" s="12">
        <f>+D77/C77</f>
        <v>12</v>
      </c>
      <c r="F77">
        <v>19</v>
      </c>
    </row>
    <row r="78" spans="1:6" ht="12.75">
      <c r="A78" s="1" t="s">
        <v>102</v>
      </c>
      <c r="C78">
        <v>3</v>
      </c>
      <c r="D78">
        <v>17</v>
      </c>
      <c r="E78" s="12">
        <f aca="true" t="shared" si="0" ref="E78:E84">+D78/C78</f>
        <v>5.666666666666667</v>
      </c>
      <c r="F78">
        <v>8</v>
      </c>
    </row>
    <row r="79" spans="1:5" ht="12.75">
      <c r="A79" s="1" t="s">
        <v>103</v>
      </c>
      <c r="C79">
        <v>1</v>
      </c>
      <c r="E79" s="12">
        <f t="shared" si="0"/>
        <v>0</v>
      </c>
    </row>
    <row r="80" spans="1:5" ht="12.75">
      <c r="A80" s="1" t="s">
        <v>104</v>
      </c>
      <c r="E80" s="12" t="e">
        <f t="shared" si="0"/>
        <v>#DIV/0!</v>
      </c>
    </row>
    <row r="81" spans="1:6" ht="12.75">
      <c r="A81" s="1" t="s">
        <v>105</v>
      </c>
      <c r="C81">
        <v>2</v>
      </c>
      <c r="D81">
        <v>10</v>
      </c>
      <c r="E81" s="12">
        <f t="shared" si="0"/>
        <v>5</v>
      </c>
      <c r="F81">
        <v>9</v>
      </c>
    </row>
    <row r="82" spans="1:6" ht="12.75">
      <c r="A82" s="1" t="s">
        <v>106</v>
      </c>
      <c r="C82">
        <v>2</v>
      </c>
      <c r="D82">
        <v>8</v>
      </c>
      <c r="E82" s="12">
        <f t="shared" si="0"/>
        <v>4</v>
      </c>
      <c r="F82">
        <v>9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7" ht="12.75">
      <c r="A89" s="1" t="s">
        <v>107</v>
      </c>
      <c r="C89">
        <v>5</v>
      </c>
      <c r="D89">
        <v>47</v>
      </c>
      <c r="E89" s="12">
        <f aca="true" t="shared" si="1" ref="E89:E100">+D89/C89</f>
        <v>9.4</v>
      </c>
      <c r="F89">
        <v>18</v>
      </c>
      <c r="G89">
        <v>1</v>
      </c>
    </row>
    <row r="90" spans="1:7" ht="12.75">
      <c r="A90" s="1" t="s">
        <v>109</v>
      </c>
      <c r="C90">
        <v>3</v>
      </c>
      <c r="D90">
        <v>88</v>
      </c>
      <c r="E90" s="12">
        <f t="shared" si="1"/>
        <v>29.333333333333332</v>
      </c>
      <c r="F90">
        <v>65</v>
      </c>
      <c r="G90">
        <v>1</v>
      </c>
    </row>
    <row r="91" spans="1:7" ht="12.75">
      <c r="A91" s="1" t="s">
        <v>108</v>
      </c>
      <c r="C91">
        <v>4</v>
      </c>
      <c r="D91">
        <v>100</v>
      </c>
      <c r="E91" s="12">
        <f t="shared" si="1"/>
        <v>25</v>
      </c>
      <c r="F91">
        <v>45</v>
      </c>
      <c r="G91">
        <v>1</v>
      </c>
    </row>
    <row r="92" spans="1:8" ht="12.75">
      <c r="A92" s="1" t="s">
        <v>99</v>
      </c>
      <c r="C92">
        <v>1</v>
      </c>
      <c r="D92">
        <v>5</v>
      </c>
      <c r="E92" s="12">
        <f t="shared" si="1"/>
        <v>5</v>
      </c>
      <c r="F92">
        <v>5</v>
      </c>
      <c r="H92">
        <v>1</v>
      </c>
    </row>
    <row r="93" spans="1:7" ht="12.75">
      <c r="A93" s="1" t="s">
        <v>110</v>
      </c>
      <c r="C93">
        <v>6</v>
      </c>
      <c r="D93">
        <v>133</v>
      </c>
      <c r="E93" s="12">
        <f t="shared" si="1"/>
        <v>22.166666666666668</v>
      </c>
      <c r="F93">
        <v>50</v>
      </c>
      <c r="G93">
        <v>1</v>
      </c>
    </row>
    <row r="94" spans="1:6" ht="12.75">
      <c r="A94" s="1" t="s">
        <v>100</v>
      </c>
      <c r="C94">
        <v>1</v>
      </c>
      <c r="D94">
        <v>12</v>
      </c>
      <c r="E94" s="12">
        <f t="shared" si="1"/>
        <v>12</v>
      </c>
      <c r="F94">
        <v>12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31</v>
      </c>
      <c r="D106">
        <v>20</v>
      </c>
      <c r="E106" s="12">
        <f>+D106/C106*100</f>
        <v>64.51612903225806</v>
      </c>
      <c r="F106">
        <v>375</v>
      </c>
      <c r="G106">
        <v>4</v>
      </c>
      <c r="H106">
        <v>65</v>
      </c>
      <c r="I106">
        <v>2</v>
      </c>
      <c r="J106" s="8">
        <f>+G106/C106*100</f>
        <v>12.903225806451612</v>
      </c>
      <c r="K106" s="12">
        <f>+I106/C106*100</f>
        <v>6.451612903225806</v>
      </c>
      <c r="L106" s="12">
        <f>+F106/C106</f>
        <v>12.096774193548388</v>
      </c>
      <c r="M106" s="12">
        <f>100*(S106+U106+W106+Y106)/6</f>
        <v>122.3790322580645</v>
      </c>
      <c r="N106">
        <v>0</v>
      </c>
      <c r="R106">
        <f>+(E106-30)/20</f>
        <v>1.7258064516129032</v>
      </c>
      <c r="S106" s="2">
        <f>IF(R106&lt;0,0,R106)</f>
        <v>1.7258064516129032</v>
      </c>
      <c r="T106" s="6">
        <f>+(L106-3)/4</f>
        <v>2.274193548387097</v>
      </c>
      <c r="U106" s="2">
        <f>IF(T106&lt;0,0,T106)</f>
        <v>2.274193548387097</v>
      </c>
      <c r="V106">
        <f>+J106/5</f>
        <v>2.5806451612903225</v>
      </c>
      <c r="W106" s="2">
        <f>IF(V106&lt;0,0,V106)</f>
        <v>2.5806451612903225</v>
      </c>
      <c r="X106">
        <f>(9.5-K106)/4</f>
        <v>0.7620967741935485</v>
      </c>
      <c r="Y106" s="2">
        <f>IF(X106&lt;0,0,X106)</f>
        <v>0.7620967741935485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.75">
      <c r="A113" s="1" t="s">
        <v>112</v>
      </c>
      <c r="C113">
        <v>2</v>
      </c>
      <c r="F113" s="12">
        <f aca="true" t="shared" si="2" ref="F113:F118">+E113/C113</f>
        <v>0</v>
      </c>
    </row>
    <row r="114" spans="1:7" ht="12.75">
      <c r="A114" s="1" t="s">
        <v>123</v>
      </c>
      <c r="C114">
        <v>1</v>
      </c>
      <c r="E114">
        <v>-1</v>
      </c>
      <c r="F114" s="12">
        <f t="shared" si="2"/>
        <v>-1</v>
      </c>
      <c r="G114">
        <v>-1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2</v>
      </c>
      <c r="D123">
        <v>57</v>
      </c>
      <c r="E123" s="12">
        <f aca="true" t="shared" si="3" ref="E123:E128">+D123/C123</f>
        <v>28.5</v>
      </c>
      <c r="F123">
        <v>41</v>
      </c>
    </row>
    <row r="124" spans="1:6" ht="12.75">
      <c r="A124" s="1" t="s">
        <v>101</v>
      </c>
      <c r="C124">
        <v>2</v>
      </c>
      <c r="D124">
        <v>30</v>
      </c>
      <c r="E124" s="12">
        <f t="shared" si="3"/>
        <v>15</v>
      </c>
      <c r="F124">
        <v>17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6" ht="12.75">
      <c r="A127" s="1" t="s">
        <v>100</v>
      </c>
      <c r="C127">
        <v>1</v>
      </c>
      <c r="D127">
        <v>17</v>
      </c>
      <c r="E127" s="12">
        <f t="shared" si="3"/>
        <v>17</v>
      </c>
      <c r="F127">
        <v>17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2</v>
      </c>
      <c r="D133">
        <v>66</v>
      </c>
      <c r="E133" s="12">
        <f>+D133/C133</f>
        <v>33</v>
      </c>
      <c r="F133">
        <v>34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10" ht="12.75">
      <c r="A138" s="1" t="s">
        <v>119</v>
      </c>
      <c r="C138">
        <v>6</v>
      </c>
      <c r="D138">
        <v>0</v>
      </c>
      <c r="E138">
        <v>4</v>
      </c>
      <c r="F138">
        <v>3</v>
      </c>
      <c r="G138">
        <v>3</v>
      </c>
      <c r="H138">
        <v>1</v>
      </c>
      <c r="I138" s="12">
        <f>+H138/G138*100</f>
        <v>33.33333333333333</v>
      </c>
      <c r="J138">
        <v>7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spans="1:3" ht="12.75">
      <c r="A151" s="19" t="s">
        <v>125</v>
      </c>
      <c r="C151">
        <v>1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spans="1:3" ht="12.75">
      <c r="A169" s="1" t="s">
        <v>143</v>
      </c>
      <c r="C169">
        <v>1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spans="1:3" ht="12.75">
      <c r="A186" s="19" t="s">
        <v>160</v>
      </c>
      <c r="C186">
        <v>1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16</v>
      </c>
      <c r="H6" s="1" t="s">
        <v>29</v>
      </c>
      <c r="M6" s="2">
        <v>13</v>
      </c>
    </row>
    <row r="7" spans="1:13" ht="12.75">
      <c r="A7" s="18" t="s">
        <v>95</v>
      </c>
      <c r="D7" s="2">
        <v>6</v>
      </c>
      <c r="H7" s="18" t="s">
        <v>95</v>
      </c>
      <c r="M7" s="2">
        <v>4</v>
      </c>
    </row>
    <row r="8" spans="1:13" ht="12.75">
      <c r="A8" s="18" t="s">
        <v>96</v>
      </c>
      <c r="D8" s="2">
        <v>9</v>
      </c>
      <c r="H8" s="18" t="s">
        <v>96</v>
      </c>
      <c r="M8" s="2">
        <v>8</v>
      </c>
    </row>
    <row r="9" spans="1:13" ht="12.75">
      <c r="A9" s="18" t="s">
        <v>97</v>
      </c>
      <c r="D9" s="2">
        <v>1</v>
      </c>
      <c r="H9" s="18" t="s">
        <v>97</v>
      </c>
      <c r="M9" s="2">
        <v>1</v>
      </c>
    </row>
    <row r="11" spans="1:23" ht="12.75">
      <c r="A11" t="s">
        <v>1</v>
      </c>
      <c r="D11" s="2">
        <f>16+10+3+2+3</f>
        <v>34</v>
      </c>
      <c r="H11" t="s">
        <v>1</v>
      </c>
      <c r="M11" s="2">
        <f>9+9+6+1</f>
        <v>25</v>
      </c>
      <c r="V11">
        <f>+D11</f>
        <v>34</v>
      </c>
      <c r="W11">
        <f>+M11</f>
        <v>25</v>
      </c>
    </row>
    <row r="12" spans="1:23" ht="12.75">
      <c r="A12" t="s">
        <v>2</v>
      </c>
      <c r="D12" s="2">
        <f>48+11+19+11+2-1+14</f>
        <v>104</v>
      </c>
      <c r="H12" t="s">
        <v>2</v>
      </c>
      <c r="M12" s="2">
        <f>19+51+5+6+3</f>
        <v>84</v>
      </c>
      <c r="U12" s="13"/>
      <c r="V12">
        <f>+D16</f>
        <v>15</v>
      </c>
      <c r="W12">
        <f>+M16</f>
        <v>12</v>
      </c>
    </row>
    <row r="13" spans="1:23" ht="12.75">
      <c r="A13" s="1" t="s">
        <v>3</v>
      </c>
      <c r="D13" s="8">
        <f>+D12/D11</f>
        <v>3.0588235294117645</v>
      </c>
      <c r="H13" s="1" t="s">
        <v>3</v>
      </c>
      <c r="M13" s="8">
        <f>+M12/M11</f>
        <v>3.36</v>
      </c>
      <c r="V13">
        <f>+(D15-D16)/2</f>
        <v>4.5</v>
      </c>
      <c r="W13">
        <f>+(M15-M16)/2</f>
        <v>5</v>
      </c>
    </row>
    <row r="14" spans="22:23" ht="12.75">
      <c r="V14">
        <f>+D38/2</f>
        <v>3</v>
      </c>
      <c r="W14">
        <f>+M38/2</f>
        <v>2</v>
      </c>
    </row>
    <row r="15" spans="1:23" ht="12.75">
      <c r="A15" t="s">
        <v>4</v>
      </c>
      <c r="D15" s="2">
        <v>24</v>
      </c>
      <c r="H15" t="s">
        <v>4</v>
      </c>
      <c r="M15" s="2">
        <v>22</v>
      </c>
      <c r="V15">
        <f>+D42/2</f>
        <v>0.5</v>
      </c>
      <c r="W15">
        <f>+M42/2</f>
        <v>2.5</v>
      </c>
    </row>
    <row r="16" spans="1:23" ht="12.75">
      <c r="A16" t="s">
        <v>5</v>
      </c>
      <c r="D16" s="2">
        <v>15</v>
      </c>
      <c r="H16" t="s">
        <v>5</v>
      </c>
      <c r="M16" s="2">
        <v>12</v>
      </c>
      <c r="V16">
        <f>+D47/2</f>
        <v>1</v>
      </c>
      <c r="W16">
        <f>+M47/2</f>
        <v>2.5</v>
      </c>
    </row>
    <row r="17" spans="1:13" ht="12.75">
      <c r="A17" t="s">
        <v>6</v>
      </c>
      <c r="D17" s="8">
        <f>+D16/D15*100</f>
        <v>62.5</v>
      </c>
      <c r="H17" t="s">
        <v>6</v>
      </c>
      <c r="M17" s="8">
        <f>+M16/M15*100</f>
        <v>54.54545454545454</v>
      </c>
    </row>
    <row r="18" spans="1:24" ht="12.75">
      <c r="A18" t="s">
        <v>7</v>
      </c>
      <c r="D18" s="2">
        <v>176</v>
      </c>
      <c r="H18" t="s">
        <v>7</v>
      </c>
      <c r="M18" s="2">
        <v>192</v>
      </c>
      <c r="V18">
        <f>SUM(V11:V16)</f>
        <v>58</v>
      </c>
      <c r="W18">
        <f>SUM(W11:W16)</f>
        <v>49</v>
      </c>
      <c r="X18">
        <f>+W18+V18</f>
        <v>107</v>
      </c>
    </row>
    <row r="19" spans="1:23" ht="12.75">
      <c r="A19" t="s">
        <v>8</v>
      </c>
      <c r="D19" s="2">
        <v>6</v>
      </c>
      <c r="H19" t="s">
        <v>8</v>
      </c>
      <c r="M19" s="2">
        <v>9</v>
      </c>
      <c r="V19">
        <f>+V18/X18</f>
        <v>0.5420560747663551</v>
      </c>
      <c r="W19">
        <f>+W18/X18</f>
        <v>0.45794392523364486</v>
      </c>
    </row>
    <row r="20" spans="1:23" ht="12.75">
      <c r="A20" t="s">
        <v>9</v>
      </c>
      <c r="D20" s="2">
        <f>9+8+2+7+4+8</f>
        <v>38</v>
      </c>
      <c r="H20" t="s">
        <v>9</v>
      </c>
      <c r="M20" s="2">
        <f>6+3+7+4+6+5+11+10+4</f>
        <v>56</v>
      </c>
      <c r="V20">
        <f>+V19*60</f>
        <v>32.523364485981304</v>
      </c>
      <c r="W20">
        <f>+W19*60</f>
        <v>27.476635514018692</v>
      </c>
    </row>
    <row r="21" spans="1:23" ht="12.75">
      <c r="A21" t="s">
        <v>10</v>
      </c>
      <c r="D21">
        <f>+D18-D20</f>
        <v>138</v>
      </c>
      <c r="H21" t="s">
        <v>10</v>
      </c>
      <c r="M21">
        <f>+M18-M20</f>
        <v>136</v>
      </c>
      <c r="V21">
        <f>+V20-INT(V20)</f>
        <v>0.523364485981304</v>
      </c>
      <c r="W21">
        <f>+W20-INT(W20)</f>
        <v>0.4766355140186924</v>
      </c>
    </row>
    <row r="22" spans="1:23" ht="12.75">
      <c r="A22" t="s">
        <v>11</v>
      </c>
      <c r="D22" s="7">
        <f>+D21/(D15+D19)</f>
        <v>4.6</v>
      </c>
      <c r="H22" t="s">
        <v>11</v>
      </c>
      <c r="M22" s="7">
        <f>+M21/(M15+M19)</f>
        <v>4.387096774193548</v>
      </c>
      <c r="V22">
        <f>+V21*60</f>
        <v>31.40186915887824</v>
      </c>
      <c r="W22">
        <f>+W21*60</f>
        <v>28.598130841121545</v>
      </c>
    </row>
    <row r="23" spans="1:23" ht="12.75">
      <c r="A23" t="s">
        <v>12</v>
      </c>
      <c r="D23" s="7">
        <f>+D18/D16</f>
        <v>11.733333333333333</v>
      </c>
      <c r="H23" t="s">
        <v>12</v>
      </c>
      <c r="M23" s="7">
        <f>+M18/M16</f>
        <v>16</v>
      </c>
      <c r="U23">
        <v>0</v>
      </c>
      <c r="V23" s="11">
        <f>ROUND(V22,0)</f>
        <v>31</v>
      </c>
      <c r="W23">
        <f>ROUND(W22,0)</f>
        <v>29</v>
      </c>
    </row>
    <row r="24" spans="22:23" ht="12.75">
      <c r="V24">
        <f>INT(V20)</f>
        <v>32</v>
      </c>
      <c r="W24">
        <f>INT(W20)</f>
        <v>27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242</v>
      </c>
      <c r="H26" t="s">
        <v>14</v>
      </c>
      <c r="M26">
        <f>+M21+M12</f>
        <v>220</v>
      </c>
      <c r="V26" s="14" t="str">
        <f>+V24&amp;V25&amp;V23</f>
        <v>32:31</v>
      </c>
      <c r="W26" s="9" t="str">
        <f>+W24&amp;W25&amp;W23</f>
        <v>27:29</v>
      </c>
    </row>
    <row r="27" spans="1:23" ht="12.75">
      <c r="A27" t="s">
        <v>15</v>
      </c>
      <c r="D27" s="7">
        <f>+D12/D26*100</f>
        <v>42.97520661157025</v>
      </c>
      <c r="H27" t="s">
        <v>15</v>
      </c>
      <c r="M27" s="7">
        <f>+M12/M26*100</f>
        <v>38.18181818181819</v>
      </c>
      <c r="V27" s="9" t="str">
        <f>IF(V23&lt;10,+V24&amp;V25&amp;$U$23&amp;V23,+V24&amp;V25&amp;V23)</f>
        <v>32:31</v>
      </c>
      <c r="W27" s="9" t="str">
        <f>IF(W23&lt;10,+W24&amp;W25&amp;$U$23&amp;W23,+W24&amp;W25&amp;W23)</f>
        <v>27:29</v>
      </c>
    </row>
    <row r="28" spans="1:13" ht="12.75">
      <c r="A28" s="1" t="s">
        <v>90</v>
      </c>
      <c r="D28" s="7">
        <f>+D21/D26*100</f>
        <v>57.02479338842975</v>
      </c>
      <c r="H28" s="1" t="s">
        <v>90</v>
      </c>
      <c r="M28" s="7">
        <f>+M21/M26*100</f>
        <v>61.81818181818181</v>
      </c>
    </row>
    <row r="30" spans="1:13" ht="12.75">
      <c r="A30" t="s">
        <v>16</v>
      </c>
      <c r="D30">
        <f>+D11+D15+D19</f>
        <v>64</v>
      </c>
      <c r="H30" t="s">
        <v>16</v>
      </c>
      <c r="M30">
        <f>+M11+M15+M19</f>
        <v>56</v>
      </c>
    </row>
    <row r="31" spans="1:13" ht="12.75">
      <c r="A31" t="s">
        <v>17</v>
      </c>
      <c r="D31" s="8">
        <f>+D26/D30</f>
        <v>3.78125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3.9285714285714284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39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6</v>
      </c>
      <c r="H38" t="s">
        <v>22</v>
      </c>
      <c r="M38" s="2">
        <v>4</v>
      </c>
    </row>
    <row r="39" spans="1:13" ht="12.75">
      <c r="A39" t="s">
        <v>23</v>
      </c>
      <c r="D39" s="2">
        <f>40+41+45+41+41+37</f>
        <v>245</v>
      </c>
      <c r="H39" t="s">
        <v>23</v>
      </c>
      <c r="M39" s="2">
        <f>45+48+48+37</f>
        <v>178</v>
      </c>
    </row>
    <row r="40" spans="1:13" ht="12.75">
      <c r="A40" t="s">
        <v>24</v>
      </c>
      <c r="D40" s="8">
        <f>+D39/D38</f>
        <v>40.833333333333336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44.5</v>
      </c>
    </row>
    <row r="42" spans="1:13" ht="12.75">
      <c r="A42" t="s">
        <v>25</v>
      </c>
      <c r="D42" s="2">
        <v>1</v>
      </c>
      <c r="H42" t="s">
        <v>25</v>
      </c>
      <c r="M42" s="2">
        <v>5</v>
      </c>
    </row>
    <row r="43" spans="1:13" ht="12.75">
      <c r="A43" t="s">
        <v>26</v>
      </c>
      <c r="D43" s="2">
        <v>1</v>
      </c>
      <c r="H43" t="s">
        <v>26</v>
      </c>
      <c r="M43" s="2">
        <f>10+1-3-1-2</f>
        <v>5</v>
      </c>
    </row>
    <row r="44" spans="1:13" ht="12.75">
      <c r="A44" t="s">
        <v>27</v>
      </c>
      <c r="D44" s="8">
        <f>+D43/D42</f>
        <v>1</v>
      </c>
      <c r="H44" t="s">
        <v>27</v>
      </c>
      <c r="M44" s="8">
        <f>+M43/M42</f>
        <v>1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2</v>
      </c>
      <c r="H47" t="s">
        <v>30</v>
      </c>
      <c r="M47" s="2">
        <v>5</v>
      </c>
    </row>
    <row r="48" spans="1:13" ht="12.75">
      <c r="A48" t="s">
        <v>26</v>
      </c>
      <c r="D48" s="2">
        <v>58</v>
      </c>
      <c r="H48" t="s">
        <v>26</v>
      </c>
      <c r="M48" s="2">
        <f>13+11+17+17+14</f>
        <v>72</v>
      </c>
    </row>
    <row r="49" spans="1:13" ht="12.75">
      <c r="A49" t="s">
        <v>27</v>
      </c>
      <c r="D49" s="8">
        <f>+D48/D47</f>
        <v>29</v>
      </c>
      <c r="H49" t="s">
        <v>27</v>
      </c>
      <c r="M49" s="8">
        <f>+M48/M47</f>
        <v>14.4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6</v>
      </c>
      <c r="H52" t="s">
        <v>31</v>
      </c>
      <c r="M52" s="2">
        <v>3</v>
      </c>
    </row>
    <row r="53" spans="1:13" ht="12.75">
      <c r="A53" t="s">
        <v>32</v>
      </c>
      <c r="D53" s="2">
        <v>60</v>
      </c>
      <c r="H53" t="s">
        <v>32</v>
      </c>
      <c r="M53" s="2">
        <v>15</v>
      </c>
    </row>
    <row r="55" spans="1:13" ht="12.75">
      <c r="A55" t="s">
        <v>33</v>
      </c>
      <c r="D55" s="2">
        <v>4</v>
      </c>
      <c r="H55" t="s">
        <v>33</v>
      </c>
      <c r="M55" s="2">
        <v>3</v>
      </c>
    </row>
    <row r="56" spans="1:13" ht="12.75">
      <c r="A56" t="s">
        <v>34</v>
      </c>
      <c r="D56" s="2">
        <v>3</v>
      </c>
      <c r="H56" t="s">
        <v>34</v>
      </c>
      <c r="M56" s="2">
        <v>1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2</v>
      </c>
      <c r="H58" t="s">
        <v>36</v>
      </c>
      <c r="M58" s="2">
        <v>1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27</v>
      </c>
      <c r="H61" t="s">
        <v>38</v>
      </c>
      <c r="M61" s="2">
        <v>13</v>
      </c>
    </row>
    <row r="62" spans="1:13" ht="12.75">
      <c r="A62" t="s">
        <v>39</v>
      </c>
      <c r="D62" s="2">
        <v>4</v>
      </c>
      <c r="H62" t="s">
        <v>39</v>
      </c>
      <c r="M62" s="2">
        <v>1</v>
      </c>
    </row>
    <row r="63" spans="1:13" ht="12.75">
      <c r="A63" t="s">
        <v>40</v>
      </c>
      <c r="D63" s="2">
        <v>2</v>
      </c>
      <c r="H63" t="s">
        <v>40</v>
      </c>
      <c r="M63" s="2">
        <v>0</v>
      </c>
    </row>
    <row r="64" spans="1:13" ht="12.75">
      <c r="A64" t="s">
        <v>41</v>
      </c>
      <c r="D64" s="2">
        <v>1</v>
      </c>
      <c r="H64" t="s">
        <v>41</v>
      </c>
      <c r="M64" s="2">
        <v>1</v>
      </c>
    </row>
    <row r="65" spans="1:13" ht="12.75">
      <c r="A65" t="s">
        <v>42</v>
      </c>
      <c r="D65" s="2">
        <v>1</v>
      </c>
      <c r="H65" t="s">
        <v>42</v>
      </c>
      <c r="M65" s="2">
        <v>0</v>
      </c>
    </row>
    <row r="66" spans="1:13" ht="12.75">
      <c r="A66" t="s">
        <v>43</v>
      </c>
      <c r="D66" s="2">
        <v>3</v>
      </c>
      <c r="H66" t="s">
        <v>43</v>
      </c>
      <c r="M66" s="2">
        <v>1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2</v>
      </c>
    </row>
    <row r="69" spans="1:13" ht="12.75">
      <c r="A69" t="s">
        <v>46</v>
      </c>
      <c r="D69" s="2">
        <v>2</v>
      </c>
      <c r="H69" t="s">
        <v>46</v>
      </c>
      <c r="M69" s="2">
        <v>3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66.66666666666666</v>
      </c>
    </row>
    <row r="71" spans="1:13" ht="12.75">
      <c r="A71" t="s">
        <v>93</v>
      </c>
      <c r="D71" s="10" t="str">
        <f>IF(V23&lt;10,V27,V26)</f>
        <v>32:31</v>
      </c>
      <c r="E71" s="8"/>
      <c r="F71" s="8"/>
      <c r="H71" t="s">
        <v>93</v>
      </c>
      <c r="M71" s="10" t="str">
        <f>IF(W23&lt;10,W27,W26)</f>
        <v>27:29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16</v>
      </c>
      <c r="D75">
        <v>48</v>
      </c>
      <c r="E75" s="12">
        <f>+D75/C75</f>
        <v>3</v>
      </c>
      <c r="F75">
        <v>12</v>
      </c>
      <c r="G75">
        <v>2</v>
      </c>
      <c r="H75">
        <v>2</v>
      </c>
    </row>
    <row r="76" spans="1:8" ht="12.75">
      <c r="A76" s="1" t="s">
        <v>100</v>
      </c>
      <c r="C76">
        <v>10</v>
      </c>
      <c r="D76">
        <v>11</v>
      </c>
      <c r="E76" s="12">
        <f>+D76/C76</f>
        <v>1.1</v>
      </c>
      <c r="F76">
        <v>14</v>
      </c>
      <c r="H76">
        <v>2</v>
      </c>
    </row>
    <row r="77" spans="1:6" ht="12.75">
      <c r="A77" s="1" t="s">
        <v>101</v>
      </c>
      <c r="C77">
        <v>3</v>
      </c>
      <c r="D77">
        <v>19</v>
      </c>
      <c r="E77" s="12">
        <f>+D77/C77</f>
        <v>6.333333333333333</v>
      </c>
      <c r="F77">
        <v>18</v>
      </c>
    </row>
    <row r="78" spans="1:6" ht="12.75">
      <c r="A78" s="1" t="s">
        <v>102</v>
      </c>
      <c r="C78">
        <v>2</v>
      </c>
      <c r="D78">
        <v>11</v>
      </c>
      <c r="E78" s="12">
        <f aca="true" t="shared" si="0" ref="E78:E84">+D78/C78</f>
        <v>5.5</v>
      </c>
      <c r="F78">
        <v>11</v>
      </c>
    </row>
    <row r="79" spans="1:6" ht="12.75">
      <c r="A79" s="1" t="s">
        <v>103</v>
      </c>
      <c r="C79">
        <v>1</v>
      </c>
      <c r="D79">
        <v>2</v>
      </c>
      <c r="E79" s="12">
        <f t="shared" si="0"/>
        <v>2</v>
      </c>
      <c r="F79">
        <v>2</v>
      </c>
    </row>
    <row r="80" spans="1:5" ht="12.75">
      <c r="A80" s="1" t="s">
        <v>104</v>
      </c>
      <c r="E80" s="12" t="e">
        <f t="shared" si="0"/>
        <v>#DIV/0!</v>
      </c>
    </row>
    <row r="81" spans="1:6" ht="12.75">
      <c r="A81" s="1" t="s">
        <v>105</v>
      </c>
      <c r="C81">
        <v>1</v>
      </c>
      <c r="D81">
        <v>-1</v>
      </c>
      <c r="E81" s="12">
        <f t="shared" si="0"/>
        <v>-1</v>
      </c>
      <c r="F81">
        <v>-1</v>
      </c>
    </row>
    <row r="82" spans="1:6" ht="12.75">
      <c r="A82" s="1" t="s">
        <v>106</v>
      </c>
      <c r="C82">
        <v>1</v>
      </c>
      <c r="D82">
        <v>14</v>
      </c>
      <c r="E82" s="12">
        <f t="shared" si="0"/>
        <v>14</v>
      </c>
      <c r="F82">
        <v>14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7" ht="12.75">
      <c r="A89" s="1" t="s">
        <v>107</v>
      </c>
      <c r="C89">
        <v>5</v>
      </c>
      <c r="D89">
        <v>50</v>
      </c>
      <c r="E89" s="12">
        <f aca="true" t="shared" si="1" ref="E89:E100">+D89/C89</f>
        <v>10</v>
      </c>
      <c r="F89">
        <v>16</v>
      </c>
      <c r="G89">
        <v>1</v>
      </c>
    </row>
    <row r="90" spans="1:6" ht="12.75">
      <c r="A90" s="1" t="s">
        <v>109</v>
      </c>
      <c r="C90">
        <v>2</v>
      </c>
      <c r="D90">
        <v>25</v>
      </c>
      <c r="E90" s="12">
        <f t="shared" si="1"/>
        <v>12.5</v>
      </c>
      <c r="F90">
        <v>23</v>
      </c>
    </row>
    <row r="91" spans="1:6" ht="12.75">
      <c r="A91" s="1" t="s">
        <v>108</v>
      </c>
      <c r="C91">
        <v>1</v>
      </c>
      <c r="D91">
        <v>36</v>
      </c>
      <c r="E91" s="12">
        <f t="shared" si="1"/>
        <v>36</v>
      </c>
      <c r="F91">
        <v>36</v>
      </c>
    </row>
    <row r="92" spans="1:6" ht="12.75">
      <c r="A92" s="1" t="s">
        <v>99</v>
      </c>
      <c r="C92">
        <v>4</v>
      </c>
      <c r="D92">
        <v>12</v>
      </c>
      <c r="E92" s="12">
        <f t="shared" si="1"/>
        <v>3</v>
      </c>
      <c r="F92">
        <v>9</v>
      </c>
    </row>
    <row r="93" spans="1:6" ht="12.75">
      <c r="A93" s="1" t="s">
        <v>110</v>
      </c>
      <c r="C93">
        <v>1</v>
      </c>
      <c r="D93">
        <v>33</v>
      </c>
      <c r="E93" s="12">
        <f t="shared" si="1"/>
        <v>33</v>
      </c>
      <c r="F93">
        <v>33</v>
      </c>
    </row>
    <row r="94" spans="1:5" ht="12.75">
      <c r="A94" s="1" t="s">
        <v>100</v>
      </c>
      <c r="E94" s="12" t="e">
        <f t="shared" si="1"/>
        <v>#DIV/0!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6" ht="12.75">
      <c r="A97" s="1" t="s">
        <v>101</v>
      </c>
      <c r="C97">
        <v>2</v>
      </c>
      <c r="D97">
        <v>20</v>
      </c>
      <c r="E97" s="12">
        <f t="shared" si="1"/>
        <v>10</v>
      </c>
      <c r="F97">
        <v>11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24</v>
      </c>
      <c r="D106">
        <v>15</v>
      </c>
      <c r="E106" s="12">
        <f>+D106/C106*100</f>
        <v>62.5</v>
      </c>
      <c r="F106">
        <v>176</v>
      </c>
      <c r="G106">
        <v>1</v>
      </c>
      <c r="H106">
        <v>36</v>
      </c>
      <c r="I106">
        <v>0</v>
      </c>
      <c r="J106" s="8">
        <f>+G106/C106*100</f>
        <v>4.166666666666666</v>
      </c>
      <c r="K106" s="12">
        <f>+I106/C106*100</f>
        <v>0</v>
      </c>
      <c r="L106" s="12">
        <f>+F106/C106</f>
        <v>7.333333333333333</v>
      </c>
      <c r="M106" s="12">
        <f>100*(S106+U106+W106+Y106)/6</f>
        <v>98.6111111111111</v>
      </c>
      <c r="N106">
        <v>0</v>
      </c>
      <c r="R106">
        <f>+(E106-30)/20</f>
        <v>1.625</v>
      </c>
      <c r="S106" s="2">
        <f>IF(R106&lt;0,0,R106)</f>
        <v>1.625</v>
      </c>
      <c r="T106" s="6">
        <f>+(L106-3)/4</f>
        <v>1.0833333333333333</v>
      </c>
      <c r="U106" s="2">
        <f>IF(T106&lt;0,0,T106)</f>
        <v>1.0833333333333333</v>
      </c>
      <c r="V106">
        <f>+J106/5</f>
        <v>0.8333333333333333</v>
      </c>
      <c r="W106" s="2">
        <f>IF(V106&lt;0,0,V106)</f>
        <v>0.8333333333333333</v>
      </c>
      <c r="X106">
        <f>(9.5-K106)/4</f>
        <v>2.375</v>
      </c>
      <c r="Y106" s="2">
        <f>IF(X106&lt;0,0,X106)</f>
        <v>2.375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.75">
      <c r="A113" s="1" t="s">
        <v>112</v>
      </c>
      <c r="C113">
        <v>1</v>
      </c>
      <c r="E113">
        <v>1</v>
      </c>
      <c r="F113" s="12">
        <f aca="true" t="shared" si="2" ref="F113:F118">+E113/C113</f>
        <v>1</v>
      </c>
      <c r="G113">
        <v>1</v>
      </c>
    </row>
    <row r="114" spans="1:6" ht="12.75">
      <c r="A114" s="1" t="s">
        <v>123</v>
      </c>
      <c r="D114">
        <v>2</v>
      </c>
      <c r="F114" s="12" t="e">
        <f t="shared" si="2"/>
        <v>#DIV/0!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1</v>
      </c>
      <c r="D123">
        <v>39</v>
      </c>
      <c r="E123" s="12">
        <f aca="true" t="shared" si="3" ref="E123:E128">+D123/C123</f>
        <v>39</v>
      </c>
      <c r="F123">
        <v>39</v>
      </c>
    </row>
    <row r="124" spans="1:6" ht="12.75">
      <c r="A124" s="1" t="s">
        <v>101</v>
      </c>
      <c r="C124">
        <v>1</v>
      </c>
      <c r="D124">
        <v>19</v>
      </c>
      <c r="E124" s="12">
        <f t="shared" si="3"/>
        <v>19</v>
      </c>
      <c r="F124">
        <v>19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6</v>
      </c>
      <c r="D133">
        <f>40+41+45+41+41+37</f>
        <v>245</v>
      </c>
      <c r="E133" s="12">
        <f>+D133/C133</f>
        <v>40.833333333333336</v>
      </c>
      <c r="F133">
        <v>45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C137">
        <v>1</v>
      </c>
      <c r="I137" s="12" t="e">
        <f>+H137/G137*100</f>
        <v>#DIV/0!</v>
      </c>
    </row>
    <row r="138" spans="1:10" ht="12.75">
      <c r="A138" s="1" t="s">
        <v>119</v>
      </c>
      <c r="C138">
        <v>4</v>
      </c>
      <c r="D138">
        <v>0</v>
      </c>
      <c r="E138">
        <v>4</v>
      </c>
      <c r="F138">
        <v>3</v>
      </c>
      <c r="G138">
        <v>2</v>
      </c>
      <c r="H138">
        <v>0</v>
      </c>
      <c r="I138" s="12">
        <f>+H138/G138*100</f>
        <v>0</v>
      </c>
      <c r="J138"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7" ht="12.75">
      <c r="A141" s="1" t="s">
        <v>114</v>
      </c>
      <c r="C141">
        <v>2</v>
      </c>
      <c r="D141">
        <v>39</v>
      </c>
      <c r="E141" s="12">
        <f>+D141/C141</f>
        <v>19.5</v>
      </c>
      <c r="F141">
        <v>20</v>
      </c>
      <c r="G141">
        <v>1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spans="1:3" ht="12.75">
      <c r="A151" s="19" t="s">
        <v>125</v>
      </c>
      <c r="C151">
        <v>1</v>
      </c>
    </row>
    <row r="152" ht="12.75">
      <c r="A152" s="19" t="s">
        <v>126</v>
      </c>
    </row>
    <row r="153" spans="1:3" ht="12.75">
      <c r="A153" s="19" t="s">
        <v>127</v>
      </c>
      <c r="C153">
        <v>1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spans="1:3" ht="12.75">
      <c r="A167" s="19" t="s">
        <v>141</v>
      </c>
      <c r="C167">
        <v>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spans="1:3" ht="12.75">
      <c r="A182" s="19" t="s">
        <v>156</v>
      </c>
      <c r="C182">
        <v>1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spans="1:3" ht="12.75">
      <c r="A187" s="19" t="s">
        <v>161</v>
      </c>
      <c r="C187">
        <v>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">
      <selection activeCell="F68" sqref="F68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16</v>
      </c>
      <c r="H6" s="1" t="s">
        <v>29</v>
      </c>
      <c r="M6" s="2">
        <v>8</v>
      </c>
    </row>
    <row r="7" spans="1:13" ht="12.75">
      <c r="A7" s="18" t="s">
        <v>95</v>
      </c>
      <c r="D7" s="2">
        <v>7</v>
      </c>
      <c r="H7" s="18" t="s">
        <v>95</v>
      </c>
      <c r="M7" s="2">
        <v>3</v>
      </c>
    </row>
    <row r="8" spans="1:13" ht="12.75">
      <c r="A8" s="18" t="s">
        <v>96</v>
      </c>
      <c r="D8" s="2">
        <v>9</v>
      </c>
      <c r="H8" s="18" t="s">
        <v>96</v>
      </c>
      <c r="M8" s="2">
        <v>5</v>
      </c>
    </row>
    <row r="9" spans="1:13" ht="12.75">
      <c r="A9" s="18" t="s">
        <v>97</v>
      </c>
      <c r="D9" s="2">
        <v>0</v>
      </c>
      <c r="H9" s="18" t="s">
        <v>97</v>
      </c>
      <c r="M9" s="2">
        <v>0</v>
      </c>
    </row>
    <row r="11" spans="1:23" ht="12.75">
      <c r="A11" t="s">
        <v>1</v>
      </c>
      <c r="D11" s="2">
        <f>16+9+4+2+2+1+3</f>
        <v>37</v>
      </c>
      <c r="H11" t="s">
        <v>1</v>
      </c>
      <c r="M11" s="2">
        <f>11+9+4+1</f>
        <v>25</v>
      </c>
      <c r="V11">
        <f>+D11</f>
        <v>37</v>
      </c>
      <c r="W11">
        <f>+M11</f>
        <v>25</v>
      </c>
    </row>
    <row r="12" spans="1:23" ht="12.75">
      <c r="A12" t="s">
        <v>2</v>
      </c>
      <c r="D12" s="2">
        <f>62+28+18-1+3+17</f>
        <v>127</v>
      </c>
      <c r="H12" t="s">
        <v>2</v>
      </c>
      <c r="M12" s="2">
        <f>40+20+6-2</f>
        <v>64</v>
      </c>
      <c r="U12" s="13"/>
      <c r="V12">
        <f>+D16</f>
        <v>14</v>
      </c>
      <c r="W12">
        <f>+M16</f>
        <v>12</v>
      </c>
    </row>
    <row r="13" spans="1:23" ht="12.75">
      <c r="A13" s="1" t="s">
        <v>3</v>
      </c>
      <c r="D13" s="8">
        <f>+D12/D11</f>
        <v>3.4324324324324325</v>
      </c>
      <c r="H13" s="1" t="s">
        <v>3</v>
      </c>
      <c r="M13" s="8">
        <f>+M12/M11</f>
        <v>2.56</v>
      </c>
      <c r="V13">
        <f>+(D15-D16)/2</f>
        <v>9.5</v>
      </c>
      <c r="W13">
        <f>+(M15-M16)/2</f>
        <v>8</v>
      </c>
    </row>
    <row r="14" spans="22:23" ht="12.75">
      <c r="V14">
        <f>+D38/2</f>
        <v>3</v>
      </c>
      <c r="W14">
        <f>+M38/2</f>
        <v>3.5</v>
      </c>
    </row>
    <row r="15" spans="1:23" ht="12.75">
      <c r="A15" t="s">
        <v>4</v>
      </c>
      <c r="D15" s="2">
        <v>33</v>
      </c>
      <c r="H15" t="s">
        <v>4</v>
      </c>
      <c r="M15" s="2">
        <v>28</v>
      </c>
      <c r="V15">
        <f>+D42/2</f>
        <v>2.5</v>
      </c>
      <c r="W15">
        <f>+M42/2</f>
        <v>2.5</v>
      </c>
    </row>
    <row r="16" spans="1:23" ht="12.75">
      <c r="A16" t="s">
        <v>5</v>
      </c>
      <c r="D16" s="2">
        <v>14</v>
      </c>
      <c r="H16" t="s">
        <v>5</v>
      </c>
      <c r="M16" s="2">
        <v>12</v>
      </c>
      <c r="V16">
        <f>+D47/2</f>
        <v>1</v>
      </c>
      <c r="W16">
        <f>+M47/2</f>
        <v>1.5</v>
      </c>
    </row>
    <row r="17" spans="1:13" ht="12.75">
      <c r="A17" t="s">
        <v>6</v>
      </c>
      <c r="D17" s="8">
        <f>+D16/D15*100</f>
        <v>42.42424242424242</v>
      </c>
      <c r="H17" t="s">
        <v>6</v>
      </c>
      <c r="M17" s="8">
        <f>+M16/M15*100</f>
        <v>42.857142857142854</v>
      </c>
    </row>
    <row r="18" spans="1:24" ht="12.75">
      <c r="A18" t="s">
        <v>7</v>
      </c>
      <c r="D18" s="2">
        <v>208</v>
      </c>
      <c r="H18" t="s">
        <v>7</v>
      </c>
      <c r="M18" s="2">
        <v>168</v>
      </c>
      <c r="V18">
        <f>SUM(V11:V16)</f>
        <v>67</v>
      </c>
      <c r="W18">
        <f>SUM(W11:W16)</f>
        <v>52.5</v>
      </c>
      <c r="X18">
        <f>+W18+V18</f>
        <v>119.5</v>
      </c>
    </row>
    <row r="19" spans="1:23" ht="12.75">
      <c r="A19" t="s">
        <v>8</v>
      </c>
      <c r="D19" s="2">
        <v>6</v>
      </c>
      <c r="H19" t="s">
        <v>8</v>
      </c>
      <c r="M19" s="2">
        <v>0</v>
      </c>
      <c r="V19">
        <f>+V18/X18</f>
        <v>0.5606694560669456</v>
      </c>
      <c r="W19">
        <f>+W18/X18</f>
        <v>0.4393305439330544</v>
      </c>
    </row>
    <row r="20" spans="1:23" ht="12.75">
      <c r="A20" t="s">
        <v>9</v>
      </c>
      <c r="D20" s="2">
        <f>3+6+9+6+5+4</f>
        <v>33</v>
      </c>
      <c r="H20" t="s">
        <v>9</v>
      </c>
      <c r="M20" s="2">
        <v>0</v>
      </c>
      <c r="V20">
        <f>+V19*60</f>
        <v>33.64016736401674</v>
      </c>
      <c r="W20">
        <f>+W19*60</f>
        <v>26.359832635983263</v>
      </c>
    </row>
    <row r="21" spans="1:23" ht="12.75">
      <c r="A21" t="s">
        <v>10</v>
      </c>
      <c r="D21">
        <f>+D18-D20</f>
        <v>175</v>
      </c>
      <c r="H21" t="s">
        <v>10</v>
      </c>
      <c r="M21">
        <f>+M18-M20</f>
        <v>168</v>
      </c>
      <c r="V21">
        <f>+V20-INT(V20)</f>
        <v>0.6401673640167402</v>
      </c>
      <c r="W21">
        <f>+W20-INT(W20)</f>
        <v>0.3598326359832633</v>
      </c>
    </row>
    <row r="22" spans="1:23" ht="12.75">
      <c r="A22" t="s">
        <v>11</v>
      </c>
      <c r="D22" s="7">
        <f>+D21/(D15+D19)</f>
        <v>4.487179487179487</v>
      </c>
      <c r="H22" t="s">
        <v>11</v>
      </c>
      <c r="M22" s="7">
        <f>+M21/(M15+M19)</f>
        <v>6</v>
      </c>
      <c r="V22">
        <f>+V21*60</f>
        <v>38.410041841004414</v>
      </c>
      <c r="W22">
        <f>+W21*60</f>
        <v>21.5899581589958</v>
      </c>
    </row>
    <row r="23" spans="1:23" ht="12.75">
      <c r="A23" t="s">
        <v>12</v>
      </c>
      <c r="D23" s="7">
        <f>+D18/D16</f>
        <v>14.857142857142858</v>
      </c>
      <c r="H23" t="s">
        <v>12</v>
      </c>
      <c r="M23" s="7">
        <f>+M18/M16</f>
        <v>14</v>
      </c>
      <c r="U23">
        <v>0</v>
      </c>
      <c r="V23" s="11">
        <f>ROUND(V22,0)</f>
        <v>38</v>
      </c>
      <c r="W23">
        <f>ROUND(W22,0)</f>
        <v>22</v>
      </c>
    </row>
    <row r="24" spans="22:23" ht="12.75">
      <c r="V24">
        <f>INT(V20)</f>
        <v>33</v>
      </c>
      <c r="W24">
        <f>INT(W20)</f>
        <v>26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302</v>
      </c>
      <c r="H26" t="s">
        <v>14</v>
      </c>
      <c r="M26">
        <f>+M21+M12</f>
        <v>232</v>
      </c>
      <c r="V26" s="14" t="str">
        <f>+V24&amp;V25&amp;V23</f>
        <v>33:38</v>
      </c>
      <c r="W26" s="9" t="str">
        <f>+W24&amp;W25&amp;W23</f>
        <v>26:22</v>
      </c>
    </row>
    <row r="27" spans="1:23" ht="12.75">
      <c r="A27" t="s">
        <v>15</v>
      </c>
      <c r="D27" s="7">
        <f>+D12/D26*100</f>
        <v>42.05298013245033</v>
      </c>
      <c r="H27" t="s">
        <v>15</v>
      </c>
      <c r="M27" s="7">
        <f>+M12/M26*100</f>
        <v>27.586206896551722</v>
      </c>
      <c r="V27" s="9" t="str">
        <f>IF(V23&lt;10,+V24&amp;V25&amp;$U$23&amp;V23,+V24&amp;V25&amp;V23)</f>
        <v>33:38</v>
      </c>
      <c r="W27" s="9" t="str">
        <f>IF(W23&lt;10,+W24&amp;W25&amp;$U$23&amp;W23,+W24&amp;W25&amp;W23)</f>
        <v>26:22</v>
      </c>
    </row>
    <row r="28" spans="1:13" ht="12.75">
      <c r="A28" s="1" t="s">
        <v>90</v>
      </c>
      <c r="D28" s="7">
        <f>+D21/D26*100</f>
        <v>57.94701986754966</v>
      </c>
      <c r="H28" s="1" t="s">
        <v>90</v>
      </c>
      <c r="M28" s="7">
        <f>+M21/M26*100</f>
        <v>72.41379310344827</v>
      </c>
    </row>
    <row r="30" spans="1:13" ht="12.75">
      <c r="A30" t="s">
        <v>16</v>
      </c>
      <c r="D30">
        <f>+D11+D15+D19</f>
        <v>76</v>
      </c>
      <c r="H30" t="s">
        <v>16</v>
      </c>
      <c r="M30">
        <f>+M11+M15+M19</f>
        <v>53</v>
      </c>
    </row>
    <row r="31" spans="1:13" ht="12.75">
      <c r="A31" t="s">
        <v>17</v>
      </c>
      <c r="D31" s="8">
        <f>+D26/D30</f>
        <v>3.973684210526316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4.377358490566038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2</v>
      </c>
    </row>
    <row r="35" spans="1:13" ht="12.75">
      <c r="A35" t="s">
        <v>20</v>
      </c>
      <c r="D35" s="2">
        <v>25</v>
      </c>
      <c r="H35" t="s">
        <v>20</v>
      </c>
      <c r="M35" s="2">
        <v>53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7</v>
      </c>
    </row>
    <row r="39" spans="1:13" ht="12.75">
      <c r="A39" t="s">
        <v>23</v>
      </c>
      <c r="D39" s="2">
        <f>50+45+42+45+41+32</f>
        <v>255</v>
      </c>
      <c r="H39" t="s">
        <v>23</v>
      </c>
      <c r="M39" s="2">
        <f>17+42+45+45+45+48+34</f>
        <v>276</v>
      </c>
    </row>
    <row r="40" spans="1:13" ht="12.75">
      <c r="A40" t="s">
        <v>24</v>
      </c>
      <c r="D40" s="8">
        <f>+D39/D38</f>
        <v>42.5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39.42857142857143</v>
      </c>
    </row>
    <row r="42" spans="1:13" ht="12.75">
      <c r="A42" t="s">
        <v>25</v>
      </c>
      <c r="D42" s="2">
        <v>5</v>
      </c>
      <c r="H42" t="s">
        <v>25</v>
      </c>
      <c r="M42" s="2">
        <v>5</v>
      </c>
    </row>
    <row r="43" spans="1:13" ht="12.75">
      <c r="A43" t="s">
        <v>26</v>
      </c>
      <c r="D43" s="2">
        <f>62+11</f>
        <v>73</v>
      </c>
      <c r="H43" t="s">
        <v>26</v>
      </c>
      <c r="M43" s="2">
        <f>38-1+24+54+5</f>
        <v>120</v>
      </c>
    </row>
    <row r="44" spans="1:13" ht="12.75">
      <c r="A44" t="s">
        <v>27</v>
      </c>
      <c r="D44" s="8">
        <f>+D43/D42</f>
        <v>14.6</v>
      </c>
      <c r="H44" t="s">
        <v>27</v>
      </c>
      <c r="M44" s="8">
        <f>+M43/M42</f>
        <v>24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2</v>
      </c>
      <c r="H47" t="s">
        <v>30</v>
      </c>
      <c r="M47" s="2">
        <v>3</v>
      </c>
    </row>
    <row r="48" spans="1:13" ht="12.75">
      <c r="A48" t="s">
        <v>26</v>
      </c>
      <c r="D48" s="2">
        <v>28</v>
      </c>
      <c r="H48" t="s">
        <v>26</v>
      </c>
      <c r="M48" s="2">
        <f>13+18+27</f>
        <v>58</v>
      </c>
    </row>
    <row r="49" spans="1:13" ht="12.75">
      <c r="A49" t="s">
        <v>27</v>
      </c>
      <c r="D49" s="8">
        <f>+D48/D47</f>
        <v>14</v>
      </c>
      <c r="H49" t="s">
        <v>27</v>
      </c>
      <c r="M49" s="8">
        <f>+M48/M47</f>
        <v>19.333333333333332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0</v>
      </c>
      <c r="H52" t="s">
        <v>31</v>
      </c>
      <c r="M52" s="2">
        <v>2</v>
      </c>
    </row>
    <row r="53" spans="1:13" ht="12.75">
      <c r="A53" t="s">
        <v>32</v>
      </c>
      <c r="D53" s="2">
        <v>0</v>
      </c>
      <c r="H53" t="s">
        <v>32</v>
      </c>
      <c r="M53" s="2">
        <v>10</v>
      </c>
    </row>
    <row r="55" spans="1:13" ht="12.75">
      <c r="A55" t="s">
        <v>33</v>
      </c>
      <c r="D55" s="2">
        <v>4</v>
      </c>
      <c r="H55" t="s">
        <v>33</v>
      </c>
      <c r="M55" s="2">
        <v>3</v>
      </c>
    </row>
    <row r="56" spans="1:13" ht="12.75">
      <c r="A56" t="s">
        <v>34</v>
      </c>
      <c r="D56" s="2">
        <v>3</v>
      </c>
      <c r="H56" t="s">
        <v>34</v>
      </c>
      <c r="M56" s="2">
        <v>2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14</v>
      </c>
      <c r="H61" t="s">
        <v>38</v>
      </c>
      <c r="M61" s="2">
        <v>14</v>
      </c>
    </row>
    <row r="62" spans="1:13" ht="12.75">
      <c r="A62" t="s">
        <v>39</v>
      </c>
      <c r="D62" s="2">
        <v>2</v>
      </c>
      <c r="H62" t="s">
        <v>39</v>
      </c>
      <c r="M62" s="2">
        <v>2</v>
      </c>
    </row>
    <row r="63" spans="1:13" ht="12.75">
      <c r="A63" t="s">
        <v>40</v>
      </c>
      <c r="D63" s="2">
        <v>0</v>
      </c>
      <c r="H63" t="s">
        <v>40</v>
      </c>
      <c r="M63" s="2">
        <v>0</v>
      </c>
    </row>
    <row r="64" spans="1:13" ht="12.75">
      <c r="A64" t="s">
        <v>41</v>
      </c>
      <c r="D64" s="2">
        <v>2</v>
      </c>
      <c r="H64" t="s">
        <v>41</v>
      </c>
      <c r="M64" s="2">
        <v>1</v>
      </c>
    </row>
    <row r="65" spans="1:13" ht="12.75">
      <c r="A65" t="s">
        <v>42</v>
      </c>
      <c r="D65" s="2">
        <v>0</v>
      </c>
      <c r="H65" t="s">
        <v>42</v>
      </c>
      <c r="M65" s="2">
        <v>1</v>
      </c>
    </row>
    <row r="66" spans="1:13" ht="12.75">
      <c r="A66" t="s">
        <v>43</v>
      </c>
      <c r="D66" s="2">
        <v>2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0</v>
      </c>
    </row>
    <row r="69" spans="1:13" ht="12.75">
      <c r="A69" t="s">
        <v>46</v>
      </c>
      <c r="D69" s="2">
        <v>2</v>
      </c>
      <c r="H69" t="s">
        <v>46</v>
      </c>
      <c r="M69" s="2">
        <v>3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.75">
      <c r="A71" t="s">
        <v>93</v>
      </c>
      <c r="D71" s="10" t="str">
        <f>IF(V23&lt;10,V27,V26)</f>
        <v>33:38</v>
      </c>
      <c r="E71" s="8"/>
      <c r="F71" s="8"/>
      <c r="H71" t="s">
        <v>93</v>
      </c>
      <c r="M71" s="10" t="str">
        <f>IF(W23&lt;10,W27,W26)</f>
        <v>26:22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.75">
      <c r="A75" s="1" t="s">
        <v>99</v>
      </c>
      <c r="C75">
        <v>16</v>
      </c>
      <c r="D75">
        <v>62</v>
      </c>
      <c r="E75" s="12">
        <f>+D75/C75</f>
        <v>3.875</v>
      </c>
      <c r="F75">
        <v>12</v>
      </c>
    </row>
    <row r="76" spans="1:6" ht="12.75">
      <c r="A76" s="1" t="s">
        <v>100</v>
      </c>
      <c r="C76">
        <v>9</v>
      </c>
      <c r="D76">
        <v>28</v>
      </c>
      <c r="E76" s="12">
        <f>+D76/C76</f>
        <v>3.111111111111111</v>
      </c>
      <c r="F76">
        <v>26</v>
      </c>
    </row>
    <row r="77" spans="1:6" ht="12.75">
      <c r="A77" s="1" t="s">
        <v>101</v>
      </c>
      <c r="C77">
        <v>4</v>
      </c>
      <c r="E77" s="12">
        <f>+D77/C77</f>
        <v>0</v>
      </c>
      <c r="F77">
        <v>6</v>
      </c>
    </row>
    <row r="78" spans="1:6" ht="12.75">
      <c r="A78" s="1" t="s">
        <v>102</v>
      </c>
      <c r="C78">
        <v>2</v>
      </c>
      <c r="D78">
        <v>18</v>
      </c>
      <c r="E78" s="12">
        <f aca="true" t="shared" si="0" ref="E78:E84">+D78/C78</f>
        <v>9</v>
      </c>
      <c r="F78">
        <v>22</v>
      </c>
    </row>
    <row r="79" spans="1:6" ht="12.75">
      <c r="A79" s="1" t="s">
        <v>103</v>
      </c>
      <c r="C79">
        <v>1</v>
      </c>
      <c r="D79">
        <v>3</v>
      </c>
      <c r="E79" s="12">
        <f t="shared" si="0"/>
        <v>3</v>
      </c>
      <c r="F79">
        <v>3</v>
      </c>
    </row>
    <row r="80" spans="1:5" ht="12.75">
      <c r="A80" s="1" t="s">
        <v>104</v>
      </c>
      <c r="E80" s="12" t="e">
        <f t="shared" si="0"/>
        <v>#DIV/0!</v>
      </c>
    </row>
    <row r="81" spans="1:6" ht="12.75">
      <c r="A81" s="1" t="s">
        <v>105</v>
      </c>
      <c r="C81">
        <v>2</v>
      </c>
      <c r="D81">
        <v>-1</v>
      </c>
      <c r="E81" s="12">
        <f t="shared" si="0"/>
        <v>-0.5</v>
      </c>
      <c r="F81">
        <v>3</v>
      </c>
    </row>
    <row r="82" spans="1:6" ht="12.75">
      <c r="A82" s="1" t="s">
        <v>106</v>
      </c>
      <c r="C82">
        <v>3</v>
      </c>
      <c r="D82">
        <v>17</v>
      </c>
      <c r="E82" s="12">
        <f t="shared" si="0"/>
        <v>5.666666666666667</v>
      </c>
      <c r="F82">
        <v>13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.75">
      <c r="A89" s="1" t="s">
        <v>107</v>
      </c>
      <c r="E89" s="12" t="e">
        <f aca="true" t="shared" si="1" ref="E89:E100">+D89/C89</f>
        <v>#DIV/0!</v>
      </c>
    </row>
    <row r="90" spans="1:7" ht="12.75">
      <c r="A90" s="1" t="s">
        <v>109</v>
      </c>
      <c r="C90">
        <v>2</v>
      </c>
      <c r="D90">
        <v>22</v>
      </c>
      <c r="E90" s="12">
        <f t="shared" si="1"/>
        <v>11</v>
      </c>
      <c r="F90">
        <v>12</v>
      </c>
      <c r="G90">
        <v>1</v>
      </c>
    </row>
    <row r="91" spans="1:6" ht="12.75">
      <c r="A91" s="1" t="s">
        <v>108</v>
      </c>
      <c r="C91">
        <v>1</v>
      </c>
      <c r="D91">
        <v>20</v>
      </c>
      <c r="E91" s="12">
        <f t="shared" si="1"/>
        <v>20</v>
      </c>
      <c r="F91">
        <v>20</v>
      </c>
    </row>
    <row r="92" spans="1:6" ht="12.75">
      <c r="A92" s="1" t="s">
        <v>99</v>
      </c>
      <c r="C92">
        <v>5</v>
      </c>
      <c r="D92">
        <v>46</v>
      </c>
      <c r="E92" s="12">
        <f t="shared" si="1"/>
        <v>9.2</v>
      </c>
      <c r="F92">
        <v>32</v>
      </c>
    </row>
    <row r="93" spans="1:7" ht="12.75">
      <c r="A93" s="1" t="s">
        <v>110</v>
      </c>
      <c r="C93">
        <v>5</v>
      </c>
      <c r="D93">
        <v>120</v>
      </c>
      <c r="E93" s="12">
        <f t="shared" si="1"/>
        <v>24</v>
      </c>
      <c r="F93">
        <v>50</v>
      </c>
      <c r="G93">
        <v>1</v>
      </c>
    </row>
    <row r="94" spans="1:5" ht="12.75">
      <c r="A94" s="1" t="s">
        <v>100</v>
      </c>
      <c r="E94" s="12" t="e">
        <f t="shared" si="1"/>
        <v>#DIV/0!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C99">
        <v>1</v>
      </c>
      <c r="E99" s="12">
        <f t="shared" si="1"/>
        <v>0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33</v>
      </c>
      <c r="D106">
        <v>14</v>
      </c>
      <c r="E106" s="12">
        <f>+D106/C106*100</f>
        <v>42.42424242424242</v>
      </c>
      <c r="F106">
        <v>208</v>
      </c>
      <c r="G106">
        <v>2</v>
      </c>
      <c r="H106">
        <v>50</v>
      </c>
      <c r="I106">
        <v>1</v>
      </c>
      <c r="J106" s="8">
        <f>+G106/C106*100</f>
        <v>6.0606060606060606</v>
      </c>
      <c r="K106" s="12">
        <f>+I106/C106*100</f>
        <v>3.0303030303030303</v>
      </c>
      <c r="L106" s="12">
        <f>+F106/C106</f>
        <v>6.303030303030303</v>
      </c>
      <c r="M106" s="12">
        <f>100*(S106+U106+W106+Y106)/6</f>
        <v>71.27525252525253</v>
      </c>
      <c r="N106">
        <v>0</v>
      </c>
      <c r="R106">
        <f>+(E106-30)/20</f>
        <v>0.6212121212121211</v>
      </c>
      <c r="S106" s="2">
        <f>IF(R106&lt;0,0,IF(R106&gt;2.375,2.375,R106))</f>
        <v>0.6212121212121211</v>
      </c>
      <c r="T106" s="6">
        <f>+(L106-3)/4</f>
        <v>0.8257575757575757</v>
      </c>
      <c r="U106" s="2">
        <f>IF(T106&lt;0,0,IF(T106&gt;2.375,2.375,T106))</f>
        <v>0.8257575757575757</v>
      </c>
      <c r="V106">
        <f>+J106/5</f>
        <v>1.2121212121212122</v>
      </c>
      <c r="W106" s="2">
        <f>IF(V106&lt;0,0,IF(V106&gt;2.375,2.375,V106))</f>
        <v>1.2121212121212122</v>
      </c>
      <c r="X106">
        <f>(9.5-K106)/4</f>
        <v>1.6174242424242424</v>
      </c>
      <c r="Y106" s="2">
        <f>IF(X106&lt;0,0,X106)</f>
        <v>1.6174242424242424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>
        <f>+J107/5</f>
        <v>0</v>
      </c>
      <c r="W107" s="2">
        <f>IF(V107&lt;0,0,IF(V107&gt;2.375,2.375,V107))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>
        <f>+J108/5</f>
        <v>0</v>
      </c>
      <c r="W108" s="2">
        <f>IF(V108&lt;0,0,IF(V108&gt;2.375,2.375,V108))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>
        <f>+J109/5</f>
        <v>0</v>
      </c>
      <c r="W109" s="2">
        <f>IF(V109&lt;0,0,IF(V109&gt;2.375,2.375,V109))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>
        <f>+J110/5</f>
        <v>0</v>
      </c>
      <c r="W110" s="2">
        <f>IF(V110&lt;0,0,IF(V110&gt;2.375,2.375,V110))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4</v>
      </c>
      <c r="E113">
        <v>62</v>
      </c>
      <c r="F113" s="12">
        <f aca="true" t="shared" si="2" ref="F113:F118">+E113/C113</f>
        <v>15.5</v>
      </c>
      <c r="G113">
        <v>62</v>
      </c>
      <c r="I113">
        <v>1</v>
      </c>
    </row>
    <row r="114" spans="1:9" ht="12.75">
      <c r="A114" s="1" t="s">
        <v>123</v>
      </c>
      <c r="C114">
        <v>1</v>
      </c>
      <c r="E114">
        <v>11</v>
      </c>
      <c r="F114" s="12">
        <f t="shared" si="2"/>
        <v>11</v>
      </c>
      <c r="G114">
        <v>11</v>
      </c>
      <c r="I114">
        <v>1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1</v>
      </c>
      <c r="D123">
        <v>28</v>
      </c>
      <c r="E123" s="12">
        <f aca="true" t="shared" si="3" ref="E123:E128">+D123/C123</f>
        <v>28</v>
      </c>
      <c r="F123">
        <v>28</v>
      </c>
    </row>
    <row r="124" spans="1:5" ht="12.75">
      <c r="A124" s="1" t="s">
        <v>101</v>
      </c>
      <c r="E124" s="12" t="e">
        <f t="shared" si="3"/>
        <v>#DIV/0!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t="s">
        <v>170</v>
      </c>
      <c r="C130">
        <v>1</v>
      </c>
      <c r="E130" s="12">
        <f>+D130/C130</f>
        <v>0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6</v>
      </c>
      <c r="D133">
        <f>50+45+42+45+41+32</f>
        <v>255</v>
      </c>
      <c r="E133" s="12">
        <f>+D133/C133</f>
        <v>42.5</v>
      </c>
      <c r="F133">
        <v>50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9" ht="12.75">
      <c r="A138" s="1" t="s">
        <v>119</v>
      </c>
      <c r="C138">
        <v>3</v>
      </c>
      <c r="E138">
        <v>2</v>
      </c>
      <c r="F138">
        <v>2</v>
      </c>
      <c r="G138">
        <v>2</v>
      </c>
      <c r="I138" s="12">
        <f>+H138/G138*100</f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6" ht="12.75">
      <c r="A142" s="1" t="s">
        <v>120</v>
      </c>
      <c r="C142">
        <v>1</v>
      </c>
      <c r="D142">
        <v>20</v>
      </c>
      <c r="E142" s="12">
        <f aca="true" t="shared" si="4" ref="E142:E148">+D142/C142</f>
        <v>20</v>
      </c>
      <c r="F142">
        <v>20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8" ht="12.75">
      <c r="A145" s="1" t="s">
        <v>123</v>
      </c>
      <c r="C145">
        <v>1</v>
      </c>
      <c r="D145">
        <v>33</v>
      </c>
      <c r="E145" s="12">
        <f t="shared" si="4"/>
        <v>33</v>
      </c>
      <c r="F145">
        <v>33</v>
      </c>
      <c r="H145">
        <v>1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spans="1:3" ht="12.75">
      <c r="A179" s="19" t="s">
        <v>153</v>
      </c>
      <c r="C179">
        <v>1</v>
      </c>
    </row>
    <row r="180" ht="12.75">
      <c r="A180" s="19" t="s">
        <v>154</v>
      </c>
    </row>
    <row r="181" spans="1:3" ht="12.75">
      <c r="A181" s="19" t="s">
        <v>155</v>
      </c>
      <c r="C181">
        <v>1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spans="1:3" ht="12.75">
      <c r="A186" s="19" t="s">
        <v>160</v>
      </c>
      <c r="C186">
        <v>2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">
      <selection activeCell="E1" sqref="E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16</v>
      </c>
      <c r="H6" s="1" t="s">
        <v>29</v>
      </c>
      <c r="M6" s="2">
        <v>19</v>
      </c>
    </row>
    <row r="7" spans="1:13" ht="12.75">
      <c r="A7" s="18" t="s">
        <v>95</v>
      </c>
      <c r="D7" s="2">
        <v>7</v>
      </c>
      <c r="H7" s="18" t="s">
        <v>95</v>
      </c>
      <c r="M7" s="2">
        <v>8</v>
      </c>
    </row>
    <row r="8" spans="1:13" ht="12.75">
      <c r="A8" s="18" t="s">
        <v>96</v>
      </c>
      <c r="D8" s="2">
        <v>7</v>
      </c>
      <c r="H8" s="18" t="s">
        <v>96</v>
      </c>
      <c r="M8" s="2">
        <v>10</v>
      </c>
    </row>
    <row r="9" spans="1:13" ht="12.75">
      <c r="A9" s="18" t="s">
        <v>97</v>
      </c>
      <c r="D9" s="2">
        <v>2</v>
      </c>
      <c r="H9" s="18" t="s">
        <v>97</v>
      </c>
      <c r="M9" s="2">
        <v>1</v>
      </c>
    </row>
    <row r="11" spans="1:23" ht="12.75">
      <c r="A11" t="s">
        <v>1</v>
      </c>
      <c r="D11" s="2">
        <f>13+6+3+3+6+6+1</f>
        <v>38</v>
      </c>
      <c r="H11" t="s">
        <v>1</v>
      </c>
      <c r="M11" s="2">
        <f>11+4+5+1+2+1+3</f>
        <v>27</v>
      </c>
      <c r="V11">
        <f>+D11</f>
        <v>38</v>
      </c>
      <c r="W11">
        <f>+M11</f>
        <v>27</v>
      </c>
    </row>
    <row r="12" spans="1:23" ht="12.75">
      <c r="A12" t="s">
        <v>2</v>
      </c>
      <c r="D12" s="2">
        <f>18+23+17+24+25+8+1</f>
        <v>116</v>
      </c>
      <c r="H12" t="s">
        <v>2</v>
      </c>
      <c r="M12" s="2">
        <f>59+32+38+1+12-6+36</f>
        <v>172</v>
      </c>
      <c r="U12" s="13"/>
      <c r="V12">
        <f>+D16</f>
        <v>15</v>
      </c>
      <c r="W12">
        <f>+M16</f>
        <v>12</v>
      </c>
    </row>
    <row r="13" spans="1:23" ht="12.75">
      <c r="A13" s="1" t="s">
        <v>3</v>
      </c>
      <c r="D13" s="8">
        <f>+D12/D11</f>
        <v>3.0526315789473686</v>
      </c>
      <c r="H13" s="1" t="s">
        <v>3</v>
      </c>
      <c r="M13" s="8">
        <f>+M12/M11</f>
        <v>6.37037037037037</v>
      </c>
      <c r="V13">
        <f>+(D15-D16)/2</f>
        <v>3</v>
      </c>
      <c r="W13">
        <f>+(M15-M16)/2</f>
        <v>10</v>
      </c>
    </row>
    <row r="14" spans="22:23" ht="12.75">
      <c r="V14">
        <f>+D38/2</f>
        <v>3</v>
      </c>
      <c r="W14">
        <f>+M38/2</f>
        <v>2.5</v>
      </c>
    </row>
    <row r="15" spans="1:23" ht="12.75">
      <c r="A15" t="s">
        <v>4</v>
      </c>
      <c r="D15" s="2">
        <v>21</v>
      </c>
      <c r="H15" t="s">
        <v>4</v>
      </c>
      <c r="M15" s="2">
        <v>32</v>
      </c>
      <c r="V15">
        <f>+D42/2</f>
        <v>2</v>
      </c>
      <c r="W15">
        <f>+M42/2</f>
        <v>1.5</v>
      </c>
    </row>
    <row r="16" spans="1:23" ht="12.75">
      <c r="A16" t="s">
        <v>5</v>
      </c>
      <c r="D16" s="2">
        <v>15</v>
      </c>
      <c r="H16" t="s">
        <v>5</v>
      </c>
      <c r="M16" s="2">
        <v>12</v>
      </c>
      <c r="V16">
        <f>+D47/2</f>
        <v>1.5</v>
      </c>
      <c r="W16">
        <f>+M47/2</f>
        <v>2.5</v>
      </c>
    </row>
    <row r="17" spans="1:13" ht="12.75">
      <c r="A17" t="s">
        <v>6</v>
      </c>
      <c r="D17" s="8">
        <f>+D16/D15*100</f>
        <v>71.42857142857143</v>
      </c>
      <c r="H17" t="s">
        <v>6</v>
      </c>
      <c r="M17" s="8">
        <f>+M16/M15*100</f>
        <v>37.5</v>
      </c>
    </row>
    <row r="18" spans="1:24" ht="12.75">
      <c r="A18" t="s">
        <v>7</v>
      </c>
      <c r="D18" s="2">
        <v>235</v>
      </c>
      <c r="H18" t="s">
        <v>7</v>
      </c>
      <c r="M18" s="2">
        <f>202+9</f>
        <v>211</v>
      </c>
      <c r="V18">
        <f>SUM(V11:V16)</f>
        <v>62.5</v>
      </c>
      <c r="W18">
        <f>SUM(W11:W16)</f>
        <v>55.5</v>
      </c>
      <c r="X18">
        <f>+W18+V18</f>
        <v>118</v>
      </c>
    </row>
    <row r="19" spans="1:23" ht="12.75">
      <c r="A19" t="s">
        <v>8</v>
      </c>
      <c r="D19" s="2">
        <v>2</v>
      </c>
      <c r="H19" t="s">
        <v>8</v>
      </c>
      <c r="M19" s="2">
        <v>3</v>
      </c>
      <c r="V19">
        <f>+V18/X18</f>
        <v>0.5296610169491526</v>
      </c>
      <c r="W19">
        <f>+W18/X18</f>
        <v>0.4703389830508475</v>
      </c>
    </row>
    <row r="20" spans="1:23" ht="12.75">
      <c r="A20" t="s">
        <v>9</v>
      </c>
      <c r="D20" s="2">
        <v>23</v>
      </c>
      <c r="H20" t="s">
        <v>9</v>
      </c>
      <c r="M20" s="2">
        <v>23</v>
      </c>
      <c r="V20">
        <f>+V19*60</f>
        <v>31.779661016949156</v>
      </c>
      <c r="W20">
        <f>+W19*60</f>
        <v>28.220338983050848</v>
      </c>
    </row>
    <row r="21" spans="1:23" ht="12.75">
      <c r="A21" t="s">
        <v>10</v>
      </c>
      <c r="D21">
        <f>+D18-D20</f>
        <v>212</v>
      </c>
      <c r="H21" t="s">
        <v>10</v>
      </c>
      <c r="M21">
        <f>+M18-M20</f>
        <v>188</v>
      </c>
      <c r="V21">
        <f>+V20-INT(V20)</f>
        <v>0.7796610169491558</v>
      </c>
      <c r="W21">
        <f>+W20-INT(W20)</f>
        <v>0.22033898305084776</v>
      </c>
    </row>
    <row r="22" spans="1:23" ht="12.75">
      <c r="A22" t="s">
        <v>11</v>
      </c>
      <c r="D22" s="7">
        <f>+D21/(D15+D19)</f>
        <v>9.217391304347826</v>
      </c>
      <c r="H22" t="s">
        <v>11</v>
      </c>
      <c r="M22" s="7">
        <f>+M21/(M15+M19)</f>
        <v>5.371428571428571</v>
      </c>
      <c r="V22">
        <f>+V21*60</f>
        <v>46.77966101694935</v>
      </c>
      <c r="W22">
        <f>+W21*60</f>
        <v>13.220338983050866</v>
      </c>
    </row>
    <row r="23" spans="1:23" ht="12.75">
      <c r="A23" t="s">
        <v>12</v>
      </c>
      <c r="D23" s="7">
        <f>+D18/D16</f>
        <v>15.666666666666666</v>
      </c>
      <c r="H23" t="s">
        <v>12</v>
      </c>
      <c r="M23" s="7">
        <f>+M18/M16</f>
        <v>17.583333333333332</v>
      </c>
      <c r="U23">
        <v>0</v>
      </c>
      <c r="V23" s="11">
        <f>ROUND(V22,0)</f>
        <v>47</v>
      </c>
      <c r="W23">
        <f>ROUND(W22,0)</f>
        <v>13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328</v>
      </c>
      <c r="H26" t="s">
        <v>14</v>
      </c>
      <c r="M26">
        <f>+M21+M12</f>
        <v>360</v>
      </c>
      <c r="V26" s="14" t="str">
        <f>+V24&amp;V25&amp;V23</f>
        <v>31:47</v>
      </c>
      <c r="W26" s="9" t="str">
        <f>+W24&amp;W25&amp;W23</f>
        <v>28:13</v>
      </c>
    </row>
    <row r="27" spans="1:23" ht="12.75">
      <c r="A27" t="s">
        <v>15</v>
      </c>
      <c r="D27" s="7">
        <f>+D12/D26*100</f>
        <v>35.36585365853659</v>
      </c>
      <c r="H27" t="s">
        <v>15</v>
      </c>
      <c r="M27" s="7">
        <f>+M12/M26*100</f>
        <v>47.77777777777778</v>
      </c>
      <c r="V27" s="9" t="str">
        <f>IF(V23&lt;10,+V24&amp;V25&amp;$U$23&amp;V23,+V24&amp;V25&amp;V23)</f>
        <v>31:47</v>
      </c>
      <c r="W27" s="9" t="str">
        <f>IF(W23&lt;10,+W24&amp;W25&amp;$U$23&amp;W23,+W24&amp;W25&amp;W23)</f>
        <v>28:13</v>
      </c>
    </row>
    <row r="28" spans="1:13" ht="12.75">
      <c r="A28" s="1" t="s">
        <v>90</v>
      </c>
      <c r="D28" s="7">
        <f>+D21/D26*100</f>
        <v>64.63414634146342</v>
      </c>
      <c r="H28" s="1" t="s">
        <v>90</v>
      </c>
      <c r="M28" s="7">
        <f>+M21/M26*100</f>
        <v>52.22222222222223</v>
      </c>
    </row>
    <row r="30" spans="1:13" ht="12.75">
      <c r="A30" t="s">
        <v>16</v>
      </c>
      <c r="D30">
        <f>+D11+D15+D19</f>
        <v>61</v>
      </c>
      <c r="H30" t="s">
        <v>16</v>
      </c>
      <c r="M30">
        <f>+M11+M15+M19</f>
        <v>62</v>
      </c>
    </row>
    <row r="31" spans="1:13" ht="12.75">
      <c r="A31" t="s">
        <v>17</v>
      </c>
      <c r="D31" s="8">
        <f>+D26/D30</f>
        <v>5.377049180327869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5.806451612903226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51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5</v>
      </c>
    </row>
    <row r="39" spans="1:13" ht="12.75">
      <c r="A39" t="s">
        <v>23</v>
      </c>
      <c r="D39" s="2">
        <f>42+40+24+37+31+32</f>
        <v>206</v>
      </c>
      <c r="H39" t="s">
        <v>23</v>
      </c>
      <c r="M39" s="2">
        <f>44+42+29+29+42</f>
        <v>186</v>
      </c>
    </row>
    <row r="40" spans="1:13" ht="12.75">
      <c r="A40" t="s">
        <v>24</v>
      </c>
      <c r="D40" s="8">
        <f>+D39/D38</f>
        <v>34.333333333333336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37.2</v>
      </c>
    </row>
    <row r="42" spans="1:13" ht="12.75">
      <c r="A42" t="s">
        <v>25</v>
      </c>
      <c r="D42" s="2">
        <v>4</v>
      </c>
      <c r="H42" t="s">
        <v>25</v>
      </c>
      <c r="M42" s="2">
        <v>3</v>
      </c>
    </row>
    <row r="43" spans="1:13" ht="12.75">
      <c r="A43" t="s">
        <v>26</v>
      </c>
      <c r="D43" s="2">
        <f>26-3+11+15</f>
        <v>49</v>
      </c>
      <c r="H43" t="s">
        <v>26</v>
      </c>
      <c r="M43" s="2">
        <f>4+57+2</f>
        <v>63</v>
      </c>
    </row>
    <row r="44" spans="1:13" ht="12.75">
      <c r="A44" t="s">
        <v>27</v>
      </c>
      <c r="D44" s="8">
        <f>+D43/D42</f>
        <v>12.25</v>
      </c>
      <c r="H44" t="s">
        <v>27</v>
      </c>
      <c r="M44" s="8">
        <f>+M43/M42</f>
        <v>21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3</v>
      </c>
      <c r="H47" t="s">
        <v>30</v>
      </c>
      <c r="M47" s="2">
        <v>5</v>
      </c>
    </row>
    <row r="48" spans="1:13" ht="12.75">
      <c r="A48" t="s">
        <v>26</v>
      </c>
      <c r="D48" s="2">
        <f>34+27</f>
        <v>61</v>
      </c>
      <c r="H48" t="s">
        <v>26</v>
      </c>
      <c r="M48" s="2">
        <f>23+19+25+2+28</f>
        <v>97</v>
      </c>
    </row>
    <row r="49" spans="1:13" ht="12.75">
      <c r="A49" t="s">
        <v>27</v>
      </c>
      <c r="D49" s="8">
        <f>+D48/D47</f>
        <v>20.333333333333332</v>
      </c>
      <c r="H49" t="s">
        <v>27</v>
      </c>
      <c r="M49" s="8">
        <f>+M48/M47</f>
        <v>19.4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3</v>
      </c>
      <c r="H52" t="s">
        <v>31</v>
      </c>
      <c r="M52" s="2">
        <v>9</v>
      </c>
    </row>
    <row r="53" spans="1:13" ht="12.75">
      <c r="A53" t="s">
        <v>32</v>
      </c>
      <c r="D53" s="2">
        <v>25</v>
      </c>
      <c r="H53" t="s">
        <v>32</v>
      </c>
      <c r="M53" s="2">
        <v>85</v>
      </c>
    </row>
    <row r="55" spans="1:13" ht="12.75">
      <c r="A55" t="s">
        <v>33</v>
      </c>
      <c r="D55" s="2">
        <v>8</v>
      </c>
      <c r="H55" t="s">
        <v>33</v>
      </c>
      <c r="M55" s="2">
        <v>4</v>
      </c>
    </row>
    <row r="56" spans="1:13" ht="12.75">
      <c r="A56" t="s">
        <v>34</v>
      </c>
      <c r="D56" s="2">
        <v>3</v>
      </c>
      <c r="H56" t="s">
        <v>34</v>
      </c>
      <c r="M56" s="2">
        <v>0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3</v>
      </c>
      <c r="H58" t="s">
        <v>36</v>
      </c>
      <c r="M58" s="2">
        <v>3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31</v>
      </c>
      <c r="H61" t="s">
        <v>38</v>
      </c>
      <c r="M61" s="2">
        <v>21</v>
      </c>
    </row>
    <row r="62" spans="1:13" ht="12.75">
      <c r="A62" t="s">
        <v>39</v>
      </c>
      <c r="D62" s="2">
        <v>4</v>
      </c>
      <c r="H62" t="s">
        <v>39</v>
      </c>
      <c r="M62" s="2">
        <v>3</v>
      </c>
    </row>
    <row r="63" spans="1:13" ht="12.75">
      <c r="A63" t="s">
        <v>40</v>
      </c>
      <c r="D63" s="2">
        <v>1</v>
      </c>
      <c r="H63" t="s">
        <v>40</v>
      </c>
      <c r="M63" s="2">
        <v>0</v>
      </c>
    </row>
    <row r="64" spans="1:13" ht="12.75">
      <c r="A64" t="s">
        <v>41</v>
      </c>
      <c r="D64" s="2">
        <v>3</v>
      </c>
      <c r="H64" t="s">
        <v>41</v>
      </c>
      <c r="M64" s="2">
        <v>3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4</v>
      </c>
      <c r="H66" t="s">
        <v>43</v>
      </c>
      <c r="M66" s="2">
        <v>3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1</v>
      </c>
      <c r="H68" t="s">
        <v>45</v>
      </c>
      <c r="M68" s="2">
        <v>0</v>
      </c>
    </row>
    <row r="69" spans="1:13" ht="12.75">
      <c r="A69" t="s">
        <v>46</v>
      </c>
      <c r="D69" s="2">
        <v>2</v>
      </c>
      <c r="H69" t="s">
        <v>46</v>
      </c>
      <c r="M69" s="2">
        <v>2</v>
      </c>
    </row>
    <row r="70" spans="1:13" ht="12.75">
      <c r="A70" t="s">
        <v>47</v>
      </c>
      <c r="D70" s="8">
        <f>+D68/D69*100</f>
        <v>50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.75">
      <c r="A71" t="s">
        <v>93</v>
      </c>
      <c r="D71" s="10" t="str">
        <f>IF(V23&lt;10,V27,V26)</f>
        <v>31:47</v>
      </c>
      <c r="E71" s="8"/>
      <c r="F71" s="8"/>
      <c r="H71" t="s">
        <v>93</v>
      </c>
      <c r="M71" s="10" t="str">
        <f>IF(W23&lt;10,W27,W26)</f>
        <v>28:13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13</v>
      </c>
      <c r="D75">
        <v>18</v>
      </c>
      <c r="E75" s="12">
        <f>+D75/C75</f>
        <v>1.3846153846153846</v>
      </c>
      <c r="F75">
        <v>5</v>
      </c>
      <c r="H75">
        <v>2</v>
      </c>
    </row>
    <row r="76" spans="1:8" ht="12.75">
      <c r="A76" s="1" t="s">
        <v>100</v>
      </c>
      <c r="C76">
        <v>6</v>
      </c>
      <c r="D76">
        <v>23</v>
      </c>
      <c r="E76" s="12">
        <f>+D76/C76</f>
        <v>3.8333333333333335</v>
      </c>
      <c r="F76">
        <v>16</v>
      </c>
      <c r="G76">
        <v>1</v>
      </c>
      <c r="H76">
        <v>2</v>
      </c>
    </row>
    <row r="77" spans="1:6" ht="12.75">
      <c r="A77" s="1" t="s">
        <v>101</v>
      </c>
      <c r="C77">
        <v>3</v>
      </c>
      <c r="D77">
        <v>17</v>
      </c>
      <c r="E77" s="12">
        <f>+D77/C77</f>
        <v>5.666666666666667</v>
      </c>
      <c r="F77">
        <v>17</v>
      </c>
    </row>
    <row r="78" spans="1:6" ht="12.75">
      <c r="A78" s="1" t="s">
        <v>102</v>
      </c>
      <c r="C78">
        <v>3</v>
      </c>
      <c r="D78">
        <v>24</v>
      </c>
      <c r="E78" s="12">
        <f aca="true" t="shared" si="0" ref="E78:E84">+D78/C78</f>
        <v>8</v>
      </c>
      <c r="F78">
        <v>13</v>
      </c>
    </row>
    <row r="79" spans="1:6" ht="12.75">
      <c r="A79" s="1" t="s">
        <v>103</v>
      </c>
      <c r="C79">
        <v>6</v>
      </c>
      <c r="D79">
        <v>8</v>
      </c>
      <c r="E79" s="12">
        <f t="shared" si="0"/>
        <v>1.3333333333333333</v>
      </c>
      <c r="F79">
        <v>6</v>
      </c>
    </row>
    <row r="80" spans="1:5" ht="12.75">
      <c r="A80" s="1" t="s">
        <v>104</v>
      </c>
      <c r="E80" s="12" t="e">
        <f t="shared" si="0"/>
        <v>#DIV/0!</v>
      </c>
    </row>
    <row r="81" spans="1:6" ht="12.75">
      <c r="A81" s="1" t="s">
        <v>105</v>
      </c>
      <c r="C81">
        <v>6</v>
      </c>
      <c r="D81">
        <v>25</v>
      </c>
      <c r="E81" s="12">
        <f t="shared" si="0"/>
        <v>4.166666666666667</v>
      </c>
      <c r="F81">
        <v>8</v>
      </c>
    </row>
    <row r="82" spans="1:6" ht="12.75">
      <c r="A82" s="1" t="s">
        <v>106</v>
      </c>
      <c r="C82">
        <v>1</v>
      </c>
      <c r="D82">
        <v>1</v>
      </c>
      <c r="E82" s="12">
        <f t="shared" si="0"/>
        <v>1</v>
      </c>
      <c r="F82">
        <v>1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5</v>
      </c>
      <c r="D89">
        <v>55</v>
      </c>
      <c r="E89" s="12">
        <f aca="true" t="shared" si="1" ref="E89:E100">+D89/C89</f>
        <v>11</v>
      </c>
      <c r="F89">
        <v>37</v>
      </c>
      <c r="G89">
        <v>2</v>
      </c>
      <c r="H89">
        <v>1</v>
      </c>
    </row>
    <row r="90" spans="1:5" ht="12.75">
      <c r="A90" s="1" t="s">
        <v>109</v>
      </c>
      <c r="E90" s="12" t="e">
        <f t="shared" si="1"/>
        <v>#DIV/0!</v>
      </c>
    </row>
    <row r="91" spans="1:7" ht="12.75">
      <c r="A91" s="1" t="s">
        <v>108</v>
      </c>
      <c r="C91">
        <v>3</v>
      </c>
      <c r="D91">
        <v>99</v>
      </c>
      <c r="E91" s="12">
        <f t="shared" si="1"/>
        <v>33</v>
      </c>
      <c r="F91">
        <v>46</v>
      </c>
      <c r="G91">
        <v>1</v>
      </c>
    </row>
    <row r="92" spans="1:6" ht="12.75">
      <c r="A92" s="1" t="s">
        <v>99</v>
      </c>
      <c r="C92">
        <v>3</v>
      </c>
      <c r="D92">
        <v>34</v>
      </c>
      <c r="E92" s="12">
        <f t="shared" si="1"/>
        <v>11.333333333333334</v>
      </c>
      <c r="F92">
        <v>32</v>
      </c>
    </row>
    <row r="93" spans="1:6" ht="12.75">
      <c r="A93" s="1" t="s">
        <v>110</v>
      </c>
      <c r="C93">
        <v>1</v>
      </c>
      <c r="D93">
        <v>25</v>
      </c>
      <c r="E93" s="12">
        <f t="shared" si="1"/>
        <v>25</v>
      </c>
      <c r="F93">
        <v>25</v>
      </c>
    </row>
    <row r="94" spans="1:5" ht="12.75">
      <c r="A94" s="1" t="s">
        <v>100</v>
      </c>
      <c r="E94" s="12" t="e">
        <f t="shared" si="1"/>
        <v>#DIV/0!</v>
      </c>
    </row>
    <row r="95" spans="1:6" ht="12.75">
      <c r="A95" s="1" t="s">
        <v>111</v>
      </c>
      <c r="C95">
        <v>2</v>
      </c>
      <c r="D95">
        <v>20</v>
      </c>
      <c r="E95" s="12">
        <f t="shared" si="1"/>
        <v>10</v>
      </c>
      <c r="F95">
        <v>12</v>
      </c>
    </row>
    <row r="96" spans="1:6" ht="12.75">
      <c r="A96" s="1" t="s">
        <v>103</v>
      </c>
      <c r="C96">
        <v>1</v>
      </c>
      <c r="D96">
        <v>2</v>
      </c>
      <c r="E96" s="12">
        <f t="shared" si="1"/>
        <v>2</v>
      </c>
      <c r="F96">
        <v>2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20</v>
      </c>
      <c r="D106">
        <v>15</v>
      </c>
      <c r="E106" s="12">
        <f>+D106/C106*100</f>
        <v>75</v>
      </c>
      <c r="F106">
        <v>235</v>
      </c>
      <c r="G106">
        <v>3</v>
      </c>
      <c r="H106">
        <v>46</v>
      </c>
      <c r="I106">
        <v>0</v>
      </c>
      <c r="J106" s="8">
        <f>+G106/C106*100</f>
        <v>15</v>
      </c>
      <c r="K106" s="12">
        <f>+I106/C106*100</f>
        <v>0</v>
      </c>
      <c r="L106" s="12">
        <f>+F106/C106</f>
        <v>11.75</v>
      </c>
      <c r="M106" s="12">
        <f>100*(S106+U106+W106+Y106)/6</f>
        <v>163.54166666666666</v>
      </c>
      <c r="N106">
        <v>1</v>
      </c>
      <c r="R106">
        <f>+(E106-30)/20</f>
        <v>2.25</v>
      </c>
      <c r="S106" s="2">
        <f>IF(R106&lt;0,0,R106)</f>
        <v>2.25</v>
      </c>
      <c r="T106" s="6">
        <f>+(L106-3)/4</f>
        <v>2.1875</v>
      </c>
      <c r="U106" s="2">
        <f>IF(T106&lt;0,0,T106)</f>
        <v>2.1875</v>
      </c>
      <c r="V106">
        <f>+J106/5</f>
        <v>3</v>
      </c>
      <c r="W106" s="2">
        <f>IF(V106&lt;0,0,V106)</f>
        <v>3</v>
      </c>
      <c r="X106">
        <f>(9.5-K106)/4</f>
        <v>2.375</v>
      </c>
      <c r="Y106" s="2">
        <f>IF(X106&lt;0,0,X106)</f>
        <v>2.375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C110">
        <v>1</v>
      </c>
      <c r="E110" s="12">
        <f>+D110/C110*100</f>
        <v>0</v>
      </c>
      <c r="J110" s="8"/>
      <c r="K110" s="12">
        <f>+I110/C110*100</f>
        <v>0</v>
      </c>
      <c r="L110" s="12">
        <f>+F110/C110</f>
        <v>0</v>
      </c>
      <c r="M110" s="12">
        <f>100*(S110+U110+W110+Y110)/6</f>
        <v>39.583333333333336</v>
      </c>
      <c r="R110">
        <f>+(E110-30)/20</f>
        <v>-1.5</v>
      </c>
      <c r="S110" s="2">
        <f>IF(R110&lt;0,0,R110)</f>
        <v>0</v>
      </c>
      <c r="T110" s="6">
        <f>+(L110-3)/4</f>
        <v>-0.75</v>
      </c>
      <c r="U110" s="2">
        <f>IF(T110&lt;0,0,T110)</f>
        <v>0</v>
      </c>
      <c r="V110">
        <f>+J110/5</f>
        <v>0</v>
      </c>
      <c r="W110" s="2">
        <f>IF(V110&lt;0,0,V110)</f>
        <v>0</v>
      </c>
      <c r="X110">
        <f>(9.5-K110)/4</f>
        <v>2.375</v>
      </c>
      <c r="Y110" s="2">
        <f>IF(X110&lt;0,0,X110)</f>
        <v>2.375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2</v>
      </c>
      <c r="E113">
        <v>26</v>
      </c>
      <c r="F113" s="12">
        <f aca="true" t="shared" si="2" ref="F113:F118">+E113/C113</f>
        <v>13</v>
      </c>
      <c r="G113">
        <v>15</v>
      </c>
      <c r="I113">
        <v>1</v>
      </c>
    </row>
    <row r="114" spans="1:7" ht="12.75">
      <c r="A114" s="1" t="s">
        <v>123</v>
      </c>
      <c r="C114">
        <v>1</v>
      </c>
      <c r="E114">
        <v>26</v>
      </c>
      <c r="F114" s="12">
        <f t="shared" si="2"/>
        <v>26</v>
      </c>
      <c r="G114">
        <v>26</v>
      </c>
    </row>
    <row r="115" spans="1:7" ht="12.75">
      <c r="A115" s="1" t="s">
        <v>114</v>
      </c>
      <c r="C115">
        <v>1</v>
      </c>
      <c r="E115">
        <v>-3</v>
      </c>
      <c r="F115" s="12">
        <f t="shared" si="2"/>
        <v>-3</v>
      </c>
      <c r="G115">
        <v>-3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2</v>
      </c>
      <c r="D123">
        <v>61</v>
      </c>
      <c r="E123" s="12">
        <f aca="true" t="shared" si="3" ref="E123:E128">+D123/C123</f>
        <v>30.5</v>
      </c>
      <c r="F123">
        <v>34</v>
      </c>
    </row>
    <row r="124" spans="1:5" ht="12.75">
      <c r="A124" s="1" t="s">
        <v>101</v>
      </c>
      <c r="E124" s="12" t="e">
        <f t="shared" si="3"/>
        <v>#DIV/0!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C126">
        <v>1</v>
      </c>
      <c r="E126" s="12">
        <f t="shared" si="3"/>
        <v>0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6</v>
      </c>
      <c r="D133">
        <f>42+40+24+37+31+32</f>
        <v>206</v>
      </c>
      <c r="E133" s="12">
        <f>+D133/C133</f>
        <v>34.333333333333336</v>
      </c>
      <c r="F133">
        <v>42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5</v>
      </c>
      <c r="E137">
        <v>4</v>
      </c>
      <c r="F137">
        <v>4</v>
      </c>
      <c r="G137">
        <v>2</v>
      </c>
      <c r="H137">
        <v>1</v>
      </c>
      <c r="I137" s="12">
        <f>+H137/G137*100</f>
        <v>50</v>
      </c>
      <c r="J137">
        <v>19</v>
      </c>
    </row>
    <row r="138" spans="1:9" ht="12.75">
      <c r="A138" s="1" t="s">
        <v>119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6" ht="12.75">
      <c r="A142" s="1" t="s">
        <v>120</v>
      </c>
      <c r="C142">
        <v>1</v>
      </c>
      <c r="D142">
        <v>4</v>
      </c>
      <c r="E142" s="12">
        <f aca="true" t="shared" si="4" ref="E142:E148">+D142/C142</f>
        <v>4</v>
      </c>
      <c r="F142">
        <v>4</v>
      </c>
    </row>
    <row r="143" spans="1:5" ht="12.75">
      <c r="A143" s="1" t="s">
        <v>121</v>
      </c>
      <c r="E143" s="12" t="e">
        <f t="shared" si="4"/>
        <v>#DIV/0!</v>
      </c>
    </row>
    <row r="144" spans="1:8" ht="12.75">
      <c r="A144" s="1" t="s">
        <v>122</v>
      </c>
      <c r="C144">
        <v>1</v>
      </c>
      <c r="D144">
        <v>47</v>
      </c>
      <c r="E144" s="12">
        <f t="shared" si="4"/>
        <v>47</v>
      </c>
      <c r="F144">
        <v>47</v>
      </c>
      <c r="H144">
        <v>1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spans="1:3" ht="12.75">
      <c r="A151" s="19" t="s">
        <v>125</v>
      </c>
      <c r="C151">
        <v>1</v>
      </c>
    </row>
    <row r="152" spans="1:3" ht="12.75">
      <c r="A152" s="19" t="s">
        <v>126</v>
      </c>
      <c r="C152">
        <v>1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spans="1:3" ht="12.75">
      <c r="A157" s="19" t="s">
        <v>131</v>
      </c>
      <c r="C157">
        <v>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spans="1:3" ht="12.75">
      <c r="A172" s="19" t="s">
        <v>146</v>
      </c>
      <c r="C172">
        <v>1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spans="1:3" ht="12.75">
      <c r="A179" s="19" t="s">
        <v>153</v>
      </c>
      <c r="C179">
        <v>1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spans="1:5" ht="12.75">
      <c r="A185" s="19" t="s">
        <v>159</v>
      </c>
      <c r="C185">
        <v>1</v>
      </c>
      <c r="D185">
        <v>4</v>
      </c>
      <c r="E185">
        <v>4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30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12</v>
      </c>
      <c r="H6" s="1" t="s">
        <v>29</v>
      </c>
      <c r="M6" s="2">
        <v>19</v>
      </c>
    </row>
    <row r="7" spans="1:13" ht="12.75">
      <c r="A7" s="18" t="s">
        <v>95</v>
      </c>
      <c r="D7" s="2">
        <v>3</v>
      </c>
      <c r="H7" s="18" t="s">
        <v>95</v>
      </c>
      <c r="M7" s="2">
        <v>9</v>
      </c>
    </row>
    <row r="8" spans="1:13" ht="12.75">
      <c r="A8" s="18" t="s">
        <v>96</v>
      </c>
      <c r="D8" s="2">
        <v>9</v>
      </c>
      <c r="H8" s="18" t="s">
        <v>96</v>
      </c>
      <c r="M8" s="2">
        <v>10</v>
      </c>
    </row>
    <row r="9" spans="1:13" ht="12.75">
      <c r="A9" s="18" t="s">
        <v>97</v>
      </c>
      <c r="D9" s="2">
        <v>0</v>
      </c>
      <c r="H9" s="18" t="s">
        <v>97</v>
      </c>
      <c r="M9" s="2">
        <v>0</v>
      </c>
    </row>
    <row r="11" spans="1:23" ht="12.75">
      <c r="A11" t="s">
        <v>1</v>
      </c>
      <c r="D11" s="2">
        <v>18</v>
      </c>
      <c r="H11" t="s">
        <v>1</v>
      </c>
      <c r="M11" s="2">
        <f>16+2+10+4+7+4</f>
        <v>43</v>
      </c>
      <c r="V11">
        <f>+D11</f>
        <v>18</v>
      </c>
      <c r="W11">
        <f>+M11</f>
        <v>43</v>
      </c>
    </row>
    <row r="12" spans="1:23" ht="12.75">
      <c r="A12" t="s">
        <v>2</v>
      </c>
      <c r="D12" s="2">
        <f>12+24+3-5</f>
        <v>34</v>
      </c>
      <c r="H12" t="s">
        <v>2</v>
      </c>
      <c r="M12" s="2">
        <f>110+22+5+25-2</f>
        <v>160</v>
      </c>
      <c r="P12" s="13"/>
      <c r="U12" s="13"/>
      <c r="V12">
        <f>+D16</f>
        <v>14</v>
      </c>
      <c r="W12">
        <f>+M16</f>
        <v>15</v>
      </c>
    </row>
    <row r="13" spans="1:23" ht="12.75">
      <c r="A13" s="1" t="s">
        <v>3</v>
      </c>
      <c r="D13" s="8">
        <f>+D12/D11</f>
        <v>1.8888888888888888</v>
      </c>
      <c r="H13" s="1" t="s">
        <v>3</v>
      </c>
      <c r="M13" s="8">
        <f>+M12/M11</f>
        <v>3.7209302325581395</v>
      </c>
      <c r="V13">
        <f>+(D15-D16)/2</f>
        <v>6.5</v>
      </c>
      <c r="W13">
        <f>+(M15-M16)/2</f>
        <v>6</v>
      </c>
    </row>
    <row r="14" spans="22:23" ht="12.75">
      <c r="V14">
        <f>+D38/2</f>
        <v>2.5</v>
      </c>
      <c r="W14">
        <f>+M38/2</f>
        <v>2</v>
      </c>
    </row>
    <row r="15" spans="1:23" ht="12.75">
      <c r="A15" t="s">
        <v>4</v>
      </c>
      <c r="D15" s="2">
        <v>27</v>
      </c>
      <c r="H15" t="s">
        <v>4</v>
      </c>
      <c r="M15" s="2">
        <v>27</v>
      </c>
      <c r="V15">
        <f>+D42/2</f>
        <v>0</v>
      </c>
      <c r="W15">
        <f>+M42/2</f>
        <v>2.5</v>
      </c>
    </row>
    <row r="16" spans="1:23" ht="12.75">
      <c r="A16" t="s">
        <v>5</v>
      </c>
      <c r="D16" s="2">
        <v>14</v>
      </c>
      <c r="H16" t="s">
        <v>5</v>
      </c>
      <c r="M16" s="2">
        <v>15</v>
      </c>
      <c r="V16">
        <f>+D47/2</f>
        <v>3.5</v>
      </c>
      <c r="W16">
        <f>+M47/2</f>
        <v>1.5</v>
      </c>
    </row>
    <row r="17" spans="1:13" ht="12.75">
      <c r="A17" t="s">
        <v>6</v>
      </c>
      <c r="D17" s="8">
        <f>+D16/D15*100</f>
        <v>51.85185185185185</v>
      </c>
      <c r="H17" t="s">
        <v>6</v>
      </c>
      <c r="M17" s="8">
        <f>+M16/M15*100</f>
        <v>55.55555555555556</v>
      </c>
    </row>
    <row r="18" spans="1:24" ht="12.75">
      <c r="A18" t="s">
        <v>7</v>
      </c>
      <c r="D18" s="2">
        <v>247</v>
      </c>
      <c r="H18" t="s">
        <v>7</v>
      </c>
      <c r="M18" s="2">
        <v>246</v>
      </c>
      <c r="V18">
        <f>SUM(V11:V16)</f>
        <v>44.5</v>
      </c>
      <c r="W18">
        <f>SUM(W11:W16)</f>
        <v>70</v>
      </c>
      <c r="X18">
        <f>+W18+V18</f>
        <v>114.5</v>
      </c>
    </row>
    <row r="19" spans="1:23" ht="12.75">
      <c r="A19" t="s">
        <v>8</v>
      </c>
      <c r="D19" s="2">
        <v>2</v>
      </c>
      <c r="H19" t="s">
        <v>8</v>
      </c>
      <c r="M19" s="2">
        <v>3</v>
      </c>
      <c r="V19">
        <f>+V18/X18</f>
        <v>0.388646288209607</v>
      </c>
      <c r="W19">
        <f>+W18/X18</f>
        <v>0.611353711790393</v>
      </c>
    </row>
    <row r="20" spans="1:23" ht="12.75">
      <c r="A20" t="s">
        <v>9</v>
      </c>
      <c r="D20" s="2">
        <v>16</v>
      </c>
      <c r="H20" t="s">
        <v>9</v>
      </c>
      <c r="M20" s="2">
        <v>15</v>
      </c>
      <c r="V20">
        <f>+V19*60</f>
        <v>23.31877729257642</v>
      </c>
      <c r="W20">
        <f>+W19*60</f>
        <v>36.68122270742358</v>
      </c>
    </row>
    <row r="21" spans="1:23" ht="12.75">
      <c r="A21" t="s">
        <v>10</v>
      </c>
      <c r="D21">
        <f>+D18-D20</f>
        <v>231</v>
      </c>
      <c r="H21" t="s">
        <v>10</v>
      </c>
      <c r="M21">
        <f>+M18-M20</f>
        <v>231</v>
      </c>
      <c r="V21">
        <f>+V20-INT(V20)</f>
        <v>0.31877729257642073</v>
      </c>
      <c r="W21">
        <f>+W20-INT(W20)</f>
        <v>0.6812227074235793</v>
      </c>
    </row>
    <row r="22" spans="1:23" ht="12.75">
      <c r="A22" t="s">
        <v>11</v>
      </c>
      <c r="D22" s="7">
        <f>+D21/(D15+D19)</f>
        <v>7.9655172413793105</v>
      </c>
      <c r="H22" t="s">
        <v>11</v>
      </c>
      <c r="M22" s="7">
        <f>+M21/(M15+M19)</f>
        <v>7.7</v>
      </c>
      <c r="V22">
        <f>+V21*60</f>
        <v>19.126637554585244</v>
      </c>
      <c r="W22">
        <f>+W21*60</f>
        <v>40.873362445414756</v>
      </c>
    </row>
    <row r="23" spans="1:23" ht="12.75">
      <c r="A23" t="s">
        <v>12</v>
      </c>
      <c r="D23" s="7">
        <f>+D18/D16</f>
        <v>17.642857142857142</v>
      </c>
      <c r="H23" t="s">
        <v>12</v>
      </c>
      <c r="M23" s="7">
        <f>+M18/M16</f>
        <v>16.4</v>
      </c>
      <c r="Q23" s="11"/>
      <c r="U23">
        <v>0</v>
      </c>
      <c r="V23" s="11">
        <f>ROUND(V22,0)</f>
        <v>19</v>
      </c>
      <c r="W23">
        <f>ROUND(W22,0)</f>
        <v>41</v>
      </c>
    </row>
    <row r="24" spans="22:23" ht="12.75">
      <c r="V24">
        <f>INT(V20)</f>
        <v>23</v>
      </c>
      <c r="W24">
        <f>INT(W20)</f>
        <v>36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265</v>
      </c>
      <c r="H26" t="s">
        <v>14</v>
      </c>
      <c r="M26">
        <f>+M21+M12</f>
        <v>391</v>
      </c>
      <c r="Q26" s="14"/>
      <c r="R26" s="9"/>
      <c r="V26" s="14" t="str">
        <f>+V24&amp;V25&amp;V23</f>
        <v>23:19</v>
      </c>
      <c r="W26" s="9" t="str">
        <f>+W24&amp;W25&amp;W23</f>
        <v>36:41</v>
      </c>
    </row>
    <row r="27" spans="1:23" ht="12.75">
      <c r="A27" t="s">
        <v>15</v>
      </c>
      <c r="D27" s="7">
        <f>+D12/D26*100</f>
        <v>12.830188679245284</v>
      </c>
      <c r="H27" t="s">
        <v>15</v>
      </c>
      <c r="M27" s="7">
        <f>+M12/M26*100</f>
        <v>40.92071611253197</v>
      </c>
      <c r="Q27" s="9"/>
      <c r="R27" s="9"/>
      <c r="V27" s="9" t="str">
        <f>IF(V23&lt;10,+V24&amp;V25&amp;$U$23&amp;V23,+V24&amp;V25&amp;V23)</f>
        <v>23:19</v>
      </c>
      <c r="W27" s="9" t="str">
        <f>IF(W23&lt;10,+W24&amp;W25&amp;$U$23&amp;W23,+W24&amp;W25&amp;W23)</f>
        <v>36:41</v>
      </c>
    </row>
    <row r="28" spans="1:16" ht="12.75">
      <c r="A28" s="1" t="s">
        <v>90</v>
      </c>
      <c r="D28" s="7">
        <f>+D21/D26*100</f>
        <v>87.16981132075472</v>
      </c>
      <c r="H28" s="1" t="s">
        <v>90</v>
      </c>
      <c r="M28" s="7">
        <f>+M21/M26*100</f>
        <v>59.07928388746802</v>
      </c>
      <c r="P28" s="13"/>
    </row>
    <row r="30" spans="1:13" ht="12.75">
      <c r="A30" t="s">
        <v>16</v>
      </c>
      <c r="D30">
        <f>+D11+D15+D19</f>
        <v>47</v>
      </c>
      <c r="H30" t="s">
        <v>16</v>
      </c>
      <c r="M30">
        <f>+M11+M15+M19</f>
        <v>73</v>
      </c>
    </row>
    <row r="31" spans="1:13" ht="12.75">
      <c r="A31" t="s">
        <v>17</v>
      </c>
      <c r="D31" s="8">
        <f>+D26/D30</f>
        <v>5.638297872340425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5.3561643835616435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9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4</v>
      </c>
    </row>
    <row r="39" spans="1:13" ht="12.75">
      <c r="A39" t="s">
        <v>23</v>
      </c>
      <c r="D39" s="2">
        <f>52+45+40+40+23</f>
        <v>200</v>
      </c>
      <c r="H39" t="s">
        <v>23</v>
      </c>
      <c r="M39" s="2">
        <f>28+47+41+44</f>
        <v>160</v>
      </c>
    </row>
    <row r="40" spans="1:13" ht="12.75">
      <c r="A40" t="s">
        <v>24</v>
      </c>
      <c r="D40" s="8">
        <f>+D39/D38</f>
        <v>40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</v>
      </c>
    </row>
    <row r="42" spans="1:13" ht="12.75">
      <c r="A42" t="s">
        <v>25</v>
      </c>
      <c r="D42" s="2">
        <v>0</v>
      </c>
      <c r="H42" t="s">
        <v>25</v>
      </c>
      <c r="M42" s="2">
        <v>5</v>
      </c>
    </row>
    <row r="43" spans="1:13" ht="12.75">
      <c r="A43" t="s">
        <v>26</v>
      </c>
      <c r="D43" s="2">
        <v>0</v>
      </c>
      <c r="H43" t="s">
        <v>26</v>
      </c>
      <c r="M43" s="2">
        <f>10+10+4+48+5</f>
        <v>77</v>
      </c>
    </row>
    <row r="44" spans="1:13" ht="12.75">
      <c r="A44" t="s">
        <v>27</v>
      </c>
      <c r="D44" s="8" t="e">
        <f>+D43/D42</f>
        <v>#DIV/0!</v>
      </c>
      <c r="H44" t="s">
        <v>27</v>
      </c>
      <c r="M44" s="8">
        <f>+M43/M42</f>
        <v>15.4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7</v>
      </c>
      <c r="H47" t="s">
        <v>30</v>
      </c>
      <c r="M47" s="2">
        <v>3</v>
      </c>
    </row>
    <row r="48" spans="1:13" ht="12.75">
      <c r="A48" t="s">
        <v>26</v>
      </c>
      <c r="D48" s="2">
        <f>26+16+28+27+32+34+17</f>
        <v>180</v>
      </c>
      <c r="H48" t="s">
        <v>26</v>
      </c>
      <c r="M48" s="2">
        <v>58</v>
      </c>
    </row>
    <row r="49" spans="1:13" ht="12.75">
      <c r="A49" t="s">
        <v>27</v>
      </c>
      <c r="D49" s="8">
        <f>+D48/D47</f>
        <v>25.714285714285715</v>
      </c>
      <c r="H49" t="s">
        <v>27</v>
      </c>
      <c r="M49" s="8">
        <f>+M48/M47</f>
        <v>19.333333333333332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2</v>
      </c>
      <c r="H52" t="s">
        <v>31</v>
      </c>
      <c r="M52" s="2">
        <v>2</v>
      </c>
    </row>
    <row r="53" spans="1:13" ht="12.75">
      <c r="A53" t="s">
        <v>32</v>
      </c>
      <c r="D53" s="2">
        <v>10</v>
      </c>
      <c r="H53" t="s">
        <v>32</v>
      </c>
      <c r="M53" s="2">
        <v>20</v>
      </c>
    </row>
    <row r="55" spans="1:13" ht="12.75">
      <c r="A55" t="s">
        <v>33</v>
      </c>
      <c r="D55" s="2">
        <v>3</v>
      </c>
      <c r="H55" t="s">
        <v>33</v>
      </c>
      <c r="M55" s="2">
        <v>2</v>
      </c>
    </row>
    <row r="56" spans="1:13" ht="12.75">
      <c r="A56" t="s">
        <v>34</v>
      </c>
      <c r="D56" s="2">
        <v>1</v>
      </c>
      <c r="H56" t="s">
        <v>34</v>
      </c>
      <c r="M56" s="2">
        <v>1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2</v>
      </c>
    </row>
    <row r="59" spans="1:13" ht="12.75">
      <c r="A59" s="1" t="s">
        <v>37</v>
      </c>
      <c r="D59" s="2">
        <v>0</v>
      </c>
      <c r="H59" s="1" t="s">
        <v>37</v>
      </c>
      <c r="M59" s="2">
        <v>1</v>
      </c>
    </row>
    <row r="61" spans="1:13" ht="12.75">
      <c r="A61" t="s">
        <v>38</v>
      </c>
      <c r="D61" s="2">
        <v>14</v>
      </c>
      <c r="H61" t="s">
        <v>38</v>
      </c>
      <c r="M61" s="2">
        <v>26</v>
      </c>
    </row>
    <row r="62" spans="1:13" ht="12.75">
      <c r="A62" t="s">
        <v>39</v>
      </c>
      <c r="D62" s="2">
        <v>2</v>
      </c>
      <c r="H62" t="s">
        <v>39</v>
      </c>
      <c r="M62" s="2">
        <v>2</v>
      </c>
    </row>
    <row r="63" spans="1:13" ht="12.75">
      <c r="A63" t="s">
        <v>40</v>
      </c>
      <c r="D63" s="2">
        <v>0</v>
      </c>
      <c r="H63" t="s">
        <v>40</v>
      </c>
      <c r="M63" s="2">
        <v>0</v>
      </c>
    </row>
    <row r="64" spans="1:13" ht="12.75">
      <c r="A64" t="s">
        <v>41</v>
      </c>
      <c r="D64" s="2">
        <v>2</v>
      </c>
      <c r="H64" t="s">
        <v>41</v>
      </c>
      <c r="M64" s="2">
        <v>1</v>
      </c>
    </row>
    <row r="65" spans="1:13" ht="12.75">
      <c r="A65" t="s">
        <v>42</v>
      </c>
      <c r="D65" s="2">
        <v>0</v>
      </c>
      <c r="H65" t="s">
        <v>42</v>
      </c>
      <c r="M65" s="2">
        <v>1</v>
      </c>
    </row>
    <row r="66" spans="1:13" ht="12.75">
      <c r="A66" t="s">
        <v>43</v>
      </c>
      <c r="D66" s="2">
        <v>2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4</v>
      </c>
    </row>
    <row r="69" spans="1:13" ht="12.75">
      <c r="A69" t="s">
        <v>46</v>
      </c>
      <c r="D69" s="2">
        <v>1</v>
      </c>
      <c r="H69" t="s">
        <v>46</v>
      </c>
      <c r="M69" s="2">
        <v>6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66.66666666666666</v>
      </c>
    </row>
    <row r="71" spans="1:13" ht="12.75">
      <c r="A71" t="s">
        <v>93</v>
      </c>
      <c r="D71" s="10" t="str">
        <f>IF(V23&lt;10,V27,V26)</f>
        <v>23:19</v>
      </c>
      <c r="E71" s="8"/>
      <c r="F71" s="8"/>
      <c r="H71" t="s">
        <v>93</v>
      </c>
      <c r="M71" s="10" t="str">
        <f>IF(W23&lt;10,W27,W26)</f>
        <v>36:41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11</v>
      </c>
      <c r="D75">
        <v>12</v>
      </c>
      <c r="E75" s="12">
        <f>+D75/C75</f>
        <v>1.0909090909090908</v>
      </c>
      <c r="F75">
        <v>6</v>
      </c>
      <c r="G75">
        <v>0</v>
      </c>
      <c r="H75">
        <v>2</v>
      </c>
    </row>
    <row r="76" spans="1:8" ht="12.75">
      <c r="A76" s="1" t="s">
        <v>100</v>
      </c>
      <c r="C76">
        <v>5</v>
      </c>
      <c r="D76">
        <v>24</v>
      </c>
      <c r="E76" s="12">
        <f>+D76/C76</f>
        <v>4.8</v>
      </c>
      <c r="F76">
        <v>13</v>
      </c>
      <c r="G76">
        <v>0</v>
      </c>
      <c r="H76">
        <v>0</v>
      </c>
    </row>
    <row r="77" spans="1:8" ht="12.75">
      <c r="A77" s="1" t="s">
        <v>101</v>
      </c>
      <c r="C77">
        <v>1</v>
      </c>
      <c r="D77">
        <v>3</v>
      </c>
      <c r="E77" s="12">
        <f>+D77/C77</f>
        <v>3</v>
      </c>
      <c r="F77">
        <v>3</v>
      </c>
      <c r="G77">
        <v>0</v>
      </c>
      <c r="H77">
        <v>0</v>
      </c>
    </row>
    <row r="78" spans="1:8" ht="12.75">
      <c r="A78" s="1" t="s">
        <v>102</v>
      </c>
      <c r="C78">
        <v>1</v>
      </c>
      <c r="D78">
        <v>-5</v>
      </c>
      <c r="E78" s="12">
        <f aca="true" t="shared" si="0" ref="E78:E84">+D78/C78</f>
        <v>-5</v>
      </c>
      <c r="F78">
        <v>-5</v>
      </c>
      <c r="G78">
        <v>0</v>
      </c>
      <c r="H78">
        <v>0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5" ht="12.75">
      <c r="A82" s="1" t="s">
        <v>106</v>
      </c>
      <c r="E82" s="12" t="e">
        <f t="shared" si="0"/>
        <v>#DIV/0!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2</v>
      </c>
      <c r="D89">
        <v>12</v>
      </c>
      <c r="E89" s="12">
        <f aca="true" t="shared" si="1" ref="E89:E100">+D89/C89</f>
        <v>6</v>
      </c>
      <c r="F89">
        <v>8</v>
      </c>
      <c r="G89">
        <v>0</v>
      </c>
      <c r="H89">
        <v>0</v>
      </c>
    </row>
    <row r="90" spans="1:8" ht="12.75">
      <c r="A90" s="1" t="s">
        <v>109</v>
      </c>
      <c r="C90">
        <v>4</v>
      </c>
      <c r="D90">
        <v>70</v>
      </c>
      <c r="E90" s="12">
        <f t="shared" si="1"/>
        <v>17.5</v>
      </c>
      <c r="F90">
        <v>36</v>
      </c>
      <c r="G90">
        <v>0</v>
      </c>
      <c r="H90">
        <v>0</v>
      </c>
    </row>
    <row r="91" spans="1:8" ht="12.75">
      <c r="A91" s="1" t="s">
        <v>108</v>
      </c>
      <c r="C91">
        <v>3</v>
      </c>
      <c r="D91">
        <v>120</v>
      </c>
      <c r="E91" s="12">
        <f t="shared" si="1"/>
        <v>40</v>
      </c>
      <c r="F91">
        <v>75</v>
      </c>
      <c r="G91">
        <v>2</v>
      </c>
      <c r="H91">
        <v>0</v>
      </c>
    </row>
    <row r="92" spans="1:8" ht="12.75">
      <c r="A92" s="1" t="s">
        <v>99</v>
      </c>
      <c r="C92">
        <v>5</v>
      </c>
      <c r="D92">
        <v>45</v>
      </c>
      <c r="E92" s="12">
        <f t="shared" si="1"/>
        <v>9</v>
      </c>
      <c r="F92">
        <v>26</v>
      </c>
      <c r="G92">
        <v>0</v>
      </c>
      <c r="H92">
        <v>1</v>
      </c>
    </row>
    <row r="93" spans="1:5" ht="12.75">
      <c r="A93" s="1" t="s">
        <v>110</v>
      </c>
      <c r="E93" s="12" t="e">
        <f t="shared" si="1"/>
        <v>#DIV/0!</v>
      </c>
    </row>
    <row r="94" spans="1:5" ht="12.75">
      <c r="A94" s="1" t="s">
        <v>100</v>
      </c>
      <c r="E94" s="12" t="e">
        <f t="shared" si="1"/>
        <v>#DIV/0!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26</v>
      </c>
      <c r="D106">
        <v>13</v>
      </c>
      <c r="E106" s="12">
        <f>+D106/C106*100</f>
        <v>50</v>
      </c>
      <c r="F106">
        <v>222</v>
      </c>
      <c r="G106">
        <v>1</v>
      </c>
      <c r="H106">
        <v>75</v>
      </c>
      <c r="I106">
        <v>3</v>
      </c>
      <c r="J106" s="8">
        <f>+G106/C106*100</f>
        <v>3.8461538461538463</v>
      </c>
      <c r="K106" s="12">
        <f>+I106/C106*100</f>
        <v>11.538461538461538</v>
      </c>
      <c r="L106" s="12">
        <f>+F106/C106</f>
        <v>8.538461538461538</v>
      </c>
      <c r="M106" s="12">
        <f>100*(S106+U106+W106+Y106)/6</f>
        <v>52.56410256410256</v>
      </c>
      <c r="N106">
        <v>0</v>
      </c>
      <c r="R106">
        <f>+(E106-30)/20</f>
        <v>1</v>
      </c>
      <c r="S106" s="2">
        <f>IF(R106&lt;0,0,IF(R106&gt;2.375,2.375,R106))</f>
        <v>1</v>
      </c>
      <c r="T106" s="6">
        <f>+(L106-3)/4</f>
        <v>1.3846153846153846</v>
      </c>
      <c r="U106" s="2">
        <f>IF(T106&lt;0,0,IF(T106&gt;2.375,2.375,T106))</f>
        <v>1.3846153846153846</v>
      </c>
      <c r="V106">
        <f>+J106/5</f>
        <v>0.7692307692307693</v>
      </c>
      <c r="W106" s="2">
        <f>IF(V106&lt;0,0,IF(V106&gt;2.375,2.375,V106))</f>
        <v>0.7692307692307693</v>
      </c>
      <c r="X106">
        <f>(9.5-K106)/4</f>
        <v>-0.5096153846153846</v>
      </c>
      <c r="Y106" s="2">
        <f>IF(X106&lt;0,0,X106)</f>
        <v>0</v>
      </c>
    </row>
    <row r="107" spans="1:25" ht="12.75">
      <c r="A107" s="1" t="s">
        <v>104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C108">
        <v>1</v>
      </c>
      <c r="D108">
        <v>1</v>
      </c>
      <c r="E108" s="12">
        <f>+D108/C108*100</f>
        <v>100</v>
      </c>
      <c r="F108">
        <v>25</v>
      </c>
      <c r="G108">
        <v>1</v>
      </c>
      <c r="H108">
        <v>25</v>
      </c>
      <c r="I108">
        <v>0</v>
      </c>
      <c r="J108" s="8">
        <f>+G108/C108*100</f>
        <v>100</v>
      </c>
      <c r="K108" s="12">
        <f>+I108/C108*100</f>
        <v>0</v>
      </c>
      <c r="L108" s="12">
        <f>+F108/C108</f>
        <v>25</v>
      </c>
      <c r="M108" s="12">
        <f>100*(S108+U108+W108+Y108)/6</f>
        <v>158.33333333333334</v>
      </c>
      <c r="N108">
        <v>0</v>
      </c>
      <c r="R108">
        <f>+(E108-30)/20</f>
        <v>3.5</v>
      </c>
      <c r="S108" s="2">
        <f>IF(R108&lt;0,0,IF(R108&gt;2.375,2.375,R108))</f>
        <v>2.375</v>
      </c>
      <c r="T108" s="6">
        <f>+(L108-3)/4</f>
        <v>5.5</v>
      </c>
      <c r="U108" s="2">
        <f>IF(T108&lt;0,0,IF(T108&gt;2.375,2.375,T108))</f>
        <v>2.375</v>
      </c>
      <c r="V108">
        <f>+J108/5</f>
        <v>20</v>
      </c>
      <c r="W108" s="2">
        <f>IF(V108&lt;0,0,IF(V108&gt;2.375,2.375,V108))</f>
        <v>2.375</v>
      </c>
      <c r="X108">
        <f>(9.5-K108)/4</f>
        <v>2.375</v>
      </c>
      <c r="Y108" s="2">
        <f>IF(X108&lt;0,0,X108)</f>
        <v>2.375</v>
      </c>
    </row>
    <row r="109" spans="1:25" ht="12.75">
      <c r="A109" s="1" t="s">
        <v>99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0</v>
      </c>
      <c r="D113">
        <v>1</v>
      </c>
      <c r="E113">
        <v>0</v>
      </c>
      <c r="F113" s="12" t="e">
        <f aca="true" t="shared" si="2" ref="F113:F118">+E113/C113</f>
        <v>#DIV/0!</v>
      </c>
      <c r="G113">
        <v>0</v>
      </c>
      <c r="H113">
        <v>0</v>
      </c>
      <c r="I113">
        <v>0</v>
      </c>
    </row>
    <row r="114" spans="1:6" ht="12.75">
      <c r="A114" s="1" t="s">
        <v>123</v>
      </c>
      <c r="F114" s="12" t="e">
        <f t="shared" si="2"/>
        <v>#DIV/0!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6</v>
      </c>
      <c r="D123">
        <f>26+16+28+27+32+34</f>
        <v>163</v>
      </c>
      <c r="E123" s="12">
        <f aca="true" t="shared" si="3" ref="E123:E128">+D123/C123</f>
        <v>27.166666666666668</v>
      </c>
      <c r="F123">
        <v>34</v>
      </c>
      <c r="G123">
        <v>0</v>
      </c>
      <c r="H123">
        <v>0</v>
      </c>
    </row>
    <row r="124" spans="1:5" ht="12.75">
      <c r="A124" s="1" t="s">
        <v>101</v>
      </c>
      <c r="E124" s="12" t="e">
        <f t="shared" si="3"/>
        <v>#DIV/0!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8" ht="12.75">
      <c r="A127" s="1" t="s">
        <v>100</v>
      </c>
      <c r="C127">
        <v>1</v>
      </c>
      <c r="D127">
        <v>17</v>
      </c>
      <c r="E127" s="12">
        <f t="shared" si="3"/>
        <v>17</v>
      </c>
      <c r="F127">
        <v>17</v>
      </c>
      <c r="G127">
        <v>0</v>
      </c>
      <c r="H127">
        <v>0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5</v>
      </c>
      <c r="D133">
        <f>52+45+40+40+23</f>
        <v>200</v>
      </c>
      <c r="E133" s="12">
        <f>+D133/C133</f>
        <v>40</v>
      </c>
      <c r="F133">
        <v>52</v>
      </c>
      <c r="G133">
        <v>0</v>
      </c>
      <c r="H133">
        <v>0</v>
      </c>
    </row>
    <row r="134" spans="1:5" ht="12.75">
      <c r="A134" s="1" t="s">
        <v>114</v>
      </c>
      <c r="E134" s="12"/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3</v>
      </c>
      <c r="D137">
        <v>0</v>
      </c>
      <c r="E137">
        <v>2</v>
      </c>
      <c r="F137">
        <v>2</v>
      </c>
      <c r="G137">
        <v>1</v>
      </c>
      <c r="H137">
        <v>0</v>
      </c>
      <c r="I137" s="12">
        <f>+H137/G137*100</f>
        <v>0</v>
      </c>
      <c r="J137">
        <v>0</v>
      </c>
    </row>
    <row r="138" spans="1:9" ht="12.75">
      <c r="A138" s="1" t="s">
        <v>119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7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  <c r="G150" s="3" t="s">
        <v>84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spans="1:7" ht="12.75">
      <c r="A166" s="19" t="s">
        <v>140</v>
      </c>
      <c r="C166">
        <v>1</v>
      </c>
      <c r="D166">
        <v>0</v>
      </c>
      <c r="E166">
        <v>0</v>
      </c>
      <c r="F166">
        <v>0</v>
      </c>
      <c r="G166">
        <v>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spans="1:7" ht="12.75">
      <c r="A185" s="19" t="s">
        <v>159</v>
      </c>
      <c r="C185">
        <v>1</v>
      </c>
      <c r="D185">
        <v>4</v>
      </c>
      <c r="E185">
        <v>4</v>
      </c>
      <c r="F185">
        <v>0</v>
      </c>
      <c r="G185">
        <v>0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12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7.003906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14</v>
      </c>
      <c r="H6" s="1" t="s">
        <v>29</v>
      </c>
      <c r="M6" s="2">
        <v>27</v>
      </c>
    </row>
    <row r="7" spans="1:13" ht="12.75">
      <c r="A7" s="18" t="s">
        <v>95</v>
      </c>
      <c r="D7" s="2">
        <v>3</v>
      </c>
      <c r="H7" s="18" t="s">
        <v>95</v>
      </c>
      <c r="M7" s="2">
        <v>12</v>
      </c>
    </row>
    <row r="8" spans="1:13" ht="12.75">
      <c r="A8" s="18" t="s">
        <v>96</v>
      </c>
      <c r="D8" s="2">
        <v>11</v>
      </c>
      <c r="H8" s="18" t="s">
        <v>96</v>
      </c>
      <c r="M8" s="2">
        <v>13</v>
      </c>
    </row>
    <row r="9" spans="1:13" ht="12.75">
      <c r="A9" s="18" t="s">
        <v>97</v>
      </c>
      <c r="D9" s="2">
        <v>0</v>
      </c>
      <c r="H9" s="18" t="s">
        <v>97</v>
      </c>
      <c r="M9" s="2">
        <v>2</v>
      </c>
    </row>
    <row r="11" spans="1:23" ht="12.75">
      <c r="A11" t="s">
        <v>1</v>
      </c>
      <c r="D11" s="2">
        <f>16+9+1+2+2+1</f>
        <v>31</v>
      </c>
      <c r="H11" t="s">
        <v>1</v>
      </c>
      <c r="M11" s="2">
        <f>14+12+1+3+1</f>
        <v>31</v>
      </c>
      <c r="V11">
        <f>+D11</f>
        <v>31</v>
      </c>
      <c r="W11">
        <f>+M11</f>
        <v>31</v>
      </c>
    </row>
    <row r="12" spans="1:23" ht="12.75">
      <c r="A12" t="s">
        <v>2</v>
      </c>
      <c r="D12" s="2">
        <f>20+34+5+2+5+2</f>
        <v>68</v>
      </c>
      <c r="H12" t="s">
        <v>2</v>
      </c>
      <c r="M12" s="2">
        <f>83+63+15+14+1</f>
        <v>176</v>
      </c>
      <c r="U12" s="13"/>
      <c r="V12">
        <f>+D16</f>
        <v>14</v>
      </c>
      <c r="W12">
        <f>+M16</f>
        <v>25</v>
      </c>
    </row>
    <row r="13" spans="1:23" ht="12.75">
      <c r="A13" s="1" t="s">
        <v>3</v>
      </c>
      <c r="D13" s="8">
        <f>+D12/D11</f>
        <v>2.193548387096774</v>
      </c>
      <c r="H13" s="1" t="s">
        <v>3</v>
      </c>
      <c r="M13" s="8">
        <f>+M12/M11</f>
        <v>5.67741935483871</v>
      </c>
      <c r="V13">
        <f>+(D15-D16)/2</f>
        <v>4</v>
      </c>
      <c r="W13">
        <f>+(M15-M16)/2</f>
        <v>8</v>
      </c>
    </row>
    <row r="14" spans="22:23" ht="12.75">
      <c r="V14">
        <f>+D38/2</f>
        <v>3</v>
      </c>
      <c r="W14">
        <f>+M38/2</f>
        <v>1.5</v>
      </c>
    </row>
    <row r="15" spans="1:23" ht="12.75">
      <c r="A15" t="s">
        <v>4</v>
      </c>
      <c r="D15" s="2">
        <v>22</v>
      </c>
      <c r="H15" t="s">
        <v>4</v>
      </c>
      <c r="M15" s="2">
        <v>41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14</v>
      </c>
      <c r="H16" t="s">
        <v>5</v>
      </c>
      <c r="M16" s="2">
        <v>25</v>
      </c>
      <c r="V16">
        <f>+D47/2</f>
        <v>1</v>
      </c>
      <c r="W16">
        <f>+M47/2</f>
        <v>2</v>
      </c>
    </row>
    <row r="17" spans="1:13" ht="12.75">
      <c r="A17" t="s">
        <v>6</v>
      </c>
      <c r="D17" s="8">
        <f>+D16/D15*100</f>
        <v>63.63636363636363</v>
      </c>
      <c r="H17" t="s">
        <v>6</v>
      </c>
      <c r="M17" s="8">
        <f>+M16/M15*100</f>
        <v>60.97560975609756</v>
      </c>
    </row>
    <row r="18" spans="1:24" ht="12.75">
      <c r="A18" t="s">
        <v>7</v>
      </c>
      <c r="D18" s="2">
        <v>341</v>
      </c>
      <c r="H18" t="s">
        <v>7</v>
      </c>
      <c r="M18" s="2">
        <v>276</v>
      </c>
      <c r="V18">
        <f>SUM(V11:V16)</f>
        <v>54</v>
      </c>
      <c r="W18">
        <f>SUM(W11:W16)</f>
        <v>69</v>
      </c>
      <c r="X18">
        <f>+W18+V18</f>
        <v>123</v>
      </c>
    </row>
    <row r="19" spans="1:23" ht="12.75">
      <c r="A19" t="s">
        <v>8</v>
      </c>
      <c r="D19" s="2">
        <v>0</v>
      </c>
      <c r="H19" t="s">
        <v>8</v>
      </c>
      <c r="M19" s="2">
        <v>1</v>
      </c>
      <c r="V19">
        <f>+V18/X18</f>
        <v>0.43902439024390244</v>
      </c>
      <c r="W19">
        <f>+W18/X18</f>
        <v>0.5609756097560976</v>
      </c>
    </row>
    <row r="20" spans="1:23" ht="12.75">
      <c r="A20" t="s">
        <v>9</v>
      </c>
      <c r="D20" s="2">
        <v>0</v>
      </c>
      <c r="H20" t="s">
        <v>9</v>
      </c>
      <c r="M20" s="2">
        <v>5</v>
      </c>
      <c r="V20">
        <f>+V19*60</f>
        <v>26.341463414634145</v>
      </c>
      <c r="W20">
        <f>+W19*60</f>
        <v>33.65853658536586</v>
      </c>
    </row>
    <row r="21" spans="1:23" ht="12.75">
      <c r="A21" t="s">
        <v>10</v>
      </c>
      <c r="D21">
        <f>+D18-D20</f>
        <v>341</v>
      </c>
      <c r="H21" t="s">
        <v>10</v>
      </c>
      <c r="M21">
        <f>+M18-M20</f>
        <v>271</v>
      </c>
      <c r="V21">
        <f>+V20-INT(V20)</f>
        <v>0.34146341463414487</v>
      </c>
      <c r="W21">
        <f>+W20-INT(W20)</f>
        <v>0.6585365853658587</v>
      </c>
    </row>
    <row r="22" spans="1:23" ht="12.75">
      <c r="A22" t="s">
        <v>11</v>
      </c>
      <c r="D22" s="7">
        <f>+D21/(D15+D19)</f>
        <v>15.5</v>
      </c>
      <c r="H22" t="s">
        <v>11</v>
      </c>
      <c r="M22" s="7">
        <f>+M21/(M15+M19)</f>
        <v>6.4523809523809526</v>
      </c>
      <c r="V22">
        <f>+V21*60</f>
        <v>20.487804878048692</v>
      </c>
      <c r="W22">
        <f>+W21*60</f>
        <v>39.51219512195152</v>
      </c>
    </row>
    <row r="23" spans="1:23" ht="12.75">
      <c r="A23" t="s">
        <v>12</v>
      </c>
      <c r="D23" s="7">
        <f>+D18/D16</f>
        <v>24.357142857142858</v>
      </c>
      <c r="H23" t="s">
        <v>12</v>
      </c>
      <c r="M23" s="7">
        <f>+M18/M16</f>
        <v>11.04</v>
      </c>
      <c r="U23">
        <v>0</v>
      </c>
      <c r="V23" s="11">
        <f>ROUND(V22,0)</f>
        <v>20</v>
      </c>
      <c r="W23">
        <f>ROUND(W22,0)</f>
        <v>40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409</v>
      </c>
      <c r="H26" t="s">
        <v>14</v>
      </c>
      <c r="M26">
        <f>+M21+M12</f>
        <v>447</v>
      </c>
      <c r="Q26" s="9"/>
      <c r="R26" s="9"/>
      <c r="V26" s="14" t="str">
        <f>+V24&amp;V25&amp;V23</f>
        <v>26:20</v>
      </c>
      <c r="W26" s="9" t="str">
        <f>+W24&amp;W25&amp;W23</f>
        <v>33:40</v>
      </c>
    </row>
    <row r="27" spans="1:23" ht="12.75">
      <c r="A27" t="s">
        <v>15</v>
      </c>
      <c r="D27" s="7">
        <f>+D12/D26*100</f>
        <v>16.625916870415647</v>
      </c>
      <c r="H27" t="s">
        <v>15</v>
      </c>
      <c r="M27" s="7">
        <f>+M12/M26*100</f>
        <v>39.37360178970917</v>
      </c>
      <c r="V27" s="9" t="str">
        <f>IF(V23&lt;10,+V24&amp;V25&amp;$U$23&amp;V23,+V24&amp;V25&amp;V23)</f>
        <v>26:20</v>
      </c>
      <c r="W27" s="9" t="str">
        <f>IF(W23&lt;10,+W24&amp;W25&amp;$U$23&amp;W23,+W24&amp;W25&amp;W23)</f>
        <v>33:40</v>
      </c>
    </row>
    <row r="28" spans="1:13" ht="12.75">
      <c r="A28" s="1" t="s">
        <v>90</v>
      </c>
      <c r="D28" s="7">
        <f>+D21/D26*100</f>
        <v>83.37408312958435</v>
      </c>
      <c r="H28" s="1" t="s">
        <v>90</v>
      </c>
      <c r="M28" s="7">
        <f>+M21/M26*100</f>
        <v>60.62639821029083</v>
      </c>
    </row>
    <row r="30" spans="1:13" ht="12.75">
      <c r="A30" t="s">
        <v>16</v>
      </c>
      <c r="D30">
        <f>+D11+D15+D19</f>
        <v>53</v>
      </c>
      <c r="H30" t="s">
        <v>16</v>
      </c>
      <c r="M30">
        <f>+M11+M15+M19</f>
        <v>73</v>
      </c>
    </row>
    <row r="31" spans="1:13" ht="12.75">
      <c r="A31" t="s">
        <v>17</v>
      </c>
      <c r="D31" s="8">
        <f>+D26/D30</f>
        <v>7.716981132075472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6.123287671232877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4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3</v>
      </c>
    </row>
    <row r="39" spans="1:13" ht="12.75">
      <c r="A39" t="s">
        <v>23</v>
      </c>
      <c r="D39" s="2">
        <f>42+42+42+48+40+48</f>
        <v>262</v>
      </c>
      <c r="H39" t="s">
        <v>23</v>
      </c>
      <c r="M39" s="2">
        <f>41+46+47</f>
        <v>134</v>
      </c>
    </row>
    <row r="40" spans="1:13" ht="12.75">
      <c r="A40" t="s">
        <v>24</v>
      </c>
      <c r="D40" s="8">
        <f>+D39/D38</f>
        <v>43.666666666666664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44.666666666666664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-8</v>
      </c>
      <c r="H43" t="s">
        <v>26</v>
      </c>
      <c r="M43" s="2">
        <v>13</v>
      </c>
    </row>
    <row r="44" spans="1:13" ht="12.75">
      <c r="A44" t="s">
        <v>27</v>
      </c>
      <c r="D44" s="8">
        <f>+D43/D42</f>
        <v>-4</v>
      </c>
      <c r="H44" t="s">
        <v>27</v>
      </c>
      <c r="M44" s="8">
        <f>+M43/M42</f>
        <v>4.333333333333333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2</v>
      </c>
      <c r="H47" t="s">
        <v>30</v>
      </c>
      <c r="M47" s="2">
        <v>4</v>
      </c>
    </row>
    <row r="48" spans="1:13" ht="12.75">
      <c r="A48" t="s">
        <v>26</v>
      </c>
      <c r="D48" s="2">
        <v>31</v>
      </c>
      <c r="H48" t="s">
        <v>26</v>
      </c>
      <c r="M48" s="2">
        <f>21+26+25+26</f>
        <v>98</v>
      </c>
    </row>
    <row r="49" spans="1:13" ht="12.75">
      <c r="A49" t="s">
        <v>27</v>
      </c>
      <c r="D49" s="8">
        <f>+D48/D47</f>
        <v>15.5</v>
      </c>
      <c r="H49" t="s">
        <v>27</v>
      </c>
      <c r="M49" s="8">
        <f>+M48/M47</f>
        <v>24.5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3</v>
      </c>
      <c r="H52" t="s">
        <v>31</v>
      </c>
      <c r="M52" s="2">
        <v>2</v>
      </c>
    </row>
    <row r="53" spans="1:13" ht="12.75">
      <c r="A53" t="s">
        <v>32</v>
      </c>
      <c r="D53" s="2">
        <v>45</v>
      </c>
      <c r="H53" t="s">
        <v>32</v>
      </c>
      <c r="M53" s="2">
        <v>12</v>
      </c>
    </row>
    <row r="55" spans="1:13" ht="12.75">
      <c r="A55" t="s">
        <v>33</v>
      </c>
      <c r="D55" s="2">
        <v>4</v>
      </c>
      <c r="H55" t="s">
        <v>33</v>
      </c>
      <c r="M55" s="2">
        <v>2</v>
      </c>
    </row>
    <row r="56" spans="1:13" ht="12.75">
      <c r="A56" t="s">
        <v>34</v>
      </c>
      <c r="D56" s="2">
        <v>1</v>
      </c>
      <c r="H56" t="s">
        <v>34</v>
      </c>
      <c r="M56" s="2">
        <v>2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0</v>
      </c>
      <c r="H58" t="s">
        <v>36</v>
      </c>
      <c r="M58" s="2">
        <v>2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28</v>
      </c>
      <c r="H61" t="s">
        <v>38</v>
      </c>
      <c r="M61" s="2">
        <v>23</v>
      </c>
    </row>
    <row r="62" spans="1:13" ht="12.75">
      <c r="A62" t="s">
        <v>39</v>
      </c>
      <c r="D62" s="2">
        <v>4</v>
      </c>
      <c r="H62" t="s">
        <v>39</v>
      </c>
      <c r="M62" s="2">
        <v>3</v>
      </c>
    </row>
    <row r="63" spans="1:13" ht="12.75">
      <c r="A63" t="s">
        <v>40</v>
      </c>
      <c r="D63" s="2">
        <v>0</v>
      </c>
      <c r="H63" t="s">
        <v>40</v>
      </c>
      <c r="M63" s="2">
        <v>1</v>
      </c>
    </row>
    <row r="64" spans="1:13" ht="12.75">
      <c r="A64" t="s">
        <v>41</v>
      </c>
      <c r="D64" s="2">
        <v>4</v>
      </c>
      <c r="H64" t="s">
        <v>41</v>
      </c>
      <c r="M64" s="2">
        <v>2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4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1</v>
      </c>
    </row>
    <row r="69" spans="1:13" ht="12.75">
      <c r="A69" t="s">
        <v>46</v>
      </c>
      <c r="D69" s="2">
        <v>2</v>
      </c>
      <c r="H69" t="s">
        <v>46</v>
      </c>
      <c r="M69" s="2">
        <v>5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20</v>
      </c>
    </row>
    <row r="71" spans="1:13" ht="12.75">
      <c r="A71" t="s">
        <v>93</v>
      </c>
      <c r="D71" s="10" t="str">
        <f>IF(V23&lt;10,V27,V26)</f>
        <v>26:20</v>
      </c>
      <c r="E71" s="8"/>
      <c r="F71" s="8"/>
      <c r="H71" t="s">
        <v>93</v>
      </c>
      <c r="M71" s="10" t="str">
        <f>IF(W23&lt;10,W27,W26)</f>
        <v>33:40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16</v>
      </c>
      <c r="D75">
        <v>20</v>
      </c>
      <c r="E75" s="12">
        <f>+D75/C75</f>
        <v>1.25</v>
      </c>
      <c r="F75">
        <v>14</v>
      </c>
      <c r="G75">
        <v>0</v>
      </c>
      <c r="H75">
        <v>2</v>
      </c>
    </row>
    <row r="76" spans="1:8" ht="12.75">
      <c r="A76" s="1" t="s">
        <v>100</v>
      </c>
      <c r="C76">
        <v>9</v>
      </c>
      <c r="D76">
        <v>34</v>
      </c>
      <c r="E76" s="12">
        <f>+D76/C76</f>
        <v>3.7777777777777777</v>
      </c>
      <c r="F76">
        <v>23</v>
      </c>
      <c r="G76">
        <v>0</v>
      </c>
      <c r="H76">
        <v>0</v>
      </c>
    </row>
    <row r="77" spans="1:8" ht="12.75">
      <c r="A77" s="1" t="s">
        <v>101</v>
      </c>
      <c r="C77">
        <v>1</v>
      </c>
      <c r="D77">
        <v>5</v>
      </c>
      <c r="E77" s="12">
        <f>+D77/C77</f>
        <v>5</v>
      </c>
      <c r="F77">
        <v>5</v>
      </c>
      <c r="G77">
        <v>0</v>
      </c>
      <c r="H77">
        <v>0</v>
      </c>
    </row>
    <row r="78" spans="1:8" ht="12.75">
      <c r="A78" s="1" t="s">
        <v>102</v>
      </c>
      <c r="C78">
        <v>2</v>
      </c>
      <c r="D78">
        <v>2</v>
      </c>
      <c r="E78" s="12">
        <f aca="true" t="shared" si="0" ref="E78:E84">+D78/C78</f>
        <v>1</v>
      </c>
      <c r="F78">
        <v>2</v>
      </c>
      <c r="G78">
        <v>0</v>
      </c>
      <c r="H78">
        <v>0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8" ht="12.75">
      <c r="A81" s="1" t="s">
        <v>105</v>
      </c>
      <c r="C81">
        <v>2</v>
      </c>
      <c r="D81">
        <v>5</v>
      </c>
      <c r="E81" s="12">
        <f t="shared" si="0"/>
        <v>2.5</v>
      </c>
      <c r="F81">
        <v>4</v>
      </c>
      <c r="G81">
        <v>0</v>
      </c>
      <c r="H81">
        <v>0</v>
      </c>
    </row>
    <row r="82" spans="1:8" ht="12.75">
      <c r="A82" s="1" t="s">
        <v>106</v>
      </c>
      <c r="C82">
        <v>1</v>
      </c>
      <c r="D82">
        <v>2</v>
      </c>
      <c r="E82" s="12">
        <f t="shared" si="0"/>
        <v>2</v>
      </c>
      <c r="F82">
        <v>2</v>
      </c>
      <c r="G82">
        <v>0</v>
      </c>
      <c r="H82">
        <v>0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3</v>
      </c>
      <c r="D89">
        <v>40</v>
      </c>
      <c r="E89" s="12">
        <f aca="true" t="shared" si="1" ref="E89:E100">+D89/C89</f>
        <v>13.333333333333334</v>
      </c>
      <c r="F89">
        <v>25</v>
      </c>
      <c r="G89">
        <v>0</v>
      </c>
      <c r="H89">
        <v>0</v>
      </c>
    </row>
    <row r="90" spans="1:8" ht="12.75">
      <c r="A90" s="1" t="s">
        <v>109</v>
      </c>
      <c r="C90">
        <v>1</v>
      </c>
      <c r="D90">
        <v>27</v>
      </c>
      <c r="E90" s="12">
        <f t="shared" si="1"/>
        <v>27</v>
      </c>
      <c r="F90">
        <v>27</v>
      </c>
      <c r="G90">
        <v>0</v>
      </c>
      <c r="H90">
        <v>0</v>
      </c>
    </row>
    <row r="91" spans="1:8" ht="12.75">
      <c r="A91" s="1" t="s">
        <v>108</v>
      </c>
      <c r="C91">
        <v>5</v>
      </c>
      <c r="D91">
        <v>113</v>
      </c>
      <c r="E91" s="12">
        <f t="shared" si="1"/>
        <v>22.6</v>
      </c>
      <c r="F91">
        <v>38</v>
      </c>
      <c r="G91">
        <v>1</v>
      </c>
      <c r="H91">
        <v>1</v>
      </c>
    </row>
    <row r="92" spans="1:8" ht="12.75">
      <c r="A92" s="1" t="s">
        <v>99</v>
      </c>
      <c r="C92">
        <v>2</v>
      </c>
      <c r="D92">
        <v>59</v>
      </c>
      <c r="E92" s="12">
        <f t="shared" si="1"/>
        <v>29.5</v>
      </c>
      <c r="F92">
        <v>44</v>
      </c>
      <c r="G92">
        <v>1</v>
      </c>
      <c r="H92">
        <v>0</v>
      </c>
    </row>
    <row r="93" spans="1:8" ht="12.75">
      <c r="A93" s="1" t="s">
        <v>110</v>
      </c>
      <c r="C93">
        <v>3</v>
      </c>
      <c r="D93">
        <v>102</v>
      </c>
      <c r="E93" s="12">
        <f t="shared" si="1"/>
        <v>34</v>
      </c>
      <c r="F93">
        <v>45</v>
      </c>
      <c r="G93">
        <v>2</v>
      </c>
      <c r="H93">
        <v>0</v>
      </c>
    </row>
    <row r="94" spans="1:5" ht="12.75">
      <c r="A94" s="1" t="s">
        <v>100</v>
      </c>
      <c r="E94" s="12" t="e">
        <f t="shared" si="1"/>
        <v>#DIV/0!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22</v>
      </c>
      <c r="D106">
        <v>14</v>
      </c>
      <c r="E106" s="12">
        <f>+D106/C106*100</f>
        <v>63.63636363636363</v>
      </c>
      <c r="F106">
        <v>341</v>
      </c>
      <c r="G106">
        <v>4</v>
      </c>
      <c r="H106">
        <v>45</v>
      </c>
      <c r="I106">
        <v>0</v>
      </c>
      <c r="J106" s="8">
        <f>+G106/C106*100</f>
        <v>18.181818181818183</v>
      </c>
      <c r="K106" s="12">
        <f>+I106/C106*100</f>
        <v>0</v>
      </c>
      <c r="L106" s="12">
        <f>+F106/C106</f>
        <v>15.5</v>
      </c>
      <c r="M106" s="12">
        <f>100*(S106+U106+W106+Y106)/6</f>
        <v>146.78030303030303</v>
      </c>
      <c r="N106">
        <v>0</v>
      </c>
      <c r="R106">
        <f>+(E106-30)/20</f>
        <v>1.6818181818181817</v>
      </c>
      <c r="S106" s="2">
        <f>IF(R106&lt;0,0,IF(R106&gt;2.375,2.375,R106))</f>
        <v>1.6818181818181817</v>
      </c>
      <c r="T106" s="6">
        <f>+(L106-3)/4</f>
        <v>3.125</v>
      </c>
      <c r="U106" s="2">
        <f>IF(T106&lt;0,0,IF(T106&gt;2.375,2.375,T106))</f>
        <v>2.375</v>
      </c>
      <c r="V106">
        <f>+J106/5</f>
        <v>3.6363636363636367</v>
      </c>
      <c r="W106" s="2">
        <f>IF(V106&lt;0,0,IF(V106&gt;2.375,2.375,V106))</f>
        <v>2.375</v>
      </c>
      <c r="X106">
        <f>(9.5-K106)/4</f>
        <v>2.375</v>
      </c>
      <c r="Y106" s="2">
        <f>IF(X106&lt;0,0,X106)</f>
        <v>2.375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>
        <f>+J107/5</f>
        <v>0</v>
      </c>
      <c r="W107" s="2">
        <f>IF(V107&lt;0,0,IF(V107&gt;2.375,2.375,V107))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>
        <f>+J108/5</f>
        <v>0</v>
      </c>
      <c r="W108" s="2">
        <f>IF(V108&lt;0,0,IF(V108&gt;2.375,2.375,V108))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>
        <f>+J109/5</f>
        <v>0</v>
      </c>
      <c r="W109" s="2">
        <f>IF(V109&lt;0,0,IF(V109&gt;2.375,2.375,V109))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>
        <f>+J110/5</f>
        <v>0</v>
      </c>
      <c r="W110" s="2">
        <f>IF(V110&lt;0,0,IF(V110&gt;2.375,2.375,V110))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0</v>
      </c>
      <c r="D113">
        <v>1</v>
      </c>
      <c r="E113">
        <v>0</v>
      </c>
      <c r="F113" s="12" t="e">
        <f aca="true" t="shared" si="2" ref="F113:F118">+E113/C113</f>
        <v>#DIV/0!</v>
      </c>
      <c r="G113">
        <v>0</v>
      </c>
      <c r="H113">
        <v>0</v>
      </c>
      <c r="I113">
        <v>0</v>
      </c>
    </row>
    <row r="114" spans="1:9" ht="12.75">
      <c r="A114" s="1" t="s">
        <v>123</v>
      </c>
      <c r="C114">
        <v>1</v>
      </c>
      <c r="D114">
        <v>0</v>
      </c>
      <c r="E114">
        <v>-3</v>
      </c>
      <c r="F114" s="12">
        <f t="shared" si="2"/>
        <v>-3</v>
      </c>
      <c r="G114">
        <v>-3</v>
      </c>
      <c r="H114">
        <v>0</v>
      </c>
      <c r="I114">
        <v>0</v>
      </c>
    </row>
    <row r="115" spans="1:9" ht="12.75">
      <c r="A115" s="1" t="s">
        <v>114</v>
      </c>
      <c r="C115">
        <v>1</v>
      </c>
      <c r="D115">
        <v>0</v>
      </c>
      <c r="E115">
        <v>-5</v>
      </c>
      <c r="F115" s="12">
        <f t="shared" si="2"/>
        <v>-5</v>
      </c>
      <c r="G115">
        <v>-5</v>
      </c>
      <c r="H115">
        <v>0</v>
      </c>
      <c r="I115">
        <v>0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1</v>
      </c>
      <c r="D123">
        <v>13</v>
      </c>
      <c r="E123" s="12">
        <f aca="true" t="shared" si="3" ref="E123:E128">+D123/C123</f>
        <v>13</v>
      </c>
      <c r="F123">
        <v>13</v>
      </c>
      <c r="G123">
        <v>0</v>
      </c>
      <c r="H123">
        <v>1</v>
      </c>
    </row>
    <row r="124" spans="1:8" ht="12.75">
      <c r="A124" s="1" t="s">
        <v>101</v>
      </c>
      <c r="C124">
        <v>1</v>
      </c>
      <c r="D124">
        <v>18</v>
      </c>
      <c r="E124" s="12">
        <f t="shared" si="3"/>
        <v>18</v>
      </c>
      <c r="F124">
        <v>18</v>
      </c>
      <c r="G124">
        <v>0</v>
      </c>
      <c r="H124">
        <v>0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5</v>
      </c>
      <c r="D133">
        <f>42+42+42+48+40</f>
        <v>214</v>
      </c>
      <c r="E133" s="12">
        <f>+D133/C133</f>
        <v>42.8</v>
      </c>
      <c r="F133">
        <v>48</v>
      </c>
      <c r="G133">
        <v>0</v>
      </c>
      <c r="H133">
        <v>0</v>
      </c>
    </row>
    <row r="134" spans="1:8" ht="12.75">
      <c r="A134" s="1" t="s">
        <v>114</v>
      </c>
      <c r="C134">
        <v>1</v>
      </c>
      <c r="D134">
        <v>48</v>
      </c>
      <c r="E134" s="12">
        <f>+D134/C134</f>
        <v>48</v>
      </c>
      <c r="F134">
        <v>48</v>
      </c>
      <c r="G134">
        <v>0</v>
      </c>
      <c r="H134">
        <v>0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4</v>
      </c>
      <c r="D137">
        <v>0</v>
      </c>
      <c r="E137">
        <v>4</v>
      </c>
      <c r="F137">
        <v>4</v>
      </c>
      <c r="G137">
        <v>2</v>
      </c>
      <c r="H137">
        <v>0</v>
      </c>
      <c r="I137" s="12">
        <f>+H137/G137*100</f>
        <v>0</v>
      </c>
      <c r="J137">
        <v>0</v>
      </c>
    </row>
    <row r="138" spans="1:9" ht="12.75">
      <c r="A138" s="1" t="s">
        <v>119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8" ht="12.75">
      <c r="A145" s="1" t="s">
        <v>123</v>
      </c>
      <c r="C145">
        <v>1</v>
      </c>
      <c r="D145">
        <v>0</v>
      </c>
      <c r="E145" s="12">
        <f t="shared" si="4"/>
        <v>0</v>
      </c>
      <c r="F145">
        <v>0</v>
      </c>
      <c r="G145">
        <v>0</v>
      </c>
      <c r="H145">
        <v>0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8" ht="12.75">
      <c r="A148" s="1" t="s">
        <v>113</v>
      </c>
      <c r="C148">
        <v>1</v>
      </c>
      <c r="D148">
        <v>4</v>
      </c>
      <c r="E148" s="12">
        <f t="shared" si="4"/>
        <v>4</v>
      </c>
      <c r="F148">
        <v>4</v>
      </c>
      <c r="G148">
        <v>0</v>
      </c>
      <c r="H148">
        <v>0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spans="1:6" ht="12.75">
      <c r="A177" s="19" t="s">
        <v>151</v>
      </c>
      <c r="C177">
        <v>1</v>
      </c>
      <c r="D177">
        <v>0</v>
      </c>
      <c r="E177">
        <v>0</v>
      </c>
      <c r="F177">
        <v>0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15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13</v>
      </c>
      <c r="H6" s="1" t="s">
        <v>29</v>
      </c>
      <c r="M6" s="2">
        <v>17</v>
      </c>
    </row>
    <row r="7" spans="1:13" ht="12.75">
      <c r="A7" s="18" t="s">
        <v>95</v>
      </c>
      <c r="D7" s="2">
        <v>7</v>
      </c>
      <c r="H7" s="18" t="s">
        <v>95</v>
      </c>
      <c r="M7" s="2">
        <v>9</v>
      </c>
    </row>
    <row r="8" spans="1:13" ht="12.75">
      <c r="A8" s="18" t="s">
        <v>96</v>
      </c>
      <c r="D8" s="2">
        <v>5</v>
      </c>
      <c r="H8" s="18" t="s">
        <v>96</v>
      </c>
      <c r="M8" s="2">
        <v>8</v>
      </c>
    </row>
    <row r="9" spans="1:13" ht="12.75">
      <c r="A9" s="18" t="s">
        <v>97</v>
      </c>
      <c r="D9" s="2">
        <v>1</v>
      </c>
      <c r="H9" s="18" t="s">
        <v>97</v>
      </c>
      <c r="M9" s="2">
        <v>0</v>
      </c>
    </row>
    <row r="11" spans="1:23" ht="12.75">
      <c r="A11" t="s">
        <v>1</v>
      </c>
      <c r="D11" s="2">
        <f>18+12+4+3+3</f>
        <v>40</v>
      </c>
      <c r="H11" t="s">
        <v>1</v>
      </c>
      <c r="M11" s="2">
        <f>11+10+5+4+1+5</f>
        <v>36</v>
      </c>
      <c r="V11">
        <f>+D11</f>
        <v>40</v>
      </c>
      <c r="W11">
        <f>+M11</f>
        <v>36</v>
      </c>
    </row>
    <row r="12" spans="1:23" ht="12.75">
      <c r="A12" t="s">
        <v>2</v>
      </c>
      <c r="D12" s="2">
        <f>51+77+25+9-5</f>
        <v>157</v>
      </c>
      <c r="H12" t="s">
        <v>2</v>
      </c>
      <c r="M12" s="2">
        <f>50+31+55+19+25-7</f>
        <v>173</v>
      </c>
      <c r="U12" s="13"/>
      <c r="V12">
        <f>+D16</f>
        <v>6</v>
      </c>
      <c r="W12">
        <f>+M16</f>
        <v>10</v>
      </c>
    </row>
    <row r="13" spans="1:23" ht="12.75">
      <c r="A13" s="1" t="s">
        <v>3</v>
      </c>
      <c r="D13" s="8">
        <f>+D12/D11</f>
        <v>3.925</v>
      </c>
      <c r="H13" s="1" t="s">
        <v>3</v>
      </c>
      <c r="M13" s="8">
        <f>+M12/M11</f>
        <v>4.805555555555555</v>
      </c>
      <c r="V13">
        <f>+(D15-D16)/2</f>
        <v>6.5</v>
      </c>
      <c r="W13">
        <f>+(M15-M16)/2</f>
        <v>8</v>
      </c>
    </row>
    <row r="14" spans="22:23" ht="12.75">
      <c r="V14">
        <f>+D38/2</f>
        <v>4.5</v>
      </c>
      <c r="W14">
        <f>+M38/2</f>
        <v>3</v>
      </c>
    </row>
    <row r="15" spans="1:23" ht="12.75">
      <c r="A15" t="s">
        <v>4</v>
      </c>
      <c r="D15" s="2">
        <v>19</v>
      </c>
      <c r="H15" t="s">
        <v>4</v>
      </c>
      <c r="M15" s="2">
        <v>26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6</v>
      </c>
      <c r="H16" t="s">
        <v>5</v>
      </c>
      <c r="M16" s="2">
        <v>10</v>
      </c>
      <c r="V16">
        <f>+D47/2</f>
        <v>0.5</v>
      </c>
      <c r="W16">
        <f>+M47/2</f>
        <v>1.5</v>
      </c>
    </row>
    <row r="17" spans="1:13" ht="12.75">
      <c r="A17" t="s">
        <v>6</v>
      </c>
      <c r="D17" s="8">
        <f>+D16/D15*100</f>
        <v>31.57894736842105</v>
      </c>
      <c r="H17" t="s">
        <v>6</v>
      </c>
      <c r="M17" s="8">
        <f>+M16/M15*100</f>
        <v>38.46153846153847</v>
      </c>
    </row>
    <row r="18" spans="1:24" ht="12.75">
      <c r="A18" t="s">
        <v>7</v>
      </c>
      <c r="D18" s="2">
        <v>109</v>
      </c>
      <c r="H18" t="s">
        <v>7</v>
      </c>
      <c r="M18" s="2">
        <v>170</v>
      </c>
      <c r="V18">
        <f>SUM(V11:V16)</f>
        <v>58.5</v>
      </c>
      <c r="W18">
        <f>SUM(W11:W16)</f>
        <v>60</v>
      </c>
      <c r="X18">
        <f>+W18+V18</f>
        <v>118.5</v>
      </c>
    </row>
    <row r="19" spans="1:23" ht="12.75">
      <c r="A19" t="s">
        <v>8</v>
      </c>
      <c r="D19" s="2">
        <v>0</v>
      </c>
      <c r="H19" t="s">
        <v>8</v>
      </c>
      <c r="M19" s="2">
        <v>5</v>
      </c>
      <c r="V19">
        <f>+V18/X18</f>
        <v>0.4936708860759494</v>
      </c>
      <c r="W19">
        <f>+W18/X18</f>
        <v>0.5063291139240507</v>
      </c>
    </row>
    <row r="20" spans="1:23" ht="12.75">
      <c r="A20" t="s">
        <v>9</v>
      </c>
      <c r="D20" s="2">
        <v>0</v>
      </c>
      <c r="H20" t="s">
        <v>9</v>
      </c>
      <c r="M20" s="2">
        <f>8+5+6+8</f>
        <v>27</v>
      </c>
      <c r="V20">
        <f>+V19*60</f>
        <v>29.620253164556964</v>
      </c>
      <c r="W20">
        <f>+W19*60</f>
        <v>30.37974683544304</v>
      </c>
    </row>
    <row r="21" spans="1:23" ht="12.75">
      <c r="A21" t="s">
        <v>10</v>
      </c>
      <c r="D21">
        <f>+D18-D20</f>
        <v>109</v>
      </c>
      <c r="H21" t="s">
        <v>10</v>
      </c>
      <c r="M21">
        <f>+M18-M20</f>
        <v>143</v>
      </c>
      <c r="V21">
        <f>+V20-INT(V20)</f>
        <v>0.6202531645569636</v>
      </c>
      <c r="W21">
        <f>+W20-INT(W20)</f>
        <v>0.37974683544304</v>
      </c>
    </row>
    <row r="22" spans="1:23" ht="12.75">
      <c r="A22" t="s">
        <v>11</v>
      </c>
      <c r="D22" s="7">
        <f>+D21/(D15+D19)</f>
        <v>5.7368421052631575</v>
      </c>
      <c r="H22" t="s">
        <v>11</v>
      </c>
      <c r="M22" s="7">
        <f>+M21/(M15+M19)</f>
        <v>4.612903225806452</v>
      </c>
      <c r="V22">
        <f>+V21*60</f>
        <v>37.21518987341781</v>
      </c>
      <c r="W22">
        <f>+W21*60</f>
        <v>22.7848101265824</v>
      </c>
    </row>
    <row r="23" spans="1:23" ht="12.75">
      <c r="A23" t="s">
        <v>12</v>
      </c>
      <c r="D23" s="7">
        <f>+D18/D16</f>
        <v>18.166666666666668</v>
      </c>
      <c r="H23" t="s">
        <v>12</v>
      </c>
      <c r="M23" s="7">
        <f>+M18/M16</f>
        <v>17</v>
      </c>
      <c r="U23">
        <v>0</v>
      </c>
      <c r="V23" s="11">
        <f>ROUND(V22,0)</f>
        <v>37</v>
      </c>
      <c r="W23">
        <f>ROUND(W22,0)</f>
        <v>23</v>
      </c>
    </row>
    <row r="24" spans="22:23" ht="12.75">
      <c r="V24">
        <f>INT(V20)</f>
        <v>29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266</v>
      </c>
      <c r="H26" t="s">
        <v>14</v>
      </c>
      <c r="M26">
        <f>+M21+M12</f>
        <v>316</v>
      </c>
      <c r="Q26" s="9"/>
      <c r="R26" s="9"/>
      <c r="V26" s="14" t="str">
        <f>+V24&amp;V25&amp;V23</f>
        <v>29:37</v>
      </c>
      <c r="W26" s="9" t="str">
        <f>+W24&amp;W25&amp;W23</f>
        <v>30:23</v>
      </c>
    </row>
    <row r="27" spans="1:23" ht="12.75">
      <c r="A27" t="s">
        <v>15</v>
      </c>
      <c r="D27" s="7">
        <f>+D12/D26*100</f>
        <v>59.02255639097744</v>
      </c>
      <c r="H27" t="s">
        <v>15</v>
      </c>
      <c r="M27" s="7">
        <f>+M12/M26*100</f>
        <v>54.74683544303798</v>
      </c>
      <c r="V27" s="9" t="str">
        <f>IF(V23&lt;10,+V24&amp;V25&amp;$U$23&amp;V23,+V24&amp;V25&amp;V23)</f>
        <v>29:37</v>
      </c>
      <c r="W27" s="9" t="str">
        <f>IF(W23&lt;10,+W24&amp;W25&amp;$U$23&amp;W23,+W24&amp;W25&amp;W23)</f>
        <v>30:23</v>
      </c>
    </row>
    <row r="28" spans="1:13" ht="12.75">
      <c r="A28" s="1" t="s">
        <v>90</v>
      </c>
      <c r="D28" s="7">
        <f>+D21/D26*100</f>
        <v>40.97744360902256</v>
      </c>
      <c r="H28" s="1" t="s">
        <v>90</v>
      </c>
      <c r="M28" s="7">
        <f>+M21/M26*100</f>
        <v>45.25316455696203</v>
      </c>
    </row>
    <row r="30" spans="1:13" ht="12.75">
      <c r="A30" t="s">
        <v>16</v>
      </c>
      <c r="D30">
        <f>+D11+D15+D19</f>
        <v>59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4.508474576271187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4.7164179104477615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9</v>
      </c>
      <c r="H38" t="s">
        <v>22</v>
      </c>
      <c r="M38" s="2">
        <v>6</v>
      </c>
    </row>
    <row r="39" spans="1:13" ht="12.75">
      <c r="A39" t="s">
        <v>23</v>
      </c>
      <c r="D39" s="2">
        <f>54+41+42+41+34+37+31+60+51</f>
        <v>391</v>
      </c>
      <c r="H39" t="s">
        <v>23</v>
      </c>
      <c r="M39" s="2">
        <f>54+52+54+54+45+56</f>
        <v>315</v>
      </c>
    </row>
    <row r="40" spans="1:13" ht="12.75">
      <c r="A40" t="s">
        <v>24</v>
      </c>
      <c r="D40" s="8">
        <f>+D39/D38</f>
        <v>43.44444444444444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52.5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-2</v>
      </c>
      <c r="H43" t="s">
        <v>26</v>
      </c>
      <c r="M43" s="2">
        <v>18</v>
      </c>
    </row>
    <row r="44" spans="1:13" ht="12.75">
      <c r="A44" t="s">
        <v>27</v>
      </c>
      <c r="D44" s="8">
        <f>+D43/D42</f>
        <v>-1</v>
      </c>
      <c r="H44" t="s">
        <v>27</v>
      </c>
      <c r="M44" s="8">
        <f>+M43/M42</f>
        <v>6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1</v>
      </c>
      <c r="H47" t="s">
        <v>30</v>
      </c>
      <c r="M47" s="2">
        <v>3</v>
      </c>
    </row>
    <row r="48" spans="1:13" ht="12.75">
      <c r="A48" t="s">
        <v>26</v>
      </c>
      <c r="D48" s="2">
        <v>34</v>
      </c>
      <c r="H48" t="s">
        <v>26</v>
      </c>
      <c r="M48" s="2">
        <f>32+28+15</f>
        <v>75</v>
      </c>
    </row>
    <row r="49" spans="1:13" ht="12.75">
      <c r="A49" t="s">
        <v>27</v>
      </c>
      <c r="D49" s="8">
        <f>+D48/D47</f>
        <v>34</v>
      </c>
      <c r="H49" t="s">
        <v>27</v>
      </c>
      <c r="M49" s="8">
        <f>+M48/M47</f>
        <v>25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1</v>
      </c>
      <c r="H52" t="s">
        <v>31</v>
      </c>
      <c r="M52" s="2">
        <v>5</v>
      </c>
    </row>
    <row r="53" spans="1:13" ht="12.75">
      <c r="A53" t="s">
        <v>32</v>
      </c>
      <c r="D53" s="2">
        <v>5</v>
      </c>
      <c r="H53" t="s">
        <v>32</v>
      </c>
      <c r="M53" s="2">
        <v>47</v>
      </c>
    </row>
    <row r="55" spans="1:13" ht="12.75">
      <c r="A55" t="s">
        <v>33</v>
      </c>
      <c r="D55" s="2">
        <v>2</v>
      </c>
      <c r="H55" t="s">
        <v>33</v>
      </c>
      <c r="M55" s="2">
        <v>4</v>
      </c>
    </row>
    <row r="56" spans="1:13" ht="12.75">
      <c r="A56" t="s">
        <v>34</v>
      </c>
      <c r="D56" s="2">
        <v>2</v>
      </c>
      <c r="H56" t="s">
        <v>34</v>
      </c>
      <c r="M56" s="2">
        <v>2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14</v>
      </c>
      <c r="H61" t="s">
        <v>38</v>
      </c>
      <c r="M61" s="2">
        <v>9</v>
      </c>
    </row>
    <row r="62" spans="1:13" ht="12.75">
      <c r="A62" t="s">
        <v>39</v>
      </c>
      <c r="D62" s="2">
        <v>2</v>
      </c>
      <c r="H62" t="s">
        <v>39</v>
      </c>
      <c r="M62" s="2">
        <v>1</v>
      </c>
    </row>
    <row r="63" spans="1:13" ht="12.75">
      <c r="A63" t="s">
        <v>40</v>
      </c>
      <c r="D63" s="2">
        <v>0</v>
      </c>
      <c r="H63" t="s">
        <v>40</v>
      </c>
      <c r="M63" s="2">
        <v>1</v>
      </c>
    </row>
    <row r="64" spans="1:13" ht="12.75">
      <c r="A64" t="s">
        <v>41</v>
      </c>
      <c r="D64" s="2">
        <v>2</v>
      </c>
      <c r="H64" t="s">
        <v>41</v>
      </c>
      <c r="M64" s="2">
        <v>0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2</v>
      </c>
      <c r="H66" t="s">
        <v>43</v>
      </c>
      <c r="M66" s="2">
        <v>0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1</v>
      </c>
    </row>
    <row r="69" spans="1:13" ht="12.75">
      <c r="A69" t="s">
        <v>46</v>
      </c>
      <c r="D69" s="2">
        <v>1</v>
      </c>
      <c r="H69" t="s">
        <v>46</v>
      </c>
      <c r="M69" s="2">
        <v>3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33.33333333333333</v>
      </c>
    </row>
    <row r="71" spans="1:13" ht="12.75">
      <c r="A71" t="s">
        <v>93</v>
      </c>
      <c r="D71" s="10" t="str">
        <f>IF(V23&lt;10,V27,V26)</f>
        <v>29:37</v>
      </c>
      <c r="E71" s="8"/>
      <c r="F71" s="8"/>
      <c r="H71" t="s">
        <v>93</v>
      </c>
      <c r="M71" s="10" t="str">
        <f>IF(W23&lt;10,W27,W26)</f>
        <v>30:23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18</v>
      </c>
      <c r="D75">
        <v>51</v>
      </c>
      <c r="E75" s="12">
        <f>+D75/C75</f>
        <v>2.8333333333333335</v>
      </c>
      <c r="F75">
        <v>8</v>
      </c>
      <c r="G75">
        <v>0</v>
      </c>
      <c r="H75">
        <v>1</v>
      </c>
    </row>
    <row r="76" spans="1:8" ht="12.75">
      <c r="A76" s="1" t="s">
        <v>100</v>
      </c>
      <c r="C76">
        <v>12</v>
      </c>
      <c r="D76">
        <v>77</v>
      </c>
      <c r="E76" s="12">
        <f>+D76/C76</f>
        <v>6.416666666666667</v>
      </c>
      <c r="F76">
        <v>20</v>
      </c>
      <c r="G76">
        <v>0</v>
      </c>
      <c r="H76">
        <v>0</v>
      </c>
    </row>
    <row r="77" spans="1:8" ht="12.75">
      <c r="A77" s="1" t="s">
        <v>101</v>
      </c>
      <c r="C77">
        <v>4</v>
      </c>
      <c r="D77">
        <v>25</v>
      </c>
      <c r="E77" s="12">
        <f>+D77/C77</f>
        <v>6.25</v>
      </c>
      <c r="F77">
        <v>16</v>
      </c>
      <c r="G77">
        <v>0</v>
      </c>
      <c r="H77">
        <v>0</v>
      </c>
    </row>
    <row r="78" spans="1:8" ht="12.75">
      <c r="A78" s="1" t="s">
        <v>102</v>
      </c>
      <c r="C78">
        <v>3</v>
      </c>
      <c r="D78">
        <v>9</v>
      </c>
      <c r="E78" s="12">
        <f aca="true" t="shared" si="0" ref="E78:E84">+D78/C78</f>
        <v>3</v>
      </c>
      <c r="F78">
        <v>9</v>
      </c>
      <c r="G78">
        <v>0</v>
      </c>
      <c r="H78">
        <v>0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8" ht="12.75">
      <c r="A82" s="1" t="s">
        <v>106</v>
      </c>
      <c r="C82">
        <v>3</v>
      </c>
      <c r="D82">
        <v>-5</v>
      </c>
      <c r="E82" s="12">
        <f t="shared" si="0"/>
        <v>-1.6666666666666667</v>
      </c>
      <c r="F82">
        <v>-1</v>
      </c>
      <c r="G82">
        <v>0</v>
      </c>
      <c r="H82">
        <v>1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1</v>
      </c>
      <c r="D89">
        <v>8</v>
      </c>
      <c r="E89" s="12">
        <f aca="true" t="shared" si="1" ref="E89:E100">+D89/C89</f>
        <v>8</v>
      </c>
      <c r="F89">
        <v>8</v>
      </c>
      <c r="G89">
        <v>0</v>
      </c>
      <c r="H89">
        <v>0</v>
      </c>
    </row>
    <row r="90" spans="1:8" ht="12.75">
      <c r="A90" s="1" t="s">
        <v>109</v>
      </c>
      <c r="C90">
        <v>1</v>
      </c>
      <c r="D90">
        <v>32</v>
      </c>
      <c r="E90" s="12">
        <f t="shared" si="1"/>
        <v>32</v>
      </c>
      <c r="F90">
        <v>32</v>
      </c>
      <c r="G90">
        <v>0</v>
      </c>
      <c r="H90">
        <v>0</v>
      </c>
    </row>
    <row r="91" spans="1:5" ht="12.75">
      <c r="A91" s="1" t="s">
        <v>108</v>
      </c>
      <c r="E91" s="12" t="e">
        <f t="shared" si="1"/>
        <v>#DIV/0!</v>
      </c>
    </row>
    <row r="92" spans="1:5" ht="12.75">
      <c r="A92" s="1" t="s">
        <v>99</v>
      </c>
      <c r="E92" s="12" t="e">
        <f t="shared" si="1"/>
        <v>#DIV/0!</v>
      </c>
    </row>
    <row r="93" spans="1:8" ht="12.75">
      <c r="A93" s="1" t="s">
        <v>110</v>
      </c>
      <c r="C93">
        <v>3</v>
      </c>
      <c r="D93">
        <v>62</v>
      </c>
      <c r="E93" s="12">
        <f t="shared" si="1"/>
        <v>20.666666666666668</v>
      </c>
      <c r="F93">
        <v>27</v>
      </c>
      <c r="G93">
        <v>2</v>
      </c>
      <c r="H93">
        <v>0</v>
      </c>
    </row>
    <row r="94" spans="1:8" ht="12.75">
      <c r="A94" s="1" t="s">
        <v>100</v>
      </c>
      <c r="C94">
        <v>1</v>
      </c>
      <c r="D94">
        <v>7</v>
      </c>
      <c r="E94" s="12">
        <f t="shared" si="1"/>
        <v>7</v>
      </c>
      <c r="F94">
        <v>7</v>
      </c>
      <c r="G94">
        <v>0</v>
      </c>
      <c r="H94">
        <v>0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19</v>
      </c>
      <c r="D106">
        <v>6</v>
      </c>
      <c r="E106" s="12">
        <f>+D106/C106*100</f>
        <v>31.57894736842105</v>
      </c>
      <c r="F106">
        <v>109</v>
      </c>
      <c r="G106">
        <v>2</v>
      </c>
      <c r="H106">
        <v>32</v>
      </c>
      <c r="I106">
        <v>0</v>
      </c>
      <c r="J106" s="8">
        <f>+G106/C106*100</f>
        <v>10.526315789473683</v>
      </c>
      <c r="K106" s="12">
        <f>+I106/C106*100</f>
        <v>0</v>
      </c>
      <c r="L106" s="12">
        <f>+F106/C106</f>
        <v>5.7368421052631575</v>
      </c>
      <c r="M106" s="12">
        <f>100*(S106+U106+W106+Y106)/6</f>
        <v>87.39035087719299</v>
      </c>
      <c r="N106">
        <v>0</v>
      </c>
      <c r="R106">
        <f>+(E106-30)/20</f>
        <v>0.07894736842105257</v>
      </c>
      <c r="S106" s="2">
        <f>IF(R106&lt;0,0,R106)</f>
        <v>0.07894736842105257</v>
      </c>
      <c r="T106" s="6">
        <f>+(L106-3)/4</f>
        <v>0.6842105263157894</v>
      </c>
      <c r="U106" s="2">
        <f>IF(T106&lt;0,0,T106)</f>
        <v>0.6842105263157894</v>
      </c>
      <c r="V106">
        <f>+J106/5</f>
        <v>2.1052631578947367</v>
      </c>
      <c r="W106" s="2">
        <f>IF(V106&lt;0,0,V106)</f>
        <v>2.1052631578947367</v>
      </c>
      <c r="X106">
        <f>(9.5-K106)/4</f>
        <v>2.375</v>
      </c>
      <c r="Y106" s="2">
        <f>IF(X106&lt;0,0,X106)</f>
        <v>2.375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2</v>
      </c>
      <c r="E113">
        <v>-2</v>
      </c>
      <c r="F113" s="12">
        <f aca="true" t="shared" si="2" ref="F113:F118">+E113/C113</f>
        <v>-1</v>
      </c>
      <c r="G113">
        <v>-2</v>
      </c>
      <c r="H113">
        <v>0</v>
      </c>
      <c r="I113">
        <v>0</v>
      </c>
    </row>
    <row r="114" spans="1:6" ht="12.75">
      <c r="A114" s="1" t="s">
        <v>123</v>
      </c>
      <c r="D114">
        <v>1</v>
      </c>
      <c r="F114" s="12" t="e">
        <f t="shared" si="2"/>
        <v>#DIV/0!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1</v>
      </c>
      <c r="D123">
        <v>34</v>
      </c>
      <c r="E123" s="12">
        <f aca="true" t="shared" si="3" ref="E123:E128">+D123/C123</f>
        <v>34</v>
      </c>
      <c r="F123">
        <v>34</v>
      </c>
      <c r="G123">
        <v>0</v>
      </c>
      <c r="H123">
        <v>0</v>
      </c>
    </row>
    <row r="124" spans="1:5" ht="12.75">
      <c r="A124" s="1" t="s">
        <v>101</v>
      </c>
      <c r="E124" s="12" t="e">
        <f t="shared" si="3"/>
        <v>#DIV/0!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9</v>
      </c>
      <c r="D133">
        <f>54+41+42+41+34+37+31+60+51</f>
        <v>391</v>
      </c>
      <c r="E133" s="12">
        <f>+D133/C133</f>
        <v>43.44444444444444</v>
      </c>
      <c r="F133">
        <v>60</v>
      </c>
      <c r="G133">
        <v>0</v>
      </c>
      <c r="H133">
        <v>0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2</v>
      </c>
      <c r="D137">
        <v>0</v>
      </c>
      <c r="E137">
        <v>2</v>
      </c>
      <c r="F137">
        <v>2</v>
      </c>
      <c r="G137">
        <v>0</v>
      </c>
      <c r="H137">
        <v>0</v>
      </c>
      <c r="I137" s="12" t="e">
        <f>+H137/G137*100</f>
        <v>#DIV/0!</v>
      </c>
      <c r="J137">
        <v>0</v>
      </c>
    </row>
    <row r="138" spans="1:10" ht="12.75">
      <c r="A138" s="1" t="s">
        <v>119</v>
      </c>
      <c r="G138">
        <v>1</v>
      </c>
      <c r="H138">
        <v>0</v>
      </c>
      <c r="I138" s="12">
        <f>+H138/G138*100</f>
        <v>0</v>
      </c>
      <c r="J138"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spans="1:6" ht="12.75">
      <c r="A156" s="19" t="s">
        <v>130</v>
      </c>
      <c r="C156">
        <v>1</v>
      </c>
      <c r="D156">
        <v>0</v>
      </c>
      <c r="E156">
        <v>0</v>
      </c>
      <c r="F156">
        <v>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spans="1:6" ht="12.75">
      <c r="A164" s="19" t="s">
        <v>138</v>
      </c>
      <c r="C164">
        <v>1</v>
      </c>
      <c r="D164">
        <v>0</v>
      </c>
      <c r="E164">
        <v>0</v>
      </c>
      <c r="F164">
        <v>0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spans="1:6" ht="12.75">
      <c r="A183" s="19" t="s">
        <v>157</v>
      </c>
      <c r="C183">
        <v>1</v>
      </c>
      <c r="D183">
        <v>0</v>
      </c>
      <c r="E183">
        <v>0</v>
      </c>
      <c r="F183">
        <v>0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12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20</v>
      </c>
      <c r="H6" s="1" t="s">
        <v>29</v>
      </c>
      <c r="M6" s="2">
        <v>24</v>
      </c>
    </row>
    <row r="7" spans="1:13" ht="12.75">
      <c r="A7" s="18" t="s">
        <v>95</v>
      </c>
      <c r="D7" s="2">
        <v>7</v>
      </c>
      <c r="H7" s="18" t="s">
        <v>95</v>
      </c>
      <c r="M7" s="2">
        <v>11</v>
      </c>
    </row>
    <row r="8" spans="1:13" ht="12.75">
      <c r="A8" s="18" t="s">
        <v>96</v>
      </c>
      <c r="D8" s="2">
        <v>12</v>
      </c>
      <c r="H8" s="18" t="s">
        <v>96</v>
      </c>
      <c r="M8" s="2">
        <v>13</v>
      </c>
    </row>
    <row r="9" spans="1:13" ht="12.75">
      <c r="A9" s="18" t="s">
        <v>97</v>
      </c>
      <c r="D9" s="2">
        <v>1</v>
      </c>
      <c r="H9" s="18" t="s">
        <v>97</v>
      </c>
      <c r="M9" s="2">
        <v>0</v>
      </c>
    </row>
    <row r="11" spans="1:23" ht="12.75">
      <c r="A11" t="s">
        <v>1</v>
      </c>
      <c r="D11" s="2">
        <f>13+2+7+3+2+1+1</f>
        <v>29</v>
      </c>
      <c r="H11" t="s">
        <v>1</v>
      </c>
      <c r="M11" s="2">
        <f>11+1+10+4+2+1+2</f>
        <v>31</v>
      </c>
      <c r="V11">
        <f>+D11</f>
        <v>29</v>
      </c>
      <c r="W11">
        <f>+M11</f>
        <v>31</v>
      </c>
    </row>
    <row r="12" spans="1:23" ht="12.75">
      <c r="A12" t="s">
        <v>2</v>
      </c>
      <c r="D12" s="2">
        <f>32+5+15+15+12+12+6</f>
        <v>97</v>
      </c>
      <c r="H12" t="s">
        <v>2</v>
      </c>
      <c r="M12" s="2">
        <f>71-1+69+38+13+2+26</f>
        <v>218</v>
      </c>
      <c r="U12" s="13"/>
      <c r="V12">
        <f>+D16</f>
        <v>21</v>
      </c>
      <c r="W12">
        <f>+M16</f>
        <v>15</v>
      </c>
    </row>
    <row r="13" spans="1:23" ht="12.75">
      <c r="A13" s="1" t="s">
        <v>3</v>
      </c>
      <c r="D13" s="8">
        <f>+D12/D11</f>
        <v>3.3448275862068964</v>
      </c>
      <c r="H13" s="1" t="s">
        <v>3</v>
      </c>
      <c r="M13" s="8">
        <f>+M12/M11</f>
        <v>7.032258064516129</v>
      </c>
      <c r="V13">
        <f>+(D15-D16)/2</f>
        <v>9.5</v>
      </c>
      <c r="W13">
        <f>+(M15-M16)/2</f>
        <v>4.5</v>
      </c>
    </row>
    <row r="14" spans="22:23" ht="12.75">
      <c r="V14">
        <f>+D38/2</f>
        <v>2</v>
      </c>
      <c r="W14">
        <f>+M38/2</f>
        <v>1</v>
      </c>
    </row>
    <row r="15" spans="1:23" ht="12.75">
      <c r="A15" t="s">
        <v>4</v>
      </c>
      <c r="D15" s="2">
        <v>40</v>
      </c>
      <c r="H15" t="s">
        <v>4</v>
      </c>
      <c r="M15" s="2">
        <v>24</v>
      </c>
      <c r="V15">
        <f>+D42/2</f>
        <v>0.5</v>
      </c>
      <c r="W15">
        <f>+M42/2</f>
        <v>2</v>
      </c>
    </row>
    <row r="16" spans="1:23" ht="12.75">
      <c r="A16" t="s">
        <v>5</v>
      </c>
      <c r="D16" s="2">
        <v>21</v>
      </c>
      <c r="H16" t="s">
        <v>5</v>
      </c>
      <c r="M16" s="2">
        <v>15</v>
      </c>
      <c r="V16">
        <f>+D47/2</f>
        <v>2</v>
      </c>
      <c r="W16">
        <f>+M47/2</f>
        <v>3.5</v>
      </c>
    </row>
    <row r="17" spans="1:13" ht="12.75">
      <c r="A17" t="s">
        <v>6</v>
      </c>
      <c r="D17" s="8">
        <f>+D16/D15*100</f>
        <v>52.5</v>
      </c>
      <c r="H17" t="s">
        <v>6</v>
      </c>
      <c r="M17" s="8">
        <f>+M16/M15*100</f>
        <v>62.5</v>
      </c>
    </row>
    <row r="18" spans="1:24" ht="12.75">
      <c r="A18" t="s">
        <v>7</v>
      </c>
      <c r="D18" s="2">
        <f>216+90</f>
        <v>306</v>
      </c>
      <c r="H18" t="s">
        <v>7</v>
      </c>
      <c r="M18" s="2">
        <v>324</v>
      </c>
      <c r="V18">
        <f>SUM(V11:V16)</f>
        <v>64</v>
      </c>
      <c r="W18">
        <f>SUM(W11:W16)</f>
        <v>57</v>
      </c>
      <c r="X18">
        <f>+W18+V18</f>
        <v>121</v>
      </c>
    </row>
    <row r="19" spans="1:23" ht="12.75">
      <c r="A19" t="s">
        <v>8</v>
      </c>
      <c r="D19" s="2">
        <v>0</v>
      </c>
      <c r="H19" t="s">
        <v>8</v>
      </c>
      <c r="M19" s="2">
        <v>0</v>
      </c>
      <c r="V19">
        <f>+V18/X18</f>
        <v>0.5289256198347108</v>
      </c>
      <c r="W19">
        <f>+W18/X18</f>
        <v>0.47107438016528924</v>
      </c>
    </row>
    <row r="20" spans="1:23" ht="12.75">
      <c r="A20" t="s">
        <v>9</v>
      </c>
      <c r="D20" s="2">
        <v>0</v>
      </c>
      <c r="H20" t="s">
        <v>9</v>
      </c>
      <c r="M20" s="2">
        <v>0</v>
      </c>
      <c r="V20">
        <f>+V19*60</f>
        <v>31.735537190082646</v>
      </c>
      <c r="W20">
        <f>+W19*60</f>
        <v>28.264462809917354</v>
      </c>
    </row>
    <row r="21" spans="1:23" ht="12.75">
      <c r="A21" t="s">
        <v>10</v>
      </c>
      <c r="D21">
        <f>+D18-D20</f>
        <v>306</v>
      </c>
      <c r="H21" t="s">
        <v>10</v>
      </c>
      <c r="M21">
        <f>+M18-M20</f>
        <v>324</v>
      </c>
      <c r="V21">
        <f>+V20-INT(V20)</f>
        <v>0.7355371900826455</v>
      </c>
      <c r="W21">
        <f>+W20-INT(W20)</f>
        <v>0.2644628099173545</v>
      </c>
    </row>
    <row r="22" spans="1:23" ht="12.75">
      <c r="A22" t="s">
        <v>11</v>
      </c>
      <c r="D22" s="7">
        <f>+D21/(D15+D19)</f>
        <v>7.65</v>
      </c>
      <c r="H22" t="s">
        <v>11</v>
      </c>
      <c r="M22" s="7">
        <f>+M21/(M15+M19)</f>
        <v>13.5</v>
      </c>
      <c r="V22">
        <f>+V21*60</f>
        <v>44.13223140495873</v>
      </c>
      <c r="W22">
        <f>+W21*60</f>
        <v>15.86776859504127</v>
      </c>
    </row>
    <row r="23" spans="1:23" ht="12.75">
      <c r="A23" t="s">
        <v>12</v>
      </c>
      <c r="D23" s="7">
        <f>+D18/D16</f>
        <v>14.571428571428571</v>
      </c>
      <c r="H23" t="s">
        <v>12</v>
      </c>
      <c r="M23" s="7">
        <f>+M18/M16</f>
        <v>21.6</v>
      </c>
      <c r="U23">
        <v>0</v>
      </c>
      <c r="V23" s="11">
        <f>ROUND(V22,0)</f>
        <v>44</v>
      </c>
      <c r="W23">
        <f>ROUND(W22,0)</f>
        <v>16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403</v>
      </c>
      <c r="H26" t="s">
        <v>14</v>
      </c>
      <c r="M26">
        <f>+M21+M12</f>
        <v>542</v>
      </c>
      <c r="Q26" s="9"/>
      <c r="R26" s="9"/>
      <c r="V26" s="14" t="str">
        <f>+V24&amp;V25&amp;V23</f>
        <v>31:44</v>
      </c>
      <c r="W26" s="9" t="str">
        <f>+W24&amp;W25&amp;W23</f>
        <v>28:16</v>
      </c>
    </row>
    <row r="27" spans="1:23" ht="12.75">
      <c r="A27" t="s">
        <v>15</v>
      </c>
      <c r="D27" s="7">
        <f>+D12/D26*100</f>
        <v>24.069478908188586</v>
      </c>
      <c r="H27" t="s">
        <v>15</v>
      </c>
      <c r="M27" s="7">
        <f>+M12/M26*100</f>
        <v>40.22140221402214</v>
      </c>
      <c r="V27" s="9" t="str">
        <f>IF(V23&lt;10,+V24&amp;V25&amp;$U$23&amp;V23,+V24&amp;V25&amp;V23)</f>
        <v>31:44</v>
      </c>
      <c r="W27" s="9" t="str">
        <f>IF(W23&lt;10,+W24&amp;W25&amp;$U$23&amp;W23,+W24&amp;W25&amp;W23)</f>
        <v>28:16</v>
      </c>
    </row>
    <row r="28" spans="1:13" ht="12.75">
      <c r="A28" s="1" t="s">
        <v>90</v>
      </c>
      <c r="D28" s="7">
        <f>+D21/D26*100</f>
        <v>75.93052109181141</v>
      </c>
      <c r="H28" s="1" t="s">
        <v>90</v>
      </c>
      <c r="M28" s="7">
        <f>+M21/M26*100</f>
        <v>59.77859778597786</v>
      </c>
    </row>
    <row r="30" spans="1:13" ht="12.75">
      <c r="A30" t="s">
        <v>16</v>
      </c>
      <c r="D30">
        <f>+D11+D15+D19</f>
        <v>69</v>
      </c>
      <c r="H30" t="s">
        <v>16</v>
      </c>
      <c r="M30">
        <f>+M11+M15+M19</f>
        <v>55</v>
      </c>
    </row>
    <row r="31" spans="1:13" ht="12.75">
      <c r="A31" t="s">
        <v>17</v>
      </c>
      <c r="D31" s="8">
        <f>+D26/D30</f>
        <v>5.840579710144928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9.854545454545455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7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2</v>
      </c>
    </row>
    <row r="39" spans="1:13" ht="12.75">
      <c r="A39" t="s">
        <v>23</v>
      </c>
      <c r="D39" s="2">
        <f>48+45+30+48</f>
        <v>171</v>
      </c>
      <c r="H39" t="s">
        <v>23</v>
      </c>
      <c r="M39" s="2">
        <v>63</v>
      </c>
    </row>
    <row r="40" spans="1:13" ht="12.75">
      <c r="A40" t="s">
        <v>24</v>
      </c>
      <c r="D40" s="8">
        <f>+D39/D38</f>
        <v>42.75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31.5</v>
      </c>
    </row>
    <row r="42" spans="1:13" ht="12.75">
      <c r="A42" t="s">
        <v>25</v>
      </c>
      <c r="D42" s="2">
        <v>1</v>
      </c>
      <c r="H42" t="s">
        <v>25</v>
      </c>
      <c r="M42" s="2">
        <v>4</v>
      </c>
    </row>
    <row r="43" spans="1:13" ht="12.75">
      <c r="A43" t="s">
        <v>26</v>
      </c>
      <c r="D43" s="2">
        <v>-1</v>
      </c>
      <c r="H43" t="s">
        <v>26</v>
      </c>
      <c r="M43" s="2">
        <v>19</v>
      </c>
    </row>
    <row r="44" spans="1:13" ht="12.75">
      <c r="A44" t="s">
        <v>27</v>
      </c>
      <c r="D44" s="8">
        <f>+D43/D42</f>
        <v>-1</v>
      </c>
      <c r="H44" t="s">
        <v>27</v>
      </c>
      <c r="M44" s="8">
        <f>+M43/M42</f>
        <v>4.75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4</v>
      </c>
      <c r="H47" t="s">
        <v>30</v>
      </c>
      <c r="M47" s="2">
        <v>7</v>
      </c>
    </row>
    <row r="48" spans="1:13" ht="12.75">
      <c r="A48" t="s">
        <v>26</v>
      </c>
      <c r="D48" s="2">
        <f>15+40+34+16</f>
        <v>105</v>
      </c>
      <c r="H48" t="s">
        <v>26</v>
      </c>
      <c r="M48" s="2">
        <f>41+17+28+18+27+28</f>
        <v>159</v>
      </c>
    </row>
    <row r="49" spans="1:13" ht="12.75">
      <c r="A49" t="s">
        <v>27</v>
      </c>
      <c r="D49" s="8">
        <f>+D48/D47</f>
        <v>26.25</v>
      </c>
      <c r="H49" t="s">
        <v>27</v>
      </c>
      <c r="M49" s="8">
        <f>+M48/M47</f>
        <v>22.714285714285715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2</v>
      </c>
      <c r="H52" t="s">
        <v>31</v>
      </c>
      <c r="M52" s="2">
        <v>6</v>
      </c>
    </row>
    <row r="53" spans="1:13" ht="12.75">
      <c r="A53" t="s">
        <v>32</v>
      </c>
      <c r="D53" s="2">
        <v>20</v>
      </c>
      <c r="H53" t="s">
        <v>32</v>
      </c>
      <c r="M53" s="2">
        <v>44</v>
      </c>
    </row>
    <row r="55" spans="1:13" ht="12.75">
      <c r="A55" t="s">
        <v>33</v>
      </c>
      <c r="D55" s="2">
        <v>1</v>
      </c>
      <c r="H55" t="s">
        <v>33</v>
      </c>
      <c r="M55" s="2">
        <v>5</v>
      </c>
    </row>
    <row r="56" spans="1:13" ht="12.75">
      <c r="A56" t="s">
        <v>34</v>
      </c>
      <c r="D56" s="2">
        <v>1</v>
      </c>
      <c r="H56" t="s">
        <v>34</v>
      </c>
      <c r="M56" s="2">
        <v>1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4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34</v>
      </c>
      <c r="H61" t="s">
        <v>38</v>
      </c>
      <c r="M61" s="2">
        <v>42</v>
      </c>
    </row>
    <row r="62" spans="1:13" ht="12.75">
      <c r="A62" t="s">
        <v>39</v>
      </c>
      <c r="D62" s="2">
        <v>4</v>
      </c>
      <c r="H62" t="s">
        <v>39</v>
      </c>
      <c r="M62" s="2">
        <v>6</v>
      </c>
    </row>
    <row r="63" spans="1:13" ht="12.75">
      <c r="A63" t="s">
        <v>40</v>
      </c>
      <c r="D63" s="2">
        <v>3</v>
      </c>
      <c r="H63" t="s">
        <v>40</v>
      </c>
      <c r="M63" s="2">
        <v>2</v>
      </c>
    </row>
    <row r="64" spans="1:13" ht="12.75">
      <c r="A64" t="s">
        <v>41</v>
      </c>
      <c r="D64" s="2">
        <v>1</v>
      </c>
      <c r="H64" t="s">
        <v>41</v>
      </c>
      <c r="M64" s="2">
        <v>4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4</v>
      </c>
      <c r="H66" t="s">
        <v>43</v>
      </c>
      <c r="M66" s="2">
        <v>6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2</v>
      </c>
      <c r="H68" t="s">
        <v>45</v>
      </c>
      <c r="M68" s="2">
        <v>0</v>
      </c>
    </row>
    <row r="69" spans="1:13" ht="12.75">
      <c r="A69" t="s">
        <v>46</v>
      </c>
      <c r="D69" s="2">
        <v>4</v>
      </c>
      <c r="H69" t="s">
        <v>46</v>
      </c>
      <c r="M69" s="2">
        <v>1</v>
      </c>
    </row>
    <row r="70" spans="1:13" ht="12.75">
      <c r="A70" t="s">
        <v>47</v>
      </c>
      <c r="D70" s="8">
        <f>+D68/D69*100</f>
        <v>50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.75">
      <c r="A71" t="s">
        <v>93</v>
      </c>
      <c r="D71" s="10" t="str">
        <f>IF(V23&lt;10,V27,V26)</f>
        <v>31:44</v>
      </c>
      <c r="E71" s="8"/>
      <c r="F71" s="8"/>
      <c r="H71" t="s">
        <v>93</v>
      </c>
      <c r="M71" s="10" t="str">
        <f>IF(W23&lt;10,W27,W26)</f>
        <v>28:16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13</v>
      </c>
      <c r="D75">
        <v>32</v>
      </c>
      <c r="E75" s="12">
        <f>+D75/C75</f>
        <v>2.4615384615384617</v>
      </c>
      <c r="F75">
        <v>11</v>
      </c>
      <c r="G75">
        <v>0</v>
      </c>
      <c r="H75">
        <v>1</v>
      </c>
    </row>
    <row r="76" spans="1:8" ht="12.75">
      <c r="A76" s="1" t="s">
        <v>100</v>
      </c>
      <c r="C76">
        <v>7</v>
      </c>
      <c r="D76">
        <v>15</v>
      </c>
      <c r="E76" s="12">
        <f>+D76/C76</f>
        <v>2.142857142857143</v>
      </c>
      <c r="F76">
        <v>14</v>
      </c>
      <c r="G76">
        <v>1</v>
      </c>
      <c r="H76">
        <v>0</v>
      </c>
    </row>
    <row r="77" spans="1:8" ht="12.75">
      <c r="A77" s="1" t="s">
        <v>101</v>
      </c>
      <c r="C77">
        <v>3</v>
      </c>
      <c r="D77">
        <v>15</v>
      </c>
      <c r="E77" s="12">
        <f>+D77/C77</f>
        <v>5</v>
      </c>
      <c r="F77">
        <v>9</v>
      </c>
      <c r="G77">
        <v>1</v>
      </c>
      <c r="H77">
        <v>0</v>
      </c>
    </row>
    <row r="78" spans="1:8" ht="12.75">
      <c r="A78" s="1" t="s">
        <v>102</v>
      </c>
      <c r="C78">
        <v>2</v>
      </c>
      <c r="D78">
        <v>12</v>
      </c>
      <c r="E78" s="12">
        <f aca="true" t="shared" si="0" ref="E78:E84">+D78/C78</f>
        <v>6</v>
      </c>
      <c r="F78">
        <v>16</v>
      </c>
      <c r="G78">
        <v>0</v>
      </c>
      <c r="H78">
        <v>0</v>
      </c>
    </row>
    <row r="79" spans="1:8" ht="12.75">
      <c r="A79" s="1" t="s">
        <v>103</v>
      </c>
      <c r="C79">
        <v>2</v>
      </c>
      <c r="D79">
        <v>5</v>
      </c>
      <c r="E79" s="12">
        <f t="shared" si="0"/>
        <v>2.5</v>
      </c>
      <c r="F79">
        <v>7</v>
      </c>
      <c r="G79">
        <v>0</v>
      </c>
      <c r="H79">
        <v>0</v>
      </c>
    </row>
    <row r="80" spans="1:8" ht="12.75">
      <c r="A80" s="1" t="s">
        <v>104</v>
      </c>
      <c r="C80">
        <v>1</v>
      </c>
      <c r="D80">
        <v>12</v>
      </c>
      <c r="E80" s="12">
        <f t="shared" si="0"/>
        <v>12</v>
      </c>
      <c r="F80">
        <v>12</v>
      </c>
      <c r="G80">
        <v>0</v>
      </c>
      <c r="H80">
        <v>0</v>
      </c>
    </row>
    <row r="81" spans="1:8" ht="12.75">
      <c r="A81" s="1" t="s">
        <v>105</v>
      </c>
      <c r="C81">
        <v>1</v>
      </c>
      <c r="D81">
        <v>6</v>
      </c>
      <c r="E81" s="12">
        <f t="shared" si="0"/>
        <v>6</v>
      </c>
      <c r="F81">
        <v>6</v>
      </c>
      <c r="G81">
        <v>1</v>
      </c>
      <c r="H81">
        <v>0</v>
      </c>
    </row>
    <row r="82" spans="1:5" ht="12.75">
      <c r="A82" s="1" t="s">
        <v>106</v>
      </c>
      <c r="E82" s="12" t="e">
        <f t="shared" si="0"/>
        <v>#DIV/0!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6</v>
      </c>
      <c r="D89">
        <v>89</v>
      </c>
      <c r="E89" s="12">
        <f aca="true" t="shared" si="1" ref="E89:E100">+D89/C89</f>
        <v>14.833333333333334</v>
      </c>
      <c r="F89">
        <v>25</v>
      </c>
      <c r="G89">
        <v>0</v>
      </c>
      <c r="H89">
        <v>0</v>
      </c>
    </row>
    <row r="90" spans="1:8" ht="12.75">
      <c r="A90" s="1" t="s">
        <v>109</v>
      </c>
      <c r="C90">
        <v>3</v>
      </c>
      <c r="D90">
        <v>45</v>
      </c>
      <c r="E90" s="12">
        <f t="shared" si="1"/>
        <v>15</v>
      </c>
      <c r="F90">
        <v>32</v>
      </c>
      <c r="G90">
        <v>0</v>
      </c>
      <c r="H90">
        <v>0</v>
      </c>
    </row>
    <row r="91" spans="1:8" ht="12.75">
      <c r="A91" s="1" t="s">
        <v>108</v>
      </c>
      <c r="C91">
        <v>5</v>
      </c>
      <c r="D91">
        <v>107</v>
      </c>
      <c r="E91" s="12">
        <f t="shared" si="1"/>
        <v>21.4</v>
      </c>
      <c r="F91">
        <v>39</v>
      </c>
      <c r="G91">
        <v>1</v>
      </c>
      <c r="H91">
        <v>0</v>
      </c>
    </row>
    <row r="92" spans="1:8" ht="12.75">
      <c r="A92" s="1" t="s">
        <v>99</v>
      </c>
      <c r="C92">
        <v>3</v>
      </c>
      <c r="D92">
        <v>1</v>
      </c>
      <c r="E92" s="12">
        <f t="shared" si="1"/>
        <v>0.3333333333333333</v>
      </c>
      <c r="F92">
        <v>2</v>
      </c>
      <c r="G92">
        <v>0</v>
      </c>
      <c r="H92">
        <v>0</v>
      </c>
    </row>
    <row r="93" spans="1:8" ht="12.75">
      <c r="A93" s="1" t="s">
        <v>110</v>
      </c>
      <c r="C93">
        <v>1</v>
      </c>
      <c r="D93">
        <v>35</v>
      </c>
      <c r="E93" s="12">
        <f t="shared" si="1"/>
        <v>35</v>
      </c>
      <c r="F93">
        <v>35</v>
      </c>
      <c r="G93">
        <v>0</v>
      </c>
      <c r="H93">
        <v>0</v>
      </c>
    </row>
    <row r="94" spans="1:8" ht="12.75">
      <c r="A94" s="1" t="s">
        <v>100</v>
      </c>
      <c r="C94">
        <v>2</v>
      </c>
      <c r="D94">
        <v>30</v>
      </c>
      <c r="E94" s="12">
        <f t="shared" si="1"/>
        <v>15</v>
      </c>
      <c r="F94">
        <v>15</v>
      </c>
      <c r="G94">
        <v>0</v>
      </c>
      <c r="H94">
        <v>0</v>
      </c>
    </row>
    <row r="95" spans="1:5" ht="12.75">
      <c r="A95" s="1" t="s">
        <v>111</v>
      </c>
      <c r="E95" s="12" t="e">
        <f t="shared" si="1"/>
        <v>#DIV/0!</v>
      </c>
    </row>
    <row r="96" spans="1:8" ht="12.75">
      <c r="A96" s="1" t="s">
        <v>103</v>
      </c>
      <c r="C96">
        <v>1</v>
      </c>
      <c r="D96">
        <v>-2</v>
      </c>
      <c r="E96" s="12">
        <f t="shared" si="1"/>
        <v>-2</v>
      </c>
      <c r="F96">
        <v>-2</v>
      </c>
      <c r="G96">
        <v>0</v>
      </c>
      <c r="H96">
        <v>0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29</v>
      </c>
      <c r="D106">
        <v>14</v>
      </c>
      <c r="E106" s="12">
        <f>+D106/C106*100</f>
        <v>48.275862068965516</v>
      </c>
      <c r="F106">
        <v>216</v>
      </c>
      <c r="G106">
        <v>1</v>
      </c>
      <c r="H106">
        <v>39</v>
      </c>
      <c r="I106">
        <v>1</v>
      </c>
      <c r="J106" s="8">
        <f>+G106/C106*100</f>
        <v>3.4482758620689653</v>
      </c>
      <c r="K106" s="12">
        <f>+I106/C106*100</f>
        <v>3.4482758620689653</v>
      </c>
      <c r="L106" s="12">
        <f>+F106/C106</f>
        <v>7.448275862068965</v>
      </c>
      <c r="M106" s="12">
        <f>100*(S106+U106+W106+Y106)/6</f>
        <v>70.47413793103448</v>
      </c>
      <c r="N106">
        <v>0</v>
      </c>
      <c r="R106">
        <f>+(E106-30)/20</f>
        <v>0.9137931034482758</v>
      </c>
      <c r="S106" s="2">
        <f>IF(R106&lt;0,0,R106)</f>
        <v>0.9137931034482758</v>
      </c>
      <c r="T106" s="6">
        <f>+(L106-3)/4</f>
        <v>1.1120689655172413</v>
      </c>
      <c r="U106" s="2">
        <f>IF(T106&lt;0,0,T106)</f>
        <v>1.1120689655172413</v>
      </c>
      <c r="V106">
        <f>+J106/5</f>
        <v>0.689655172413793</v>
      </c>
      <c r="W106" s="2">
        <f>IF(V106&lt;0,0,V106)</f>
        <v>0.689655172413793</v>
      </c>
      <c r="X106">
        <f>(9.5-K106)/4</f>
        <v>1.5129310344827587</v>
      </c>
      <c r="Y106" s="2">
        <f>IF(X106&lt;0,0,X106)</f>
        <v>1.5129310344827587</v>
      </c>
    </row>
    <row r="107" spans="1:25" ht="12.75">
      <c r="A107" s="1" t="s">
        <v>104</v>
      </c>
      <c r="C107">
        <v>11</v>
      </c>
      <c r="D107">
        <v>7</v>
      </c>
      <c r="E107" s="12">
        <f>+D107/C107*100</f>
        <v>63.63636363636363</v>
      </c>
      <c r="F107">
        <v>90</v>
      </c>
      <c r="G107">
        <v>0</v>
      </c>
      <c r="H107">
        <v>33</v>
      </c>
      <c r="I107">
        <v>0</v>
      </c>
      <c r="J107" s="8">
        <f>+G107/C107*100</f>
        <v>0</v>
      </c>
      <c r="K107" s="12">
        <f>+I107/C107*100</f>
        <v>0</v>
      </c>
      <c r="L107" s="12">
        <f>+F107/C107</f>
        <v>8.181818181818182</v>
      </c>
      <c r="M107" s="12">
        <f>100*(S107+U107+W107+Y107)/6</f>
        <v>89.20454545454544</v>
      </c>
      <c r="N107">
        <v>0</v>
      </c>
      <c r="R107">
        <f>+(E107-30)/20</f>
        <v>1.6818181818181817</v>
      </c>
      <c r="S107" s="2">
        <f>IF(R107&lt;0,0,R107)</f>
        <v>1.6818181818181817</v>
      </c>
      <c r="T107" s="6">
        <f>+(L107-3)/4</f>
        <v>1.2954545454545454</v>
      </c>
      <c r="U107" s="2">
        <f>IF(T107&lt;0,0,T107)</f>
        <v>1.2954545454545454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.75">
      <c r="A113" s="1" t="s">
        <v>112</v>
      </c>
      <c r="F113" s="12" t="e">
        <f aca="true" t="shared" si="2" ref="F113:F118">+E113/C113</f>
        <v>#DIV/0!</v>
      </c>
    </row>
    <row r="114" spans="1:6" ht="12.75">
      <c r="A114" s="1" t="s">
        <v>123</v>
      </c>
      <c r="F114" s="12" t="e">
        <f t="shared" si="2"/>
        <v>#DIV/0!</v>
      </c>
    </row>
    <row r="115" spans="1:9" ht="12.75">
      <c r="A115" s="1" t="s">
        <v>114</v>
      </c>
      <c r="C115">
        <v>1</v>
      </c>
      <c r="E115">
        <v>-1</v>
      </c>
      <c r="F115" s="12">
        <f t="shared" si="2"/>
        <v>-1</v>
      </c>
      <c r="G115">
        <v>-1</v>
      </c>
      <c r="H115">
        <v>0</v>
      </c>
      <c r="I115">
        <v>0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2</v>
      </c>
      <c r="D123">
        <v>74</v>
      </c>
      <c r="E123" s="12">
        <f aca="true" t="shared" si="3" ref="E123:E128">+D123/C123</f>
        <v>37</v>
      </c>
      <c r="F123">
        <v>40</v>
      </c>
      <c r="G123">
        <v>0</v>
      </c>
      <c r="H123">
        <v>0</v>
      </c>
    </row>
    <row r="124" spans="1:8" ht="12.75">
      <c r="A124" s="1" t="s">
        <v>101</v>
      </c>
      <c r="C124">
        <v>1</v>
      </c>
      <c r="D124">
        <v>15</v>
      </c>
      <c r="E124" s="12">
        <f t="shared" si="3"/>
        <v>15</v>
      </c>
      <c r="F124">
        <v>15</v>
      </c>
      <c r="G124">
        <v>0</v>
      </c>
      <c r="H124">
        <v>0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8" ht="12.75">
      <c r="A127" s="1" t="s">
        <v>100</v>
      </c>
      <c r="C127">
        <v>1</v>
      </c>
      <c r="D127">
        <v>16</v>
      </c>
      <c r="E127" s="12">
        <f t="shared" si="3"/>
        <v>16</v>
      </c>
      <c r="F127">
        <v>16</v>
      </c>
      <c r="G127">
        <v>0</v>
      </c>
      <c r="H127">
        <v>0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4</v>
      </c>
      <c r="D133">
        <f>48+45+30+48</f>
        <v>171</v>
      </c>
      <c r="E133" s="12">
        <f>+D133/C133</f>
        <v>42.75</v>
      </c>
      <c r="F133">
        <v>48</v>
      </c>
      <c r="G133">
        <v>0</v>
      </c>
      <c r="H133">
        <v>0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6</v>
      </c>
      <c r="D137">
        <v>0</v>
      </c>
      <c r="E137">
        <v>4</v>
      </c>
      <c r="F137">
        <v>4</v>
      </c>
      <c r="G137">
        <v>4</v>
      </c>
      <c r="H137">
        <v>2</v>
      </c>
      <c r="I137" s="12">
        <f>+H137/G137*100</f>
        <v>50</v>
      </c>
      <c r="J137">
        <v>12</v>
      </c>
    </row>
    <row r="138" spans="1:9" ht="12.75">
      <c r="A138" s="1" t="s">
        <v>119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spans="1:6" ht="12.75">
      <c r="A171" s="19" t="s">
        <v>145</v>
      </c>
      <c r="C171">
        <v>1</v>
      </c>
      <c r="D171">
        <v>0</v>
      </c>
      <c r="E171">
        <v>0</v>
      </c>
      <c r="F171">
        <v>0</v>
      </c>
    </row>
    <row r="172" spans="1:6" ht="12.75">
      <c r="A172" s="19" t="s">
        <v>146</v>
      </c>
      <c r="C172">
        <v>1</v>
      </c>
      <c r="D172">
        <v>0</v>
      </c>
      <c r="E172">
        <v>0</v>
      </c>
      <c r="F172">
        <v>0</v>
      </c>
    </row>
    <row r="173" ht="12.75">
      <c r="A173" s="19" t="s">
        <v>147</v>
      </c>
    </row>
    <row r="174" spans="1:6" ht="12.75">
      <c r="A174" s="19" t="s">
        <v>148</v>
      </c>
      <c r="C174">
        <v>1</v>
      </c>
      <c r="D174">
        <v>87</v>
      </c>
      <c r="E174">
        <v>87</v>
      </c>
      <c r="F174">
        <v>0</v>
      </c>
    </row>
    <row r="175" spans="1:6" ht="12.75">
      <c r="A175" s="19" t="s">
        <v>149</v>
      </c>
      <c r="C175">
        <v>1</v>
      </c>
      <c r="D175">
        <v>0</v>
      </c>
      <c r="E175">
        <v>0</v>
      </c>
      <c r="F175">
        <v>0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spans="1:6" ht="12.75">
      <c r="A192" s="19" t="s">
        <v>166</v>
      </c>
      <c r="C192">
        <v>1</v>
      </c>
      <c r="D192">
        <v>0</v>
      </c>
      <c r="E192">
        <v>0</v>
      </c>
      <c r="F192">
        <v>0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43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421875" style="0" customWidth="1"/>
    <col min="15" max="15" width="8.7109375" style="0" customWidth="1"/>
  </cols>
  <sheetData>
    <row r="1" ht="12.75">
      <c r="A1" s="2" t="str">
        <f>+'Cumulative Stats'!A1</f>
        <v>1965 New York Giants</v>
      </c>
    </row>
    <row r="3" spans="1:16" ht="12.75">
      <c r="A3" s="2" t="s">
        <v>0</v>
      </c>
      <c r="H3" s="2" t="s">
        <v>48</v>
      </c>
      <c r="P3" s="16"/>
    </row>
    <row r="6" spans="1:13" ht="12.75">
      <c r="A6" s="1" t="s">
        <v>29</v>
      </c>
      <c r="D6" s="2">
        <v>15</v>
      </c>
      <c r="H6" s="1" t="s">
        <v>29</v>
      </c>
      <c r="M6" s="2">
        <v>29</v>
      </c>
    </row>
    <row r="7" spans="1:13" ht="12.75">
      <c r="A7" s="18" t="s">
        <v>95</v>
      </c>
      <c r="D7" s="2">
        <v>10</v>
      </c>
      <c r="H7" s="18" t="s">
        <v>95</v>
      </c>
      <c r="M7" s="2">
        <v>11</v>
      </c>
    </row>
    <row r="8" spans="1:13" ht="12.75">
      <c r="A8" s="18" t="s">
        <v>96</v>
      </c>
      <c r="D8" s="2">
        <v>4</v>
      </c>
      <c r="H8" s="18" t="s">
        <v>96</v>
      </c>
      <c r="M8" s="2">
        <v>16</v>
      </c>
    </row>
    <row r="9" spans="1:13" ht="12.75">
      <c r="A9" s="18" t="s">
        <v>97</v>
      </c>
      <c r="D9" s="2">
        <v>1</v>
      </c>
      <c r="H9" s="18" t="s">
        <v>97</v>
      </c>
      <c r="M9" s="2">
        <v>2</v>
      </c>
    </row>
    <row r="11" spans="1:23" ht="12.75">
      <c r="A11" t="s">
        <v>1</v>
      </c>
      <c r="D11" s="2">
        <f>18+11+2+2+1</f>
        <v>34</v>
      </c>
      <c r="H11" t="s">
        <v>1</v>
      </c>
      <c r="M11" s="2">
        <f>16+13+3+2+1</f>
        <v>35</v>
      </c>
      <c r="V11">
        <f>+D11</f>
        <v>34</v>
      </c>
      <c r="W11">
        <f>+M11</f>
        <v>35</v>
      </c>
    </row>
    <row r="12" spans="1:23" ht="12.75">
      <c r="A12" t="s">
        <v>2</v>
      </c>
      <c r="D12" s="2">
        <f>98+154+3+26-7</f>
        <v>274</v>
      </c>
      <c r="H12" t="s">
        <v>2</v>
      </c>
      <c r="M12" s="2">
        <f>91+26+17+23+20</f>
        <v>177</v>
      </c>
      <c r="U12" s="13"/>
      <c r="V12">
        <f>+D16</f>
        <v>7</v>
      </c>
      <c r="W12">
        <f>+M16</f>
        <v>19</v>
      </c>
    </row>
    <row r="13" spans="1:23" ht="12.75">
      <c r="A13" s="1" t="s">
        <v>3</v>
      </c>
      <c r="D13" s="8">
        <f>+D12/D11</f>
        <v>8.058823529411764</v>
      </c>
      <c r="H13" s="1" t="s">
        <v>3</v>
      </c>
      <c r="M13" s="8">
        <f>+M12/M11</f>
        <v>5.057142857142857</v>
      </c>
      <c r="V13">
        <f>+(D15-D16)/2</f>
        <v>5.5</v>
      </c>
      <c r="W13">
        <f>+(M15-M16)/2</f>
        <v>9.5</v>
      </c>
    </row>
    <row r="14" spans="16:23" ht="12.75">
      <c r="P14" s="17"/>
      <c r="V14">
        <f>+D38/2</f>
        <v>2.5</v>
      </c>
      <c r="W14">
        <f>+M38/2</f>
        <v>3</v>
      </c>
    </row>
    <row r="15" spans="1:23" ht="12.75">
      <c r="A15" t="s">
        <v>4</v>
      </c>
      <c r="D15" s="2">
        <v>18</v>
      </c>
      <c r="H15" t="s">
        <v>4</v>
      </c>
      <c r="M15" s="2">
        <v>38</v>
      </c>
      <c r="V15">
        <f>+D42/2</f>
        <v>2</v>
      </c>
      <c r="W15">
        <f>+M42/2</f>
        <v>0.5</v>
      </c>
    </row>
    <row r="16" spans="1:23" ht="12.75">
      <c r="A16" t="s">
        <v>5</v>
      </c>
      <c r="D16" s="2">
        <v>7</v>
      </c>
      <c r="H16" t="s">
        <v>5</v>
      </c>
      <c r="M16" s="2">
        <v>19</v>
      </c>
      <c r="V16">
        <f>+D47/2</f>
        <v>3</v>
      </c>
      <c r="W16">
        <f>+M47/2</f>
        <v>3</v>
      </c>
    </row>
    <row r="17" spans="1:13" ht="12.75">
      <c r="A17" t="s">
        <v>6</v>
      </c>
      <c r="D17" s="8">
        <f>+D16/D15*100</f>
        <v>38.88888888888889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262</v>
      </c>
      <c r="H18" t="s">
        <v>7</v>
      </c>
      <c r="M18" s="2">
        <v>327</v>
      </c>
      <c r="V18">
        <f>SUM(V11:V16)</f>
        <v>54</v>
      </c>
      <c r="W18">
        <f>SUM(W11:W16)</f>
        <v>70</v>
      </c>
      <c r="X18">
        <f>+W18+V18</f>
        <v>124</v>
      </c>
    </row>
    <row r="19" spans="1:23" ht="12.75">
      <c r="A19" t="s">
        <v>8</v>
      </c>
      <c r="D19" s="2">
        <v>1</v>
      </c>
      <c r="H19" t="s">
        <v>8</v>
      </c>
      <c r="M19" s="2">
        <v>2</v>
      </c>
      <c r="V19">
        <f>+V18/X18</f>
        <v>0.43548387096774194</v>
      </c>
      <c r="W19">
        <f>+W18/X18</f>
        <v>0.5645161290322581</v>
      </c>
    </row>
    <row r="20" spans="1:23" ht="12.75">
      <c r="A20" t="s">
        <v>9</v>
      </c>
      <c r="D20" s="2">
        <v>7</v>
      </c>
      <c r="H20" t="s">
        <v>9</v>
      </c>
      <c r="M20" s="2">
        <v>23</v>
      </c>
      <c r="V20">
        <f>+V19*60</f>
        <v>26.129032258064516</v>
      </c>
      <c r="W20">
        <f>+W19*60</f>
        <v>33.87096774193549</v>
      </c>
    </row>
    <row r="21" spans="1:23" ht="12.75">
      <c r="A21" t="s">
        <v>10</v>
      </c>
      <c r="D21">
        <f>+D18-D20</f>
        <v>255</v>
      </c>
      <c r="H21" t="s">
        <v>10</v>
      </c>
      <c r="M21">
        <f>+M18-M20</f>
        <v>304</v>
      </c>
      <c r="V21">
        <f>+V20-INT(V20)</f>
        <v>0.12903225806451601</v>
      </c>
      <c r="W21">
        <f>+W20-INT(W20)</f>
        <v>0.8709677419354875</v>
      </c>
    </row>
    <row r="22" spans="1:23" ht="12.75">
      <c r="A22" t="s">
        <v>11</v>
      </c>
      <c r="D22" s="7">
        <f>+D21/(D15+D19)</f>
        <v>13.421052631578947</v>
      </c>
      <c r="H22" t="s">
        <v>11</v>
      </c>
      <c r="M22" s="7">
        <f>+M21/(M15+M19)</f>
        <v>7.6</v>
      </c>
      <c r="V22">
        <f>+V21*60</f>
        <v>7.741935483870961</v>
      </c>
      <c r="W22">
        <f>+W21*60</f>
        <v>52.25806451612925</v>
      </c>
    </row>
    <row r="23" spans="1:23" ht="12.75">
      <c r="A23" t="s">
        <v>12</v>
      </c>
      <c r="D23" s="7">
        <f>+D18/D16</f>
        <v>37.42857142857143</v>
      </c>
      <c r="H23" t="s">
        <v>12</v>
      </c>
      <c r="M23" s="7">
        <f>+M18/M16</f>
        <v>17.210526315789473</v>
      </c>
      <c r="U23">
        <v>0</v>
      </c>
      <c r="V23" s="11">
        <f>ROUND(V22,0)</f>
        <v>8</v>
      </c>
      <c r="W23">
        <f>ROUND(W22,0)</f>
        <v>52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529</v>
      </c>
      <c r="H26" t="s">
        <v>14</v>
      </c>
      <c r="M26">
        <f>+M21+M12</f>
        <v>481</v>
      </c>
      <c r="Q26" s="9"/>
      <c r="R26" s="9"/>
      <c r="V26" s="14" t="str">
        <f>+V24&amp;V25&amp;V23</f>
        <v>26:8</v>
      </c>
      <c r="W26" s="9" t="str">
        <f>+W24&amp;W25&amp;W23</f>
        <v>33:52</v>
      </c>
    </row>
    <row r="27" spans="1:23" ht="12.75">
      <c r="A27" t="s">
        <v>15</v>
      </c>
      <c r="D27" s="7">
        <f>+D12/D26*100</f>
        <v>51.79584120982986</v>
      </c>
      <c r="H27" t="s">
        <v>15</v>
      </c>
      <c r="M27" s="7">
        <f>+M12/M26*100</f>
        <v>36.7983367983368</v>
      </c>
      <c r="V27" s="9" t="str">
        <f>IF(V23&lt;10,+V24&amp;V25&amp;$U$23&amp;V23,+V24&amp;V25&amp;V23)</f>
        <v>26:08</v>
      </c>
      <c r="W27" s="9" t="str">
        <f>IF(W23&lt;10,+W24&amp;W25&amp;$U$23&amp;W23,+W24&amp;W25&amp;W23)</f>
        <v>33:52</v>
      </c>
    </row>
    <row r="28" spans="1:13" ht="12.75">
      <c r="A28" s="1" t="s">
        <v>90</v>
      </c>
      <c r="D28" s="7">
        <f>+D21/D26*100</f>
        <v>48.20415879017013</v>
      </c>
      <c r="H28" s="1" t="s">
        <v>90</v>
      </c>
      <c r="M28" s="7">
        <f>+M21/M26*100</f>
        <v>63.20166320166321</v>
      </c>
    </row>
    <row r="30" spans="1:13" ht="12.75">
      <c r="A30" t="s">
        <v>16</v>
      </c>
      <c r="D30">
        <f>+D11+D15+D19</f>
        <v>53</v>
      </c>
      <c r="H30" t="s">
        <v>16</v>
      </c>
      <c r="M30">
        <f>+M11+M15+M19</f>
        <v>75</v>
      </c>
    </row>
    <row r="31" spans="1:13" ht="12.75">
      <c r="A31" t="s">
        <v>17</v>
      </c>
      <c r="D31" s="8">
        <f>+D26/D30</f>
        <v>9.981132075471699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6.413333333333333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4</v>
      </c>
    </row>
    <row r="35" spans="1:13" ht="12.75">
      <c r="A35" t="s">
        <v>20</v>
      </c>
      <c r="D35" s="2">
        <v>1</v>
      </c>
      <c r="H35" t="s">
        <v>20</v>
      </c>
      <c r="M35" s="2">
        <v>32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6</v>
      </c>
    </row>
    <row r="39" spans="1:13" ht="12.75">
      <c r="A39" t="s">
        <v>23</v>
      </c>
      <c r="D39" s="2">
        <f>54+48+33+41+29</f>
        <v>205</v>
      </c>
      <c r="H39" t="s">
        <v>23</v>
      </c>
      <c r="M39" s="2">
        <f>40+32+45+40+44+54</f>
        <v>255</v>
      </c>
    </row>
    <row r="40" spans="1:13" ht="12.75">
      <c r="A40" t="s">
        <v>24</v>
      </c>
      <c r="D40" s="8">
        <f>+D39/D38</f>
        <v>41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42.5</v>
      </c>
    </row>
    <row r="42" spans="1:13" ht="12.75">
      <c r="A42" t="s">
        <v>25</v>
      </c>
      <c r="D42" s="2">
        <v>4</v>
      </c>
      <c r="H42" t="s">
        <v>25</v>
      </c>
      <c r="M42" s="2">
        <v>1</v>
      </c>
    </row>
    <row r="43" spans="1:13" ht="12.75">
      <c r="A43" t="s">
        <v>26</v>
      </c>
      <c r="D43" s="2">
        <v>-1</v>
      </c>
      <c r="H43" t="s">
        <v>26</v>
      </c>
      <c r="M43" s="2">
        <v>4</v>
      </c>
    </row>
    <row r="44" spans="1:13" ht="12.75">
      <c r="A44" t="s">
        <v>27</v>
      </c>
      <c r="D44" s="8">
        <f>+D43/D42</f>
        <v>-0.25</v>
      </c>
      <c r="H44" t="s">
        <v>27</v>
      </c>
      <c r="M44" s="8">
        <f>+M43/M42</f>
        <v>4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6</v>
      </c>
      <c r="H47" t="s">
        <v>30</v>
      </c>
      <c r="M47" s="2">
        <v>6</v>
      </c>
    </row>
    <row r="48" spans="1:13" ht="12.75">
      <c r="A48" t="s">
        <v>26</v>
      </c>
      <c r="D48" s="2">
        <f>21+30+23+15+21</f>
        <v>110</v>
      </c>
      <c r="H48" t="s">
        <v>26</v>
      </c>
      <c r="M48" s="2">
        <f>22+41+32+32+26+28</f>
        <v>181</v>
      </c>
    </row>
    <row r="49" spans="1:13" ht="12.75">
      <c r="A49" t="s">
        <v>27</v>
      </c>
      <c r="D49" s="8">
        <f>+D48/D47</f>
        <v>18.333333333333332</v>
      </c>
      <c r="H49" t="s">
        <v>27</v>
      </c>
      <c r="M49" s="8">
        <f>+M48/M47</f>
        <v>30.166666666666668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4</v>
      </c>
      <c r="H52" t="s">
        <v>31</v>
      </c>
      <c r="M52" s="2">
        <v>5</v>
      </c>
    </row>
    <row r="53" spans="1:13" ht="12.75">
      <c r="A53" t="s">
        <v>32</v>
      </c>
      <c r="D53" s="2">
        <v>54</v>
      </c>
      <c r="H53" t="s">
        <v>32</v>
      </c>
      <c r="M53" s="2">
        <v>35</v>
      </c>
    </row>
    <row r="55" spans="1:13" ht="12.75">
      <c r="A55" t="s">
        <v>33</v>
      </c>
      <c r="D55" s="2">
        <v>2</v>
      </c>
      <c r="H55" t="s">
        <v>33</v>
      </c>
      <c r="M55" s="2">
        <v>0</v>
      </c>
    </row>
    <row r="56" spans="1:13" ht="12.75">
      <c r="A56" t="s">
        <v>34</v>
      </c>
      <c r="D56" s="2">
        <v>0</v>
      </c>
      <c r="H56" t="s">
        <v>34</v>
      </c>
      <c r="M56" s="2">
        <v>0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0</v>
      </c>
      <c r="H58" t="s">
        <v>36</v>
      </c>
      <c r="M58" s="2">
        <v>1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42</v>
      </c>
      <c r="H61" t="s">
        <v>38</v>
      </c>
      <c r="M61" s="2">
        <v>42</v>
      </c>
    </row>
    <row r="62" spans="1:13" ht="12.75">
      <c r="A62" t="s">
        <v>39</v>
      </c>
      <c r="D62" s="2">
        <v>6</v>
      </c>
      <c r="H62" t="s">
        <v>39</v>
      </c>
      <c r="M62" s="2">
        <v>6</v>
      </c>
    </row>
    <row r="63" spans="1:13" ht="12.75">
      <c r="A63" t="s">
        <v>40</v>
      </c>
      <c r="D63" s="2">
        <v>2</v>
      </c>
      <c r="H63" t="s">
        <v>40</v>
      </c>
      <c r="M63" s="2">
        <v>3</v>
      </c>
    </row>
    <row r="64" spans="1:13" ht="12.75">
      <c r="A64" t="s">
        <v>41</v>
      </c>
      <c r="D64" s="2">
        <v>4</v>
      </c>
      <c r="H64" t="s">
        <v>41</v>
      </c>
      <c r="M64" s="2">
        <v>3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6</v>
      </c>
      <c r="H66" t="s">
        <v>43</v>
      </c>
      <c r="M66" s="2">
        <v>6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0</v>
      </c>
    </row>
    <row r="69" spans="1:13" ht="12.75">
      <c r="A69" t="s">
        <v>46</v>
      </c>
      <c r="D69" s="2">
        <v>1</v>
      </c>
      <c r="H69" t="s">
        <v>46</v>
      </c>
      <c r="M69" s="2">
        <v>0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 t="e">
        <f>+M68/M69*100</f>
        <v>#DIV/0!</v>
      </c>
    </row>
    <row r="71" spans="1:13" ht="12.75">
      <c r="A71" t="s">
        <v>93</v>
      </c>
      <c r="D71" s="10" t="str">
        <f>IF(V23&lt;10,V27,V26)</f>
        <v>26:08</v>
      </c>
      <c r="E71" s="8"/>
      <c r="F71" s="8"/>
      <c r="H71" t="s">
        <v>93</v>
      </c>
      <c r="M71" s="10" t="str">
        <f>IF(W23&lt;10,W27,W26)</f>
        <v>33:52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18</v>
      </c>
      <c r="D75">
        <v>98</v>
      </c>
      <c r="E75" s="12">
        <f>+D75/C75</f>
        <v>5.444444444444445</v>
      </c>
      <c r="F75">
        <v>21</v>
      </c>
      <c r="G75">
        <v>0</v>
      </c>
      <c r="H75">
        <v>1</v>
      </c>
    </row>
    <row r="76" spans="1:8" ht="12.75">
      <c r="A76" s="1" t="s">
        <v>100</v>
      </c>
      <c r="C76">
        <v>11</v>
      </c>
      <c r="D76">
        <v>154</v>
      </c>
      <c r="E76" s="12">
        <f>+D76/C76</f>
        <v>14</v>
      </c>
      <c r="F76">
        <v>80</v>
      </c>
      <c r="G76">
        <v>2</v>
      </c>
      <c r="H76">
        <v>0</v>
      </c>
    </row>
    <row r="77" spans="1:8" ht="12.75">
      <c r="A77" s="1" t="s">
        <v>101</v>
      </c>
      <c r="C77">
        <v>2</v>
      </c>
      <c r="D77">
        <v>3</v>
      </c>
      <c r="E77" s="12">
        <f>+D77/C77</f>
        <v>1.5</v>
      </c>
      <c r="F77">
        <v>3</v>
      </c>
      <c r="G77">
        <v>0</v>
      </c>
      <c r="H77">
        <v>0</v>
      </c>
    </row>
    <row r="78" spans="1:8" ht="12.75">
      <c r="A78" s="1" t="s">
        <v>102</v>
      </c>
      <c r="C78">
        <v>2</v>
      </c>
      <c r="D78">
        <v>26</v>
      </c>
      <c r="E78" s="12">
        <f aca="true" t="shared" si="0" ref="E78:E84">+D78/C78</f>
        <v>13</v>
      </c>
      <c r="F78">
        <v>20</v>
      </c>
      <c r="G78">
        <v>0</v>
      </c>
      <c r="H78">
        <v>0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8" ht="12.75">
      <c r="A82" s="1" t="s">
        <v>106</v>
      </c>
      <c r="C82">
        <v>1</v>
      </c>
      <c r="D82">
        <v>-7</v>
      </c>
      <c r="E82" s="12">
        <f t="shared" si="0"/>
        <v>-7</v>
      </c>
      <c r="F82">
        <v>-7</v>
      </c>
      <c r="G82">
        <v>0</v>
      </c>
      <c r="H82">
        <v>1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2</v>
      </c>
      <c r="D89">
        <v>34</v>
      </c>
      <c r="E89" s="12">
        <f aca="true" t="shared" si="1" ref="E89:E100">+D89/C89</f>
        <v>17</v>
      </c>
      <c r="F89">
        <v>35</v>
      </c>
      <c r="G89">
        <v>1</v>
      </c>
      <c r="H89">
        <v>0</v>
      </c>
    </row>
    <row r="90" spans="1:8" ht="12.75">
      <c r="A90" s="1" t="s">
        <v>109</v>
      </c>
      <c r="C90">
        <v>2</v>
      </c>
      <c r="D90">
        <v>130</v>
      </c>
      <c r="E90" s="12">
        <f t="shared" si="1"/>
        <v>65</v>
      </c>
      <c r="F90">
        <v>69</v>
      </c>
      <c r="G90">
        <v>2</v>
      </c>
      <c r="H90">
        <v>0</v>
      </c>
    </row>
    <row r="91" spans="1:5" ht="12.75">
      <c r="A91" s="1" t="s">
        <v>108</v>
      </c>
      <c r="E91" s="12" t="e">
        <f t="shared" si="1"/>
        <v>#DIV/0!</v>
      </c>
    </row>
    <row r="92" spans="1:5" ht="12.75">
      <c r="A92" s="1" t="s">
        <v>99</v>
      </c>
      <c r="E92" s="12" t="e">
        <f t="shared" si="1"/>
        <v>#DIV/0!</v>
      </c>
    </row>
    <row r="93" spans="1:5" ht="12.75">
      <c r="A93" s="1" t="s">
        <v>110</v>
      </c>
      <c r="E93" s="12" t="e">
        <f t="shared" si="1"/>
        <v>#DIV/0!</v>
      </c>
    </row>
    <row r="94" spans="1:8" ht="12.75">
      <c r="A94" s="1" t="s">
        <v>100</v>
      </c>
      <c r="C94">
        <v>1</v>
      </c>
      <c r="D94">
        <v>85</v>
      </c>
      <c r="E94" s="12">
        <f t="shared" si="1"/>
        <v>85</v>
      </c>
      <c r="F94">
        <v>85</v>
      </c>
      <c r="G94">
        <v>1</v>
      </c>
      <c r="H94">
        <v>0</v>
      </c>
    </row>
    <row r="95" spans="1:8" ht="12.75">
      <c r="A95" s="1" t="s">
        <v>111</v>
      </c>
      <c r="C95">
        <v>2</v>
      </c>
      <c r="D95">
        <v>13</v>
      </c>
      <c r="E95" s="12">
        <f t="shared" si="1"/>
        <v>6.5</v>
      </c>
      <c r="F95">
        <v>9</v>
      </c>
      <c r="G95">
        <v>0</v>
      </c>
      <c r="H95">
        <v>0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18</v>
      </c>
      <c r="D106">
        <v>7</v>
      </c>
      <c r="E106" s="12">
        <f>+D106/C106*100</f>
        <v>38.88888888888889</v>
      </c>
      <c r="F106">
        <v>262</v>
      </c>
      <c r="G106">
        <v>4</v>
      </c>
      <c r="H106">
        <v>85</v>
      </c>
      <c r="I106">
        <v>1</v>
      </c>
      <c r="J106" s="8">
        <f>+G106/C106*100</f>
        <v>22.22222222222222</v>
      </c>
      <c r="K106" s="12">
        <f>+I106/C106*100</f>
        <v>5.555555555555555</v>
      </c>
      <c r="L106" s="12">
        <f>+F106/C106</f>
        <v>14.555555555555555</v>
      </c>
      <c r="M106" s="12">
        <f>100*(S106+U106+W106+Y106)/6</f>
        <v>146.0648148148148</v>
      </c>
      <c r="N106">
        <v>0</v>
      </c>
      <c r="R106">
        <f>+(E106-30)/20</f>
        <v>0.44444444444444464</v>
      </c>
      <c r="S106" s="2">
        <f>IF(R106&lt;0,0,R106)</f>
        <v>0.44444444444444464</v>
      </c>
      <c r="T106" s="6">
        <f>+(L106-3)/4</f>
        <v>2.888888888888889</v>
      </c>
      <c r="U106" s="2">
        <f>IF(T106&lt;0,0,T106)</f>
        <v>2.888888888888889</v>
      </c>
      <c r="V106">
        <f>+J106/5</f>
        <v>4.444444444444445</v>
      </c>
      <c r="W106" s="2">
        <f>IF(V106&lt;0,0,V106)</f>
        <v>4.444444444444445</v>
      </c>
      <c r="X106">
        <f>(9.5-K106)/4</f>
        <v>0.9861111111111112</v>
      </c>
      <c r="Y106" s="2">
        <f>IF(X106&lt;0,0,X106)</f>
        <v>0.9861111111111112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4</v>
      </c>
      <c r="E113">
        <v>0</v>
      </c>
      <c r="F113" s="12">
        <f aca="true" t="shared" si="2" ref="F113:F118">+E113/C113</f>
        <v>0</v>
      </c>
      <c r="G113">
        <v>0</v>
      </c>
      <c r="H113">
        <v>0</v>
      </c>
      <c r="I113">
        <v>0</v>
      </c>
    </row>
    <row r="114" spans="1:9" ht="12.75">
      <c r="A114" s="1" t="s">
        <v>123</v>
      </c>
      <c r="C114">
        <v>1</v>
      </c>
      <c r="E114">
        <v>-1</v>
      </c>
      <c r="F114" s="12">
        <f t="shared" si="2"/>
        <v>-1</v>
      </c>
      <c r="G114">
        <v>-1</v>
      </c>
      <c r="H114">
        <v>0</v>
      </c>
      <c r="I114">
        <v>0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3</v>
      </c>
      <c r="D123">
        <f>23+15+21</f>
        <v>59</v>
      </c>
      <c r="E123" s="12">
        <f aca="true" t="shared" si="3" ref="E123:E128">+D123/C123</f>
        <v>19.666666666666668</v>
      </c>
      <c r="F123">
        <v>23</v>
      </c>
      <c r="G123">
        <v>0</v>
      </c>
      <c r="H123">
        <v>0</v>
      </c>
    </row>
    <row r="124" spans="1:8" ht="12.75">
      <c r="A124" s="1" t="s">
        <v>101</v>
      </c>
      <c r="C124">
        <v>3</v>
      </c>
      <c r="D124">
        <f>21+30</f>
        <v>51</v>
      </c>
      <c r="E124" s="12">
        <f t="shared" si="3"/>
        <v>17</v>
      </c>
      <c r="F124">
        <v>21</v>
      </c>
      <c r="G124">
        <v>0</v>
      </c>
      <c r="H124">
        <v>0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5</v>
      </c>
      <c r="D133">
        <f>54+48+33+41+29</f>
        <v>205</v>
      </c>
      <c r="E133" s="12">
        <f>+D133/C133</f>
        <v>41</v>
      </c>
      <c r="F133">
        <v>54</v>
      </c>
      <c r="G133">
        <v>0</v>
      </c>
      <c r="H133">
        <v>0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10" ht="12.75">
      <c r="A137" s="1" t="s">
        <v>118</v>
      </c>
      <c r="C137">
        <v>6</v>
      </c>
      <c r="D137">
        <v>1</v>
      </c>
      <c r="E137">
        <v>6</v>
      </c>
      <c r="F137">
        <v>6</v>
      </c>
      <c r="G137">
        <v>1</v>
      </c>
      <c r="H137">
        <v>0</v>
      </c>
      <c r="I137" s="12">
        <f>+H137/G137*100</f>
        <v>0</v>
      </c>
      <c r="J137">
        <v>0</v>
      </c>
    </row>
    <row r="138" spans="1:9" ht="12.75">
      <c r="A138" s="1" t="s">
        <v>119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8" ht="12.75">
      <c r="A141" s="1" t="s">
        <v>114</v>
      </c>
      <c r="C141">
        <v>1</v>
      </c>
      <c r="D141">
        <v>18</v>
      </c>
      <c r="E141" s="12">
        <f>+D141/C141</f>
        <v>18</v>
      </c>
      <c r="F141">
        <v>18</v>
      </c>
      <c r="G141">
        <v>0</v>
      </c>
      <c r="H141">
        <v>0</v>
      </c>
    </row>
    <row r="142" spans="1:8" ht="12.75">
      <c r="A142" s="1" t="s">
        <v>120</v>
      </c>
      <c r="C142">
        <v>3</v>
      </c>
      <c r="D142">
        <v>14</v>
      </c>
      <c r="E142" s="12">
        <f aca="true" t="shared" si="4" ref="E142:E148">+D142/C142</f>
        <v>4.666666666666667</v>
      </c>
      <c r="F142">
        <v>9</v>
      </c>
      <c r="G142">
        <v>0</v>
      </c>
      <c r="H142">
        <v>0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52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22</v>
      </c>
      <c r="H6" s="1" t="s">
        <v>29</v>
      </c>
      <c r="M6" s="2">
        <v>25</v>
      </c>
    </row>
    <row r="7" spans="1:13" ht="12.75">
      <c r="A7" s="18" t="s">
        <v>95</v>
      </c>
      <c r="D7" s="2">
        <v>6</v>
      </c>
      <c r="H7" s="18" t="s">
        <v>95</v>
      </c>
      <c r="M7" s="2">
        <v>13</v>
      </c>
    </row>
    <row r="8" spans="1:13" ht="12.75">
      <c r="A8" s="18" t="s">
        <v>96</v>
      </c>
      <c r="D8" s="2">
        <v>13</v>
      </c>
      <c r="H8" s="18" t="s">
        <v>96</v>
      </c>
      <c r="M8" s="2">
        <v>11</v>
      </c>
    </row>
    <row r="9" spans="1:13" ht="12.75">
      <c r="A9" s="18" t="s">
        <v>97</v>
      </c>
      <c r="D9" s="2">
        <v>3</v>
      </c>
      <c r="H9" s="18" t="s">
        <v>97</v>
      </c>
      <c r="M9" s="2">
        <v>1</v>
      </c>
    </row>
    <row r="11" spans="1:23" ht="12.75">
      <c r="A11" t="s">
        <v>1</v>
      </c>
      <c r="D11" s="2">
        <f>14+6+1</f>
        <v>21</v>
      </c>
      <c r="H11" t="s">
        <v>1</v>
      </c>
      <c r="M11" s="2">
        <f>24+10+5+1</f>
        <v>40</v>
      </c>
      <c r="V11">
        <f>+D11</f>
        <v>21</v>
      </c>
      <c r="W11">
        <f>+M11</f>
        <v>40</v>
      </c>
    </row>
    <row r="12" spans="1:23" ht="12.75">
      <c r="A12" t="s">
        <v>2</v>
      </c>
      <c r="D12" s="2">
        <f>56+48+11</f>
        <v>115</v>
      </c>
      <c r="H12" t="s">
        <v>2</v>
      </c>
      <c r="M12" s="2">
        <f>133+33+22+1</f>
        <v>189</v>
      </c>
      <c r="U12" s="13"/>
      <c r="V12">
        <f>+D16</f>
        <v>19</v>
      </c>
      <c r="W12">
        <f>+M16</f>
        <v>14</v>
      </c>
    </row>
    <row r="13" spans="1:23" ht="12.75">
      <c r="A13" s="1" t="s">
        <v>3</v>
      </c>
      <c r="D13" s="8">
        <f>+D12/D11</f>
        <v>5.476190476190476</v>
      </c>
      <c r="H13" s="1" t="s">
        <v>3</v>
      </c>
      <c r="M13" s="8">
        <f>+M12/M11</f>
        <v>4.725</v>
      </c>
      <c r="V13">
        <f>+(D15-D16)/2</f>
        <v>6</v>
      </c>
      <c r="W13">
        <f>+(M15-M16)/2</f>
        <v>6.5</v>
      </c>
    </row>
    <row r="14" spans="22:23" ht="12.75">
      <c r="V14">
        <f>+D38/2</f>
        <v>2.5</v>
      </c>
      <c r="W14">
        <f>+M38/2</f>
        <v>1.5</v>
      </c>
    </row>
    <row r="15" spans="1:23" ht="12.75">
      <c r="A15" t="s">
        <v>4</v>
      </c>
      <c r="D15" s="2">
        <v>31</v>
      </c>
      <c r="H15" t="s">
        <v>4</v>
      </c>
      <c r="M15" s="2">
        <v>27</v>
      </c>
      <c r="V15">
        <f>+D42/2</f>
        <v>0.5</v>
      </c>
      <c r="W15">
        <f>+M42/2</f>
        <v>1.5</v>
      </c>
    </row>
    <row r="16" spans="1:23" ht="12.75">
      <c r="A16" t="s">
        <v>5</v>
      </c>
      <c r="D16" s="2">
        <v>19</v>
      </c>
      <c r="H16" t="s">
        <v>5</v>
      </c>
      <c r="M16" s="2">
        <v>14</v>
      </c>
      <c r="V16">
        <f>+D47/2</f>
        <v>1</v>
      </c>
      <c r="W16">
        <f>+M47/2</f>
        <v>3</v>
      </c>
    </row>
    <row r="17" spans="1:13" ht="12.75">
      <c r="A17" t="s">
        <v>6</v>
      </c>
      <c r="D17" s="8">
        <f>+D16/D15*100</f>
        <v>61.29032258064516</v>
      </c>
      <c r="H17" t="s">
        <v>6</v>
      </c>
      <c r="M17" s="8">
        <f>+M16/M15*100</f>
        <v>51.85185185185185</v>
      </c>
    </row>
    <row r="18" spans="1:24" ht="12.75">
      <c r="A18" t="s">
        <v>7</v>
      </c>
      <c r="D18" s="2">
        <f>371+13</f>
        <v>384</v>
      </c>
      <c r="H18" t="s">
        <v>7</v>
      </c>
      <c r="M18" s="2">
        <f>102+145</f>
        <v>247</v>
      </c>
      <c r="V18">
        <f>SUM(V11:V16)</f>
        <v>50</v>
      </c>
      <c r="W18">
        <f>SUM(W11:W16)</f>
        <v>66.5</v>
      </c>
      <c r="X18">
        <f>+W18+V18</f>
        <v>116.5</v>
      </c>
    </row>
    <row r="19" spans="1:23" ht="12.75">
      <c r="A19" t="s">
        <v>8</v>
      </c>
      <c r="D19" s="2">
        <v>2</v>
      </c>
      <c r="H19" t="s">
        <v>8</v>
      </c>
      <c r="M19" s="2">
        <v>2</v>
      </c>
      <c r="V19">
        <f>+V18/X18</f>
        <v>0.4291845493562232</v>
      </c>
      <c r="W19">
        <f>+W18/X18</f>
        <v>0.5708154506437768</v>
      </c>
    </row>
    <row r="20" spans="1:23" ht="12.75">
      <c r="A20" t="s">
        <v>9</v>
      </c>
      <c r="D20" s="2">
        <v>8</v>
      </c>
      <c r="H20" t="s">
        <v>9</v>
      </c>
      <c r="M20" s="2">
        <v>18</v>
      </c>
      <c r="V20">
        <f>+V19*60</f>
        <v>25.751072961373392</v>
      </c>
      <c r="W20">
        <f>+W19*60</f>
        <v>34.24892703862661</v>
      </c>
    </row>
    <row r="21" spans="1:23" ht="12.75">
      <c r="A21" t="s">
        <v>10</v>
      </c>
      <c r="D21">
        <f>+D18-D20</f>
        <v>376</v>
      </c>
      <c r="H21" t="s">
        <v>10</v>
      </c>
      <c r="M21">
        <f>+M18-M20</f>
        <v>229</v>
      </c>
      <c r="V21">
        <f>+V20-INT(V20)</f>
        <v>0.7510729613733922</v>
      </c>
      <c r="W21">
        <f>+W20-INT(W20)</f>
        <v>0.24892703862661136</v>
      </c>
    </row>
    <row r="22" spans="1:23" ht="12.75">
      <c r="A22" t="s">
        <v>11</v>
      </c>
      <c r="D22" s="7">
        <f>+D21/(D15+D19)</f>
        <v>11.393939393939394</v>
      </c>
      <c r="H22" t="s">
        <v>11</v>
      </c>
      <c r="M22" s="7">
        <f>+M21/(M15+M19)</f>
        <v>7.896551724137931</v>
      </c>
      <c r="V22">
        <f>+V21*60</f>
        <v>45.06437768240353</v>
      </c>
      <c r="W22">
        <f>+W21*60</f>
        <v>14.935622317596682</v>
      </c>
    </row>
    <row r="23" spans="1:23" ht="12.75">
      <c r="A23" t="s">
        <v>12</v>
      </c>
      <c r="D23" s="7">
        <f>+D18/D16</f>
        <v>20.210526315789473</v>
      </c>
      <c r="H23" t="s">
        <v>12</v>
      </c>
      <c r="M23" s="7">
        <f>+M18/M16</f>
        <v>17.642857142857142</v>
      </c>
      <c r="U23">
        <v>0</v>
      </c>
      <c r="V23" s="11">
        <f>ROUND(V22,0)</f>
        <v>45</v>
      </c>
      <c r="W23">
        <f>ROUND(W22,0)</f>
        <v>15</v>
      </c>
    </row>
    <row r="24" spans="22:23" ht="12.75">
      <c r="V24">
        <f>INT(V20)</f>
        <v>25</v>
      </c>
      <c r="W24">
        <f>INT(W20)</f>
        <v>34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491</v>
      </c>
      <c r="H26" t="s">
        <v>14</v>
      </c>
      <c r="M26">
        <f>+M21+M12</f>
        <v>418</v>
      </c>
      <c r="Q26" s="9"/>
      <c r="R26" s="9"/>
      <c r="V26" s="14" t="str">
        <f>+V24&amp;V25&amp;V23</f>
        <v>25:45</v>
      </c>
      <c r="W26" s="9" t="str">
        <f>+W24&amp;W25&amp;W23</f>
        <v>34:15</v>
      </c>
    </row>
    <row r="27" spans="1:23" ht="12.75">
      <c r="A27" t="s">
        <v>15</v>
      </c>
      <c r="D27" s="7">
        <f>+D12/D26*100</f>
        <v>23.421588594704684</v>
      </c>
      <c r="H27" t="s">
        <v>15</v>
      </c>
      <c r="M27" s="7">
        <f>+M12/M26*100</f>
        <v>45.21531100478469</v>
      </c>
      <c r="V27" s="9" t="str">
        <f>IF(V23&lt;10,+V24&amp;V25&amp;$U$23&amp;V23,+V24&amp;V25&amp;V23)</f>
        <v>25:45</v>
      </c>
      <c r="W27" s="9" t="str">
        <f>IF(W23&lt;10,+W24&amp;W25&amp;$U$23&amp;W23,+W24&amp;W25&amp;W23)</f>
        <v>34:15</v>
      </c>
    </row>
    <row r="28" spans="1:13" ht="12.75">
      <c r="A28" s="1" t="s">
        <v>90</v>
      </c>
      <c r="D28" s="7">
        <f>+D21/D26*100</f>
        <v>76.57841140529531</v>
      </c>
      <c r="H28" s="1" t="s">
        <v>90</v>
      </c>
      <c r="M28" s="7">
        <f>+M21/M26*100</f>
        <v>54.78468899521531</v>
      </c>
    </row>
    <row r="30" spans="1:13" ht="12.75">
      <c r="A30" t="s">
        <v>16</v>
      </c>
      <c r="D30">
        <f>+D11+D15+D19</f>
        <v>54</v>
      </c>
      <c r="H30" t="s">
        <v>16</v>
      </c>
      <c r="M30">
        <f>+M11+M15+M19</f>
        <v>69</v>
      </c>
    </row>
    <row r="31" spans="1:13" ht="12.75">
      <c r="A31" t="s">
        <v>17</v>
      </c>
      <c r="D31" s="8">
        <f>+D26/D30</f>
        <v>9.092592592592593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6.057971014492754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1</v>
      </c>
    </row>
    <row r="35" spans="1:13" ht="12.75">
      <c r="A35" t="s">
        <v>20</v>
      </c>
      <c r="D35" s="2">
        <v>18</v>
      </c>
      <c r="H35" t="s">
        <v>20</v>
      </c>
      <c r="M35" s="2">
        <v>11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3</v>
      </c>
    </row>
    <row r="39" spans="1:13" ht="12.75">
      <c r="A39" t="s">
        <v>23</v>
      </c>
      <c r="D39" s="2">
        <f>45+40+37+41+42</f>
        <v>205</v>
      </c>
      <c r="H39" t="s">
        <v>23</v>
      </c>
      <c r="M39" s="2">
        <f>51+31+52</f>
        <v>134</v>
      </c>
    </row>
    <row r="40" spans="1:13" ht="12.75">
      <c r="A40" t="s">
        <v>24</v>
      </c>
      <c r="D40" s="8">
        <f>+D39/D38</f>
        <v>41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44.666666666666664</v>
      </c>
    </row>
    <row r="42" spans="1:13" ht="12.75">
      <c r="A42" t="s">
        <v>25</v>
      </c>
      <c r="D42" s="2">
        <v>1</v>
      </c>
      <c r="H42" t="s">
        <v>25</v>
      </c>
      <c r="M42" s="2">
        <v>3</v>
      </c>
    </row>
    <row r="43" spans="1:13" ht="12.75">
      <c r="A43" t="s">
        <v>26</v>
      </c>
      <c r="D43" s="2">
        <v>0</v>
      </c>
      <c r="H43" t="s">
        <v>26</v>
      </c>
      <c r="M43" s="2">
        <v>6</v>
      </c>
    </row>
    <row r="44" spans="1:13" ht="12.75">
      <c r="A44" t="s">
        <v>27</v>
      </c>
      <c r="D44" s="8">
        <f>+D43/D42</f>
        <v>0</v>
      </c>
      <c r="H44" t="s">
        <v>27</v>
      </c>
      <c r="M44" s="8">
        <f>+M43/M42</f>
        <v>2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2</v>
      </c>
      <c r="H47" t="s">
        <v>30</v>
      </c>
      <c r="M47" s="2">
        <v>6</v>
      </c>
    </row>
    <row r="48" spans="1:13" ht="12.75">
      <c r="A48" t="s">
        <v>26</v>
      </c>
      <c r="D48" s="2">
        <v>32</v>
      </c>
      <c r="H48" t="s">
        <v>26</v>
      </c>
      <c r="M48" s="2">
        <f>50+27+45+6+84+22</f>
        <v>234</v>
      </c>
    </row>
    <row r="49" spans="1:13" ht="12.75">
      <c r="A49" t="s">
        <v>27</v>
      </c>
      <c r="D49" s="8">
        <f>+D48/D47</f>
        <v>16</v>
      </c>
      <c r="H49" t="s">
        <v>27</v>
      </c>
      <c r="M49" s="8">
        <f>+M48/M47</f>
        <v>39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6</v>
      </c>
      <c r="H52" t="s">
        <v>31</v>
      </c>
      <c r="M52" s="2">
        <v>5</v>
      </c>
    </row>
    <row r="53" spans="1:13" ht="12.75">
      <c r="A53" t="s">
        <v>32</v>
      </c>
      <c r="D53" s="2">
        <v>40</v>
      </c>
      <c r="H53" t="s">
        <v>32</v>
      </c>
      <c r="M53" s="2">
        <v>42</v>
      </c>
    </row>
    <row r="55" spans="1:13" ht="12.75">
      <c r="A55" t="s">
        <v>33</v>
      </c>
      <c r="D55" s="2">
        <v>0</v>
      </c>
      <c r="H55" t="s">
        <v>33</v>
      </c>
      <c r="M55" s="2">
        <v>2</v>
      </c>
    </row>
    <row r="56" spans="1:13" ht="12.75">
      <c r="A56" t="s">
        <v>34</v>
      </c>
      <c r="D56" s="2">
        <v>0</v>
      </c>
      <c r="H56" t="s">
        <v>34</v>
      </c>
      <c r="M56" s="2">
        <v>2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0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34</v>
      </c>
      <c r="H61" t="s">
        <v>38</v>
      </c>
      <c r="M61" s="2">
        <v>38</v>
      </c>
    </row>
    <row r="62" spans="1:13" ht="12.75">
      <c r="A62" t="s">
        <v>39</v>
      </c>
      <c r="D62" s="2">
        <v>5</v>
      </c>
      <c r="H62" t="s">
        <v>39</v>
      </c>
      <c r="M62" s="2">
        <v>5</v>
      </c>
    </row>
    <row r="63" spans="1:13" ht="12.75">
      <c r="A63" t="s">
        <v>40</v>
      </c>
      <c r="D63" s="2">
        <v>1</v>
      </c>
      <c r="H63" t="s">
        <v>40</v>
      </c>
      <c r="M63" s="2">
        <v>3</v>
      </c>
    </row>
    <row r="64" spans="1:13" ht="12.75">
      <c r="A64" t="s">
        <v>41</v>
      </c>
      <c r="D64" s="2">
        <v>4</v>
      </c>
      <c r="H64" t="s">
        <v>41</v>
      </c>
      <c r="M64" s="2">
        <v>2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4</v>
      </c>
      <c r="H66" t="s">
        <v>43</v>
      </c>
      <c r="M66" s="2">
        <v>5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1</v>
      </c>
    </row>
    <row r="69" spans="1:13" ht="12.75">
      <c r="A69" t="s">
        <v>46</v>
      </c>
      <c r="D69" s="2">
        <v>0</v>
      </c>
      <c r="H69" t="s">
        <v>46</v>
      </c>
      <c r="M69" s="2">
        <v>2</v>
      </c>
    </row>
    <row r="70" spans="1:13" ht="12.75">
      <c r="A70" t="s">
        <v>47</v>
      </c>
      <c r="D70" s="8" t="e">
        <f>+D68/D69*100</f>
        <v>#DIV/0!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.75">
      <c r="A71" t="s">
        <v>93</v>
      </c>
      <c r="D71" s="10" t="str">
        <f>IF(V23&lt;10,V27,V26)</f>
        <v>25:45</v>
      </c>
      <c r="E71" s="8"/>
      <c r="F71" s="8"/>
      <c r="H71" t="s">
        <v>93</v>
      </c>
      <c r="M71" s="10" t="str">
        <f>IF(W23&lt;10,W27,W26)</f>
        <v>34:15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14</v>
      </c>
      <c r="D75">
        <v>56</v>
      </c>
      <c r="E75" s="12">
        <f>+D75/C75</f>
        <v>4</v>
      </c>
      <c r="F75">
        <v>11</v>
      </c>
      <c r="G75">
        <v>1</v>
      </c>
      <c r="H75">
        <v>0</v>
      </c>
    </row>
    <row r="76" spans="1:8" ht="12.75">
      <c r="A76" s="1" t="s">
        <v>100</v>
      </c>
      <c r="C76">
        <v>6</v>
      </c>
      <c r="D76">
        <v>48</v>
      </c>
      <c r="E76" s="12">
        <f>+D76/C76</f>
        <v>8</v>
      </c>
      <c r="F76">
        <v>32</v>
      </c>
      <c r="G76">
        <v>0</v>
      </c>
      <c r="H76">
        <v>0</v>
      </c>
    </row>
    <row r="77" spans="1:5" ht="12.75">
      <c r="A77" s="1" t="s">
        <v>101</v>
      </c>
      <c r="E77" s="12" t="e">
        <f>+D77/C77</f>
        <v>#DIV/0!</v>
      </c>
    </row>
    <row r="78" spans="1:5" ht="12.75">
      <c r="A78" s="1" t="s">
        <v>102</v>
      </c>
      <c r="E78" s="12" t="e">
        <f aca="true" t="shared" si="0" ref="E78:E84">+D78/C78</f>
        <v>#DIV/0!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8" ht="12.75">
      <c r="A82" s="1" t="s">
        <v>106</v>
      </c>
      <c r="C82">
        <v>1</v>
      </c>
      <c r="D82">
        <v>11</v>
      </c>
      <c r="E82" s="12">
        <f t="shared" si="0"/>
        <v>11</v>
      </c>
      <c r="F82">
        <v>11</v>
      </c>
      <c r="G82">
        <v>0</v>
      </c>
      <c r="H82">
        <v>0</v>
      </c>
    </row>
    <row r="83" spans="1:5" ht="12.75">
      <c r="A83" s="1" t="s">
        <v>107</v>
      </c>
      <c r="E83" s="12" t="e">
        <f t="shared" si="0"/>
        <v>#DIV/0!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8" ht="12.75">
      <c r="A89" s="1" t="s">
        <v>107</v>
      </c>
      <c r="C89">
        <v>10</v>
      </c>
      <c r="D89">
        <v>245</v>
      </c>
      <c r="E89" s="12">
        <f aca="true" t="shared" si="1" ref="E89:E100">+D89/C89</f>
        <v>24.5</v>
      </c>
      <c r="F89">
        <v>68</v>
      </c>
      <c r="G89">
        <v>3</v>
      </c>
      <c r="H89">
        <v>0</v>
      </c>
    </row>
    <row r="90" spans="1:8" ht="12.75">
      <c r="A90" s="1" t="s">
        <v>109</v>
      </c>
      <c r="C90">
        <v>1</v>
      </c>
      <c r="D90">
        <v>13</v>
      </c>
      <c r="E90" s="12">
        <f t="shared" si="1"/>
        <v>13</v>
      </c>
      <c r="F90">
        <v>13</v>
      </c>
      <c r="G90">
        <v>0</v>
      </c>
      <c r="H90">
        <v>0</v>
      </c>
    </row>
    <row r="91" spans="1:8" ht="12.75">
      <c r="A91" s="1" t="s">
        <v>108</v>
      </c>
      <c r="C91">
        <v>1</v>
      </c>
      <c r="D91">
        <v>18</v>
      </c>
      <c r="E91" s="12">
        <f t="shared" si="1"/>
        <v>18</v>
      </c>
      <c r="F91">
        <v>18</v>
      </c>
      <c r="G91">
        <v>0</v>
      </c>
      <c r="H91">
        <v>0</v>
      </c>
    </row>
    <row r="92" spans="1:8" ht="12.75">
      <c r="A92" s="1" t="s">
        <v>99</v>
      </c>
      <c r="C92">
        <v>5</v>
      </c>
      <c r="D92">
        <v>50</v>
      </c>
      <c r="E92" s="12">
        <f t="shared" si="1"/>
        <v>10</v>
      </c>
      <c r="F92">
        <v>33</v>
      </c>
      <c r="G92">
        <v>0</v>
      </c>
      <c r="H92">
        <v>0</v>
      </c>
    </row>
    <row r="93" spans="1:8" ht="12.75">
      <c r="A93" s="1" t="s">
        <v>110</v>
      </c>
      <c r="C93">
        <v>1</v>
      </c>
      <c r="D93">
        <v>26</v>
      </c>
      <c r="E93" s="12">
        <f t="shared" si="1"/>
        <v>26</v>
      </c>
      <c r="F93">
        <v>26</v>
      </c>
      <c r="G93">
        <v>0</v>
      </c>
      <c r="H93">
        <v>0</v>
      </c>
    </row>
    <row r="94" spans="1:8" ht="12.75">
      <c r="A94" s="1" t="s">
        <v>100</v>
      </c>
      <c r="C94">
        <v>1</v>
      </c>
      <c r="D94">
        <v>32</v>
      </c>
      <c r="E94" s="12">
        <f t="shared" si="1"/>
        <v>32</v>
      </c>
      <c r="F94">
        <v>32</v>
      </c>
      <c r="G94">
        <v>1</v>
      </c>
      <c r="H94">
        <v>0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30</v>
      </c>
      <c r="D106">
        <v>18</v>
      </c>
      <c r="E106" s="12">
        <f>+D106/C106*100</f>
        <v>60</v>
      </c>
      <c r="F106">
        <v>371</v>
      </c>
      <c r="G106">
        <v>4</v>
      </c>
      <c r="H106">
        <v>68</v>
      </c>
      <c r="I106">
        <v>1</v>
      </c>
      <c r="J106" s="8">
        <f>+G106/C106*100</f>
        <v>13.333333333333334</v>
      </c>
      <c r="K106" s="12">
        <f>+I106/C106*100</f>
        <v>3.3333333333333335</v>
      </c>
      <c r="L106" s="12">
        <f>+F106/C106</f>
        <v>12.366666666666667</v>
      </c>
      <c r="M106" s="12">
        <f>100*(S106+U106+W106+Y106)/6</f>
        <v>134.16666666666669</v>
      </c>
      <c r="N106">
        <v>0</v>
      </c>
      <c r="R106">
        <f>+(E106-30)/20</f>
        <v>1.5</v>
      </c>
      <c r="S106" s="2">
        <f>IF(R106&lt;0,0,R106)</f>
        <v>1.5</v>
      </c>
      <c r="T106" s="6">
        <f>+(L106-3)/4</f>
        <v>2.341666666666667</v>
      </c>
      <c r="U106" s="2">
        <f>IF(T106&lt;0,0,T106)</f>
        <v>2.341666666666667</v>
      </c>
      <c r="V106">
        <f>+J106/5</f>
        <v>2.666666666666667</v>
      </c>
      <c r="W106" s="2">
        <f>IF(V106&lt;0,0,V106)</f>
        <v>2.666666666666667</v>
      </c>
      <c r="X106">
        <f>(9.5-K106)/4</f>
        <v>1.5416666666666665</v>
      </c>
      <c r="Y106" s="2">
        <f>IF(X106&lt;0,0,X106)</f>
        <v>1.5416666666666665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C109">
        <v>1</v>
      </c>
      <c r="D109">
        <v>1</v>
      </c>
      <c r="E109" s="12">
        <f>+D109/C109*100</f>
        <v>100</v>
      </c>
      <c r="F109">
        <v>13</v>
      </c>
      <c r="G109">
        <v>0</v>
      </c>
      <c r="H109">
        <v>13</v>
      </c>
      <c r="I109">
        <v>0</v>
      </c>
      <c r="J109" s="8"/>
      <c r="K109" s="12">
        <f>+I109/C109*100</f>
        <v>0</v>
      </c>
      <c r="L109" s="12">
        <f>+F109/C109</f>
        <v>13</v>
      </c>
      <c r="M109" s="12">
        <f>100*(S109+U109+W109+Y109)/6</f>
        <v>139.58333333333334</v>
      </c>
      <c r="N109">
        <v>0</v>
      </c>
      <c r="R109">
        <f>+(E109-30)/20</f>
        <v>3.5</v>
      </c>
      <c r="S109" s="2">
        <f>IF(R109&lt;0,0,R109)</f>
        <v>3.5</v>
      </c>
      <c r="T109" s="6">
        <f>+(L109-3)/4</f>
        <v>2.5</v>
      </c>
      <c r="U109" s="2">
        <f>IF(T109&lt;0,0,T109)</f>
        <v>2.5</v>
      </c>
      <c r="V109">
        <f>+J109/5</f>
        <v>0</v>
      </c>
      <c r="W109" s="2">
        <f>IF(V109&lt;0,0,V109)</f>
        <v>0</v>
      </c>
      <c r="X109">
        <f>(9.5-K109)/4</f>
        <v>2.375</v>
      </c>
      <c r="Y109" s="2">
        <f>IF(X109&lt;0,0,X109)</f>
        <v>2.375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.75">
      <c r="A113" s="1" t="s">
        <v>112</v>
      </c>
      <c r="C113">
        <v>1</v>
      </c>
      <c r="D113">
        <v>1</v>
      </c>
      <c r="E113">
        <v>0</v>
      </c>
      <c r="F113" s="12">
        <f aca="true" t="shared" si="2" ref="F113:F118">+E113/C113</f>
        <v>0</v>
      </c>
      <c r="G113">
        <v>0</v>
      </c>
      <c r="H113">
        <v>0</v>
      </c>
      <c r="I113">
        <v>0</v>
      </c>
    </row>
    <row r="114" spans="1:6" ht="12.75">
      <c r="A114" s="1" t="s">
        <v>123</v>
      </c>
      <c r="F114" s="12" t="e">
        <f t="shared" si="2"/>
        <v>#DIV/0!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.75">
      <c r="A123" s="1" t="s">
        <v>115</v>
      </c>
      <c r="C123">
        <v>1</v>
      </c>
      <c r="D123">
        <v>13</v>
      </c>
      <c r="E123" s="12">
        <f aca="true" t="shared" si="3" ref="E123:E128">+D123/C123</f>
        <v>13</v>
      </c>
      <c r="F123">
        <v>13</v>
      </c>
      <c r="G123">
        <v>0</v>
      </c>
      <c r="H123">
        <v>0</v>
      </c>
    </row>
    <row r="124" spans="1:8" ht="12.75">
      <c r="A124" s="1" t="s">
        <v>101</v>
      </c>
      <c r="C124">
        <v>1</v>
      </c>
      <c r="D124">
        <v>19</v>
      </c>
      <c r="E124" s="12">
        <f t="shared" si="3"/>
        <v>19</v>
      </c>
      <c r="F124">
        <v>19</v>
      </c>
      <c r="G124">
        <v>0</v>
      </c>
      <c r="H124">
        <v>0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5</v>
      </c>
      <c r="D133">
        <f>45+40+37+41+42</f>
        <v>205</v>
      </c>
      <c r="E133" s="12">
        <f>+D133/C133</f>
        <v>41</v>
      </c>
      <c r="F133">
        <v>45</v>
      </c>
      <c r="G133">
        <v>0</v>
      </c>
      <c r="H133">
        <v>0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10" ht="12.75">
      <c r="A138" s="1" t="s">
        <v>119</v>
      </c>
      <c r="C138">
        <v>5</v>
      </c>
      <c r="D138">
        <v>0</v>
      </c>
      <c r="E138">
        <v>5</v>
      </c>
      <c r="F138">
        <v>4</v>
      </c>
      <c r="G138">
        <v>0</v>
      </c>
      <c r="H138">
        <v>0</v>
      </c>
      <c r="I138" s="12" t="e">
        <f>+H138/G138*100</f>
        <v>#DIV/0!</v>
      </c>
      <c r="J138"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8" ht="12.75">
      <c r="A142" s="1" t="s">
        <v>120</v>
      </c>
      <c r="C142">
        <v>1</v>
      </c>
      <c r="D142">
        <v>11</v>
      </c>
      <c r="E142" s="12">
        <f aca="true" t="shared" si="4" ref="E142:E148">+D142/C142</f>
        <v>11</v>
      </c>
      <c r="F142">
        <v>11</v>
      </c>
      <c r="G142">
        <v>0</v>
      </c>
      <c r="H142">
        <v>0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ht="12.75">
      <c r="A156" s="19" t="s">
        <v>130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34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25</v>
      </c>
      <c r="H6" s="1" t="s">
        <v>29</v>
      </c>
      <c r="M6" s="2">
        <v>27</v>
      </c>
    </row>
    <row r="7" spans="1:13" ht="12.75">
      <c r="A7" s="18" t="s">
        <v>95</v>
      </c>
      <c r="D7" s="2">
        <v>13</v>
      </c>
      <c r="H7" s="18" t="s">
        <v>95</v>
      </c>
      <c r="M7" s="2">
        <v>14</v>
      </c>
    </row>
    <row r="8" spans="1:13" ht="12.75">
      <c r="A8" s="18" t="s">
        <v>96</v>
      </c>
      <c r="D8" s="2">
        <v>11</v>
      </c>
      <c r="H8" s="18" t="s">
        <v>96</v>
      </c>
      <c r="M8" s="2">
        <v>13</v>
      </c>
    </row>
    <row r="9" spans="1:13" ht="12.75">
      <c r="A9" s="18" t="s">
        <v>97</v>
      </c>
      <c r="D9" s="2">
        <v>1</v>
      </c>
      <c r="H9" s="18" t="s">
        <v>97</v>
      </c>
      <c r="M9" s="2">
        <v>0</v>
      </c>
    </row>
    <row r="11" spans="1:23" ht="12.75">
      <c r="A11" t="s">
        <v>1</v>
      </c>
      <c r="D11" s="2">
        <f>17+10+4+2+1</f>
        <v>34</v>
      </c>
      <c r="H11" t="s">
        <v>1</v>
      </c>
      <c r="M11" s="2">
        <f>15+10+4+3+3+2</f>
        <v>37</v>
      </c>
      <c r="V11">
        <f>+D11</f>
        <v>34</v>
      </c>
      <c r="W11">
        <f>+M11</f>
        <v>37</v>
      </c>
    </row>
    <row r="12" spans="1:23" ht="12.75">
      <c r="A12" t="s">
        <v>2</v>
      </c>
      <c r="D12" s="2">
        <f>67+35+25+6+19</f>
        <v>152</v>
      </c>
      <c r="H12" t="s">
        <v>2</v>
      </c>
      <c r="M12" s="2">
        <f>48+40+22+13+20+2</f>
        <v>145</v>
      </c>
      <c r="U12" s="13"/>
      <c r="V12">
        <f>+D16</f>
        <v>14</v>
      </c>
      <c r="W12">
        <f>+M16</f>
        <v>17</v>
      </c>
    </row>
    <row r="13" spans="1:23" ht="12.75">
      <c r="A13" s="1" t="s">
        <v>3</v>
      </c>
      <c r="D13" s="8">
        <f>+D12/D11</f>
        <v>4.470588235294118</v>
      </c>
      <c r="H13" s="1" t="s">
        <v>3</v>
      </c>
      <c r="M13" s="8">
        <f>+M12/M11</f>
        <v>3.918918918918919</v>
      </c>
      <c r="V13">
        <f>+(D15-D16)/2</f>
        <v>8</v>
      </c>
      <c r="W13">
        <f>+(M15-M16)/2</f>
        <v>4.5</v>
      </c>
    </row>
    <row r="14" spans="22:23" ht="12.75">
      <c r="V14">
        <f>+D38/2</f>
        <v>1</v>
      </c>
      <c r="W14">
        <f>+M38/2</f>
        <v>1</v>
      </c>
    </row>
    <row r="15" spans="1:23" ht="12.75">
      <c r="A15" t="s">
        <v>4</v>
      </c>
      <c r="D15" s="2">
        <v>30</v>
      </c>
      <c r="H15" t="s">
        <v>4</v>
      </c>
      <c r="M15" s="2">
        <v>26</v>
      </c>
      <c r="V15">
        <f>+D42/2</f>
        <v>1</v>
      </c>
      <c r="W15">
        <f>+M42/2</f>
        <v>0</v>
      </c>
    </row>
    <row r="16" spans="1:23" ht="12.75">
      <c r="A16" t="s">
        <v>5</v>
      </c>
      <c r="D16" s="2">
        <v>14</v>
      </c>
      <c r="H16" t="s">
        <v>5</v>
      </c>
      <c r="M16" s="2">
        <v>17</v>
      </c>
      <c r="V16">
        <f>+D47/2</f>
        <v>2</v>
      </c>
      <c r="W16">
        <f>+M47/2</f>
        <v>2.5</v>
      </c>
    </row>
    <row r="17" spans="1:13" ht="12.75">
      <c r="A17" t="s">
        <v>6</v>
      </c>
      <c r="D17" s="8">
        <f>+D16/D15*100</f>
        <v>46.666666666666664</v>
      </c>
      <c r="H17" t="s">
        <v>6</v>
      </c>
      <c r="M17" s="8">
        <f>+M16/M15*100</f>
        <v>65.38461538461539</v>
      </c>
    </row>
    <row r="18" spans="1:24" ht="12.75">
      <c r="A18" t="s">
        <v>7</v>
      </c>
      <c r="D18" s="2">
        <v>200</v>
      </c>
      <c r="H18" t="s">
        <v>7</v>
      </c>
      <c r="M18" s="2">
        <v>290</v>
      </c>
      <c r="V18">
        <f>SUM(V11:V16)</f>
        <v>60</v>
      </c>
      <c r="W18">
        <f>SUM(W11:W16)</f>
        <v>62</v>
      </c>
      <c r="X18">
        <f>+W18+V18</f>
        <v>122</v>
      </c>
    </row>
    <row r="19" spans="1:23" ht="12.75">
      <c r="A19" t="s">
        <v>8</v>
      </c>
      <c r="D19" s="2">
        <v>1</v>
      </c>
      <c r="H19" t="s">
        <v>8</v>
      </c>
      <c r="M19" s="2">
        <v>1</v>
      </c>
      <c r="V19">
        <f>+V18/X18</f>
        <v>0.4918032786885246</v>
      </c>
      <c r="W19">
        <f>+W18/X18</f>
        <v>0.5081967213114754</v>
      </c>
    </row>
    <row r="20" spans="1:23" ht="12.75">
      <c r="A20" t="s">
        <v>9</v>
      </c>
      <c r="D20" s="2">
        <v>10</v>
      </c>
      <c r="H20" t="s">
        <v>9</v>
      </c>
      <c r="M20" s="2">
        <v>10</v>
      </c>
      <c r="V20">
        <f>+V19*60</f>
        <v>29.508196721311474</v>
      </c>
      <c r="W20">
        <f>+W19*60</f>
        <v>30.491803278688526</v>
      </c>
    </row>
    <row r="21" spans="1:23" ht="12.75">
      <c r="A21" t="s">
        <v>10</v>
      </c>
      <c r="D21">
        <f>+D18-D20</f>
        <v>190</v>
      </c>
      <c r="H21" t="s">
        <v>10</v>
      </c>
      <c r="M21">
        <f>+M18-M20</f>
        <v>280</v>
      </c>
      <c r="V21">
        <f>+V20-INT(V20)</f>
        <v>0.5081967213114744</v>
      </c>
      <c r="W21">
        <f>+W20-INT(W20)</f>
        <v>0.4918032786885256</v>
      </c>
    </row>
    <row r="22" spans="1:23" ht="12.75">
      <c r="A22" t="s">
        <v>11</v>
      </c>
      <c r="D22" s="7">
        <f>+D21/(D15+D19)</f>
        <v>6.129032258064516</v>
      </c>
      <c r="H22" t="s">
        <v>11</v>
      </c>
      <c r="M22" s="7">
        <f>+M21/(M15+M19)</f>
        <v>10.37037037037037</v>
      </c>
      <c r="V22">
        <f>+V21*60</f>
        <v>30.491803278688465</v>
      </c>
      <c r="W22">
        <f>+W21*60</f>
        <v>29.508196721311535</v>
      </c>
    </row>
    <row r="23" spans="1:23" ht="12.75">
      <c r="A23" t="s">
        <v>12</v>
      </c>
      <c r="D23" s="7">
        <f>+D18/D16</f>
        <v>14.285714285714286</v>
      </c>
      <c r="H23" t="s">
        <v>12</v>
      </c>
      <c r="M23" s="7">
        <f>+M18/M16</f>
        <v>17.058823529411764</v>
      </c>
      <c r="U23">
        <v>0</v>
      </c>
      <c r="V23" s="11">
        <f>ROUND(V22,0)</f>
        <v>30</v>
      </c>
      <c r="W23">
        <f>ROUND(W22,0)</f>
        <v>30</v>
      </c>
    </row>
    <row r="24" spans="22:23" ht="12.75">
      <c r="V24">
        <f>INT(V20)</f>
        <v>29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342</v>
      </c>
      <c r="H26" t="s">
        <v>14</v>
      </c>
      <c r="M26">
        <f>+M21+M12</f>
        <v>425</v>
      </c>
      <c r="Q26" s="9"/>
      <c r="R26" s="9"/>
      <c r="V26" s="14" t="str">
        <f>+V24&amp;V25&amp;V23</f>
        <v>29:30</v>
      </c>
      <c r="W26" s="9" t="str">
        <f>+W24&amp;W25&amp;W23</f>
        <v>30:30</v>
      </c>
    </row>
    <row r="27" spans="1:23" ht="12.75">
      <c r="A27" t="s">
        <v>15</v>
      </c>
      <c r="D27" s="7">
        <f>+D12/D26*100</f>
        <v>44.44444444444444</v>
      </c>
      <c r="H27" t="s">
        <v>15</v>
      </c>
      <c r="M27" s="7">
        <f>+M12/M26*100</f>
        <v>34.11764705882353</v>
      </c>
      <c r="V27" s="9" t="str">
        <f>IF(V23&lt;10,+V24&amp;V25&amp;$U$23&amp;V23,+V24&amp;V25&amp;V23)</f>
        <v>29:30</v>
      </c>
      <c r="W27" s="9" t="str">
        <f>IF(W23&lt;10,+W24&amp;W25&amp;$U$23&amp;W23,+W24&amp;W25&amp;W23)</f>
        <v>30:30</v>
      </c>
    </row>
    <row r="28" spans="1:13" ht="12.75">
      <c r="A28" s="1" t="s">
        <v>90</v>
      </c>
      <c r="D28" s="7">
        <f>+D21/D26*100</f>
        <v>55.55555555555556</v>
      </c>
      <c r="H28" s="1" t="s">
        <v>90</v>
      </c>
      <c r="M28" s="7">
        <f>+M21/M26*100</f>
        <v>65.88235294117646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64</v>
      </c>
    </row>
    <row r="31" spans="1:13" ht="12.75">
      <c r="A31" t="s">
        <v>17</v>
      </c>
      <c r="D31" s="8">
        <f>+D26/D30</f>
        <v>5.2615384615384615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6.640625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1</v>
      </c>
    </row>
    <row r="35" spans="1:13" ht="12.75">
      <c r="A35" t="s">
        <v>20</v>
      </c>
      <c r="D35" s="2">
        <v>27</v>
      </c>
      <c r="H35" t="s">
        <v>20</v>
      </c>
      <c r="M35" s="2">
        <v>44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2</v>
      </c>
      <c r="H38" t="s">
        <v>22</v>
      </c>
      <c r="M38" s="2">
        <v>2</v>
      </c>
    </row>
    <row r="39" spans="1:13" ht="12.75">
      <c r="A39" t="s">
        <v>23</v>
      </c>
      <c r="D39" s="2">
        <v>64</v>
      </c>
      <c r="H39" t="s">
        <v>23</v>
      </c>
      <c r="M39" s="2">
        <f>46+42</f>
        <v>88</v>
      </c>
    </row>
    <row r="40" spans="1:13" ht="12.75">
      <c r="A40" t="s">
        <v>24</v>
      </c>
      <c r="D40" s="8">
        <f>+D39/D38</f>
        <v>32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</v>
      </c>
    </row>
    <row r="41" ht="12.75">
      <c r="D41" s="2"/>
    </row>
    <row r="42" spans="1:13" ht="12.75">
      <c r="A42" t="s">
        <v>25</v>
      </c>
      <c r="D42" s="2">
        <v>2</v>
      </c>
      <c r="H42" t="s">
        <v>25</v>
      </c>
      <c r="M42" s="2">
        <v>0</v>
      </c>
    </row>
    <row r="43" spans="1:13" ht="12.75">
      <c r="A43" t="s">
        <v>26</v>
      </c>
      <c r="D43" s="2">
        <v>31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15.5</v>
      </c>
      <c r="H44" t="s">
        <v>27</v>
      </c>
      <c r="M44" s="8" t="e">
        <f>+M43/M42</f>
        <v>#DIV/0!</v>
      </c>
    </row>
    <row r="45" spans="1:13" ht="12.75">
      <c r="A45" t="s">
        <v>28</v>
      </c>
      <c r="D45" s="2">
        <v>0</v>
      </c>
      <c r="H45" t="s">
        <v>28</v>
      </c>
      <c r="M45" s="2">
        <v>0</v>
      </c>
    </row>
    <row r="47" spans="1:13" ht="12.75">
      <c r="A47" t="s">
        <v>30</v>
      </c>
      <c r="D47" s="2">
        <v>4</v>
      </c>
      <c r="H47" t="s">
        <v>30</v>
      </c>
      <c r="M47" s="2">
        <v>5</v>
      </c>
    </row>
    <row r="48" spans="1:13" ht="12.75">
      <c r="A48" t="s">
        <v>26</v>
      </c>
      <c r="D48" s="2">
        <f>7+26+31+16</f>
        <v>80</v>
      </c>
      <c r="H48" t="s">
        <v>26</v>
      </c>
      <c r="M48" s="2">
        <f>13+16+27+20+70</f>
        <v>146</v>
      </c>
    </row>
    <row r="49" spans="1:13" ht="12.75">
      <c r="A49" t="s">
        <v>27</v>
      </c>
      <c r="D49" s="8">
        <f>+D48/D47</f>
        <v>20</v>
      </c>
      <c r="H49" t="s">
        <v>27</v>
      </c>
      <c r="M49" s="8">
        <f>+M48/M47</f>
        <v>29.2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4</v>
      </c>
      <c r="H52" t="s">
        <v>31</v>
      </c>
      <c r="M52" s="2">
        <v>5</v>
      </c>
    </row>
    <row r="53" spans="1:13" ht="12.75">
      <c r="A53" t="s">
        <v>32</v>
      </c>
      <c r="D53" s="2">
        <v>20</v>
      </c>
      <c r="H53" t="s">
        <v>32</v>
      </c>
      <c r="M53" s="2">
        <v>45</v>
      </c>
    </row>
    <row r="55" spans="1:13" ht="12.75">
      <c r="A55" t="s">
        <v>33</v>
      </c>
      <c r="D55" s="2">
        <v>4</v>
      </c>
      <c r="H55" t="s">
        <v>33</v>
      </c>
      <c r="M55" s="2">
        <v>1</v>
      </c>
    </row>
    <row r="56" spans="1:13" ht="12.75">
      <c r="A56" t="s">
        <v>34</v>
      </c>
      <c r="D56" s="2">
        <v>1</v>
      </c>
      <c r="H56" t="s">
        <v>34</v>
      </c>
      <c r="M56" s="2">
        <v>0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1</v>
      </c>
      <c r="H58" t="s">
        <v>36</v>
      </c>
      <c r="M58" s="2">
        <v>2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35</v>
      </c>
      <c r="H61" t="s">
        <v>38</v>
      </c>
      <c r="M61" s="2">
        <v>45</v>
      </c>
    </row>
    <row r="62" spans="1:13" ht="12.75">
      <c r="A62" t="s">
        <v>39</v>
      </c>
      <c r="D62" s="2">
        <v>5</v>
      </c>
      <c r="H62" t="s">
        <v>39</v>
      </c>
      <c r="M62" s="2">
        <v>6</v>
      </c>
    </row>
    <row r="63" spans="1:13" ht="12.75">
      <c r="A63" t="s">
        <v>40</v>
      </c>
      <c r="D63" s="2">
        <v>3</v>
      </c>
      <c r="H63" t="s">
        <v>40</v>
      </c>
      <c r="M63" s="2">
        <v>2</v>
      </c>
    </row>
    <row r="64" spans="1:13" ht="12.75">
      <c r="A64" t="s">
        <v>41</v>
      </c>
      <c r="D64" s="2">
        <v>2</v>
      </c>
      <c r="H64" t="s">
        <v>41</v>
      </c>
      <c r="M64" s="2">
        <v>4</v>
      </c>
    </row>
    <row r="65" spans="1:13" ht="12.75">
      <c r="A65" t="s">
        <v>42</v>
      </c>
      <c r="D65" s="2">
        <v>0</v>
      </c>
      <c r="H65" t="s">
        <v>42</v>
      </c>
      <c r="M65" s="2">
        <v>0</v>
      </c>
    </row>
    <row r="66" spans="1:13" ht="12.75">
      <c r="A66" t="s">
        <v>43</v>
      </c>
      <c r="D66" s="2">
        <v>5</v>
      </c>
      <c r="H66" t="s">
        <v>43</v>
      </c>
      <c r="M66" s="2">
        <v>6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1</v>
      </c>
    </row>
    <row r="69" spans="1:13" ht="12.75">
      <c r="A69" t="s">
        <v>46</v>
      </c>
      <c r="D69" s="2">
        <v>1</v>
      </c>
      <c r="H69" t="s">
        <v>46</v>
      </c>
      <c r="M69" s="2">
        <v>2</v>
      </c>
    </row>
    <row r="70" spans="1:13" ht="12.75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.75">
      <c r="A71" t="s">
        <v>93</v>
      </c>
      <c r="D71" s="10" t="str">
        <f>IF(V23&lt;10,V27,V26)</f>
        <v>29:30</v>
      </c>
      <c r="E71" s="8"/>
      <c r="F71" s="8"/>
      <c r="H71" t="s">
        <v>93</v>
      </c>
      <c r="M71" s="10" t="str">
        <f>IF(W23&lt;10,W27,W26)</f>
        <v>30:30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17</v>
      </c>
      <c r="D75">
        <v>67</v>
      </c>
      <c r="E75" s="12">
        <f>+D75/C75</f>
        <v>3.9411764705882355</v>
      </c>
      <c r="F75">
        <v>11</v>
      </c>
      <c r="G75">
        <v>2</v>
      </c>
      <c r="H75">
        <v>1</v>
      </c>
    </row>
    <row r="76" spans="1:8" ht="12.75">
      <c r="A76" s="1" t="s">
        <v>100</v>
      </c>
      <c r="C76">
        <v>10</v>
      </c>
      <c r="D76">
        <v>35</v>
      </c>
      <c r="E76" s="12">
        <f>+D76/C76</f>
        <v>3.5</v>
      </c>
      <c r="F76">
        <v>20</v>
      </c>
      <c r="G76">
        <v>1</v>
      </c>
      <c r="H76">
        <v>1</v>
      </c>
    </row>
    <row r="77" spans="1:8" ht="12.75">
      <c r="A77" s="1" t="s">
        <v>101</v>
      </c>
      <c r="C77">
        <v>4</v>
      </c>
      <c r="D77">
        <v>25</v>
      </c>
      <c r="E77" s="12">
        <f>+D77/C77</f>
        <v>6.25</v>
      </c>
      <c r="F77">
        <v>21</v>
      </c>
      <c r="G77">
        <v>0</v>
      </c>
      <c r="H77">
        <v>0</v>
      </c>
    </row>
    <row r="78" spans="1:8" ht="12.75">
      <c r="A78" s="1" t="s">
        <v>102</v>
      </c>
      <c r="C78">
        <v>2</v>
      </c>
      <c r="D78">
        <v>6</v>
      </c>
      <c r="E78" s="12">
        <f aca="true" t="shared" si="0" ref="E78:E84">+D78/C78</f>
        <v>3</v>
      </c>
      <c r="F78">
        <v>4</v>
      </c>
      <c r="G78">
        <v>0</v>
      </c>
      <c r="H78">
        <v>0</v>
      </c>
    </row>
    <row r="79" spans="1:5" ht="12.75">
      <c r="A79" s="1" t="s">
        <v>103</v>
      </c>
      <c r="E79" s="12" t="e">
        <f t="shared" si="0"/>
        <v>#DIV/0!</v>
      </c>
    </row>
    <row r="80" spans="1:5" ht="12.75">
      <c r="A80" s="1" t="s">
        <v>104</v>
      </c>
      <c r="E80" s="12" t="e">
        <f t="shared" si="0"/>
        <v>#DIV/0!</v>
      </c>
    </row>
    <row r="81" spans="1:5" ht="12.75">
      <c r="A81" s="1" t="s">
        <v>105</v>
      </c>
      <c r="E81" s="12" t="e">
        <f t="shared" si="0"/>
        <v>#DIV/0!</v>
      </c>
    </row>
    <row r="82" spans="1:5" ht="12.75">
      <c r="A82" s="1" t="s">
        <v>106</v>
      </c>
      <c r="E82" s="12" t="e">
        <f t="shared" si="0"/>
        <v>#DIV/0!</v>
      </c>
    </row>
    <row r="83" spans="1:8" ht="12.75">
      <c r="A83" s="1" t="s">
        <v>107</v>
      </c>
      <c r="C83">
        <v>1</v>
      </c>
      <c r="D83">
        <v>19</v>
      </c>
      <c r="E83" s="12">
        <f t="shared" si="0"/>
        <v>19</v>
      </c>
      <c r="F83">
        <v>19</v>
      </c>
      <c r="G83">
        <v>0</v>
      </c>
      <c r="H83">
        <v>0</v>
      </c>
    </row>
    <row r="84" spans="1:5" ht="12.75">
      <c r="A84" s="1" t="s">
        <v>108</v>
      </c>
      <c r="E84" s="12" t="e">
        <f t="shared" si="0"/>
        <v>#DIV/0!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7" ht="12.75">
      <c r="A89" s="1" t="s">
        <v>107</v>
      </c>
      <c r="C89">
        <v>4</v>
      </c>
      <c r="D89">
        <v>61</v>
      </c>
      <c r="E89" s="12">
        <f aca="true" t="shared" si="1" ref="E89:E100">+D89/C89</f>
        <v>15.25</v>
      </c>
      <c r="F89">
        <v>18</v>
      </c>
      <c r="G89">
        <v>0</v>
      </c>
    </row>
    <row r="90" spans="1:8" ht="12.75">
      <c r="A90" s="1" t="s">
        <v>109</v>
      </c>
      <c r="C90">
        <v>1</v>
      </c>
      <c r="D90">
        <v>7</v>
      </c>
      <c r="E90" s="12">
        <f t="shared" si="1"/>
        <v>7</v>
      </c>
      <c r="F90">
        <v>7</v>
      </c>
      <c r="G90">
        <v>0</v>
      </c>
      <c r="H90">
        <v>0</v>
      </c>
    </row>
    <row r="91" spans="1:7" ht="12.75">
      <c r="A91" s="1" t="s">
        <v>108</v>
      </c>
      <c r="C91">
        <v>2</v>
      </c>
      <c r="D91">
        <v>45</v>
      </c>
      <c r="E91" s="12">
        <f t="shared" si="1"/>
        <v>22.5</v>
      </c>
      <c r="F91">
        <v>30</v>
      </c>
      <c r="G91">
        <v>1</v>
      </c>
    </row>
    <row r="92" spans="1:8" ht="12.75">
      <c r="A92" s="1" t="s">
        <v>99</v>
      </c>
      <c r="C92">
        <v>1</v>
      </c>
      <c r="D92">
        <v>32</v>
      </c>
      <c r="E92" s="12">
        <f t="shared" si="1"/>
        <v>32</v>
      </c>
      <c r="F92">
        <v>32</v>
      </c>
      <c r="G92">
        <v>0</v>
      </c>
      <c r="H92">
        <v>0</v>
      </c>
    </row>
    <row r="93" spans="1:8" ht="12.75">
      <c r="A93" s="1" t="s">
        <v>110</v>
      </c>
      <c r="C93">
        <v>4</v>
      </c>
      <c r="D93">
        <v>46</v>
      </c>
      <c r="E93" s="12">
        <f t="shared" si="1"/>
        <v>11.5</v>
      </c>
      <c r="F93">
        <v>18</v>
      </c>
      <c r="G93">
        <v>1</v>
      </c>
      <c r="H93">
        <v>0</v>
      </c>
    </row>
    <row r="94" spans="1:6" ht="12.75">
      <c r="A94" s="1" t="s">
        <v>100</v>
      </c>
      <c r="C94">
        <v>2</v>
      </c>
      <c r="D94">
        <v>9</v>
      </c>
      <c r="E94" s="12">
        <f t="shared" si="1"/>
        <v>4.5</v>
      </c>
      <c r="F94">
        <v>8</v>
      </c>
    </row>
    <row r="95" spans="1:5" ht="12.75">
      <c r="A95" s="1" t="s">
        <v>111</v>
      </c>
      <c r="E95" s="12" t="e">
        <f t="shared" si="1"/>
        <v>#DIV/0!</v>
      </c>
    </row>
    <row r="96" spans="1:5" ht="12.75">
      <c r="A96" s="1" t="s">
        <v>103</v>
      </c>
      <c r="E96" s="12" t="e">
        <f t="shared" si="1"/>
        <v>#DIV/0!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5" ht="12.75">
      <c r="A100" s="1" t="s">
        <v>106</v>
      </c>
      <c r="E100" s="12" t="e">
        <f t="shared" si="1"/>
        <v>#DIV/0!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30</v>
      </c>
      <c r="D106">
        <v>14</v>
      </c>
      <c r="E106" s="12">
        <f>+D106/C106*100</f>
        <v>46.666666666666664</v>
      </c>
      <c r="F106">
        <v>200</v>
      </c>
      <c r="G106">
        <v>2</v>
      </c>
      <c r="H106">
        <v>32</v>
      </c>
      <c r="I106">
        <v>2</v>
      </c>
      <c r="J106" s="8">
        <f>+G106/C106*100</f>
        <v>6.666666666666667</v>
      </c>
      <c r="K106" s="12">
        <f>+I106/C106*100</f>
        <v>6.666666666666667</v>
      </c>
      <c r="L106" s="12">
        <f>+F106/C106</f>
        <v>6.666666666666667</v>
      </c>
      <c r="M106" s="12">
        <f>100*(S106+U106+W106+Y106)/6</f>
        <v>63.19444444444445</v>
      </c>
      <c r="N106">
        <v>0</v>
      </c>
      <c r="R106">
        <f>+(E106-30)/20</f>
        <v>0.8333333333333333</v>
      </c>
      <c r="S106" s="2">
        <f>IF(R106&lt;0,0,R106)</f>
        <v>0.8333333333333333</v>
      </c>
      <c r="T106" s="6">
        <f>+(L106-3)/4</f>
        <v>0.9166666666666667</v>
      </c>
      <c r="U106" s="2">
        <f>IF(T106&lt;0,0,T106)</f>
        <v>0.9166666666666667</v>
      </c>
      <c r="V106">
        <f>+J106/5</f>
        <v>1.3333333333333335</v>
      </c>
      <c r="W106" s="2">
        <f>IF(V106&lt;0,0,V106)</f>
        <v>1.3333333333333335</v>
      </c>
      <c r="X106">
        <f>(9.5-K106)/4</f>
        <v>0.7083333333333333</v>
      </c>
      <c r="Y106" s="2">
        <f>IF(X106&lt;0,0,X106)</f>
        <v>0.7083333333333333</v>
      </c>
    </row>
    <row r="107" spans="1:25" ht="12.75">
      <c r="A107" s="1" t="s">
        <v>104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.75">
      <c r="A113" s="1" t="s">
        <v>112</v>
      </c>
      <c r="C113">
        <v>1</v>
      </c>
      <c r="E113">
        <v>2</v>
      </c>
      <c r="F113" s="12">
        <f aca="true" t="shared" si="2" ref="F113:F118">+E113/C113</f>
        <v>2</v>
      </c>
      <c r="G113">
        <v>2</v>
      </c>
    </row>
    <row r="114" spans="1:9" ht="12.75">
      <c r="A114" s="1" t="s">
        <v>123</v>
      </c>
      <c r="C114">
        <v>1</v>
      </c>
      <c r="E114">
        <v>29</v>
      </c>
      <c r="F114" s="12">
        <f t="shared" si="2"/>
        <v>29</v>
      </c>
      <c r="G114">
        <v>29</v>
      </c>
      <c r="I114">
        <v>1</v>
      </c>
    </row>
    <row r="115" spans="1:6" ht="12.75">
      <c r="A115" s="1" t="s">
        <v>114</v>
      </c>
      <c r="F115" s="12" t="e">
        <f t="shared" si="2"/>
        <v>#DIV/0!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.75">
      <c r="A123" s="1" t="s">
        <v>115</v>
      </c>
      <c r="C123">
        <v>1</v>
      </c>
      <c r="D123">
        <v>26</v>
      </c>
      <c r="E123" s="12">
        <f aca="true" t="shared" si="3" ref="E123:E128">+D123/C123</f>
        <v>26</v>
      </c>
      <c r="F123">
        <v>26</v>
      </c>
    </row>
    <row r="124" spans="1:6" ht="12.75">
      <c r="A124" s="1" t="s">
        <v>101</v>
      </c>
      <c r="C124">
        <v>1</v>
      </c>
      <c r="D124">
        <v>31</v>
      </c>
      <c r="E124" s="12">
        <f t="shared" si="3"/>
        <v>31</v>
      </c>
      <c r="F124">
        <v>31</v>
      </c>
    </row>
    <row r="125" spans="1:8" ht="12.75">
      <c r="A125" s="1" t="s">
        <v>112</v>
      </c>
      <c r="C125">
        <v>1</v>
      </c>
      <c r="D125">
        <v>7</v>
      </c>
      <c r="E125" s="12">
        <f t="shared" si="3"/>
        <v>7</v>
      </c>
      <c r="F125">
        <v>7</v>
      </c>
      <c r="H125">
        <v>1</v>
      </c>
    </row>
    <row r="126" spans="1:6" ht="12.75">
      <c r="A126" s="1" t="s">
        <v>116</v>
      </c>
      <c r="C126">
        <v>1</v>
      </c>
      <c r="D126">
        <v>16</v>
      </c>
      <c r="E126" s="12">
        <f t="shared" si="3"/>
        <v>16</v>
      </c>
      <c r="F126">
        <v>16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.75">
      <c r="A133" s="1" t="s">
        <v>101</v>
      </c>
      <c r="C133">
        <v>2</v>
      </c>
      <c r="D133">
        <v>64</v>
      </c>
      <c r="E133" s="12">
        <f>+D133/C133</f>
        <v>32</v>
      </c>
      <c r="F133">
        <v>37</v>
      </c>
    </row>
    <row r="134" spans="1:5" ht="12.75">
      <c r="A134" s="1" t="s">
        <v>114</v>
      </c>
      <c r="E134" s="12" t="e">
        <f>+D134/C134</f>
        <v>#DIV/0!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I137" s="12" t="e">
        <f>+H137/G137*100</f>
        <v>#DIV/0!</v>
      </c>
    </row>
    <row r="138" spans="1:10" ht="12.75">
      <c r="A138" s="1" t="s">
        <v>119</v>
      </c>
      <c r="C138">
        <v>5</v>
      </c>
      <c r="D138">
        <v>1</v>
      </c>
      <c r="E138">
        <v>5</v>
      </c>
      <c r="F138">
        <v>5</v>
      </c>
      <c r="G138">
        <v>1</v>
      </c>
      <c r="H138">
        <v>0</v>
      </c>
      <c r="I138" s="12">
        <f>+H138/G138*100</f>
        <v>0</v>
      </c>
      <c r="J138">
        <v>0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6" ht="12.75">
      <c r="A141" s="1" t="s">
        <v>114</v>
      </c>
      <c r="C141">
        <v>1</v>
      </c>
      <c r="D141">
        <v>44</v>
      </c>
      <c r="E141" s="12">
        <f>+D141/C141</f>
        <v>44</v>
      </c>
      <c r="F141">
        <v>44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ht="12.75">
      <c r="A151" s="19" t="s">
        <v>125</v>
      </c>
    </row>
    <row r="152" ht="12.75">
      <c r="A152" s="19" t="s">
        <v>126</v>
      </c>
    </row>
    <row r="153" ht="12.75">
      <c r="A153" s="19" t="s">
        <v>127</v>
      </c>
    </row>
    <row r="154" ht="12.75">
      <c r="A154" s="19" t="s">
        <v>128</v>
      </c>
    </row>
    <row r="155" ht="12.75">
      <c r="A155" s="1" t="s">
        <v>129</v>
      </c>
    </row>
    <row r="156" spans="1:3" ht="12.75">
      <c r="A156" s="19" t="s">
        <v>130</v>
      </c>
      <c r="C156">
        <v>1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ht="12.75">
      <c r="A161" s="19" t="s">
        <v>135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ht="12.75">
      <c r="A175" s="19" t="s">
        <v>149</v>
      </c>
    </row>
    <row r="176" ht="12.75">
      <c r="A176" s="19" t="s">
        <v>150</v>
      </c>
    </row>
    <row r="177" ht="12.75">
      <c r="A177" s="19" t="s">
        <v>151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spans="1:3" ht="12.75">
      <c r="A186" s="19" t="s">
        <v>160</v>
      </c>
      <c r="C186">
        <v>1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5"/>
  <sheetViews>
    <sheetView workbookViewId="0" topLeftCell="A1">
      <selection activeCell="C130" sqref="C13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.75">
      <c r="A1" s="2" t="str">
        <f>+'Cumulative Stats'!A1</f>
        <v>1965 New York Giants</v>
      </c>
    </row>
    <row r="3" spans="1:8" ht="12.75">
      <c r="A3" s="2" t="s">
        <v>0</v>
      </c>
      <c r="H3" s="2" t="s">
        <v>48</v>
      </c>
    </row>
    <row r="6" spans="1:13" ht="12.75">
      <c r="A6" s="1" t="s">
        <v>29</v>
      </c>
      <c r="D6" s="2">
        <v>10</v>
      </c>
      <c r="H6" s="1" t="s">
        <v>29</v>
      </c>
      <c r="M6" s="2">
        <v>18</v>
      </c>
    </row>
    <row r="7" spans="1:13" ht="12.75">
      <c r="A7" s="18" t="s">
        <v>95</v>
      </c>
      <c r="D7" s="2">
        <v>9</v>
      </c>
      <c r="H7" s="18" t="s">
        <v>95</v>
      </c>
      <c r="M7" s="2">
        <v>7</v>
      </c>
    </row>
    <row r="8" spans="1:13" ht="12.75">
      <c r="A8" s="18" t="s">
        <v>96</v>
      </c>
      <c r="D8" s="2">
        <v>1</v>
      </c>
      <c r="H8" s="18" t="s">
        <v>96</v>
      </c>
      <c r="M8" s="2">
        <v>9</v>
      </c>
    </row>
    <row r="9" spans="1:13" ht="12.75">
      <c r="A9" s="18" t="s">
        <v>97</v>
      </c>
      <c r="D9" s="2">
        <v>0</v>
      </c>
      <c r="H9" s="18" t="s">
        <v>97</v>
      </c>
      <c r="M9" s="2">
        <v>2</v>
      </c>
    </row>
    <row r="11" spans="1:23" ht="12.75">
      <c r="A11" t="s">
        <v>1</v>
      </c>
      <c r="D11" s="2">
        <f>15+8+4+3+2+2+3</f>
        <v>37</v>
      </c>
      <c r="H11" t="s">
        <v>1</v>
      </c>
      <c r="M11" s="2">
        <f>12+10+4+2+1</f>
        <v>29</v>
      </c>
      <c r="V11">
        <f>+D11</f>
        <v>37</v>
      </c>
      <c r="W11">
        <f>+M11</f>
        <v>29</v>
      </c>
    </row>
    <row r="12" spans="1:23" ht="12.75">
      <c r="A12" t="s">
        <v>2</v>
      </c>
      <c r="D12" s="2">
        <f>56+23+33+4+25-7+13+1+2</f>
        <v>150</v>
      </c>
      <c r="H12" t="s">
        <v>2</v>
      </c>
      <c r="M12" s="2">
        <f>40+22+43+20+4</f>
        <v>129</v>
      </c>
      <c r="U12" s="13"/>
      <c r="V12">
        <f>+D16</f>
        <v>6</v>
      </c>
      <c r="W12">
        <f>+M16</f>
        <v>19</v>
      </c>
    </row>
    <row r="13" spans="1:23" ht="12.75">
      <c r="A13" s="1" t="s">
        <v>3</v>
      </c>
      <c r="D13" s="8">
        <f>+D12/D11</f>
        <v>4.054054054054054</v>
      </c>
      <c r="H13" s="1" t="s">
        <v>3</v>
      </c>
      <c r="M13" s="8">
        <f>+M12/M11</f>
        <v>4.448275862068965</v>
      </c>
      <c r="V13">
        <f>+(D15-D16)/2</f>
        <v>9</v>
      </c>
      <c r="W13">
        <f>+(M15-M16)/2</f>
        <v>2.5</v>
      </c>
    </row>
    <row r="14" spans="22:23" ht="12.75">
      <c r="V14">
        <f>+D38/2</f>
        <v>4.5</v>
      </c>
      <c r="W14">
        <f>+M38/2</f>
        <v>1.5</v>
      </c>
    </row>
    <row r="15" spans="1:23" ht="12.75">
      <c r="A15" t="s">
        <v>4</v>
      </c>
      <c r="D15" s="2">
        <v>24</v>
      </c>
      <c r="H15" t="s">
        <v>4</v>
      </c>
      <c r="M15" s="2">
        <v>24</v>
      </c>
      <c r="V15">
        <f>+D42/2</f>
        <v>1</v>
      </c>
      <c r="W15">
        <f>+M42/2</f>
        <v>3.5</v>
      </c>
    </row>
    <row r="16" spans="1:23" ht="12.75">
      <c r="A16" t="s">
        <v>5</v>
      </c>
      <c r="D16" s="2">
        <v>6</v>
      </c>
      <c r="H16" t="s">
        <v>5</v>
      </c>
      <c r="M16" s="2">
        <v>19</v>
      </c>
      <c r="V16">
        <f>+D47/2</f>
        <v>1</v>
      </c>
      <c r="W16">
        <f>+M47/2</f>
        <v>1</v>
      </c>
    </row>
    <row r="17" spans="1:13" ht="12.75">
      <c r="A17" t="s">
        <v>6</v>
      </c>
      <c r="D17" s="8">
        <f>+D16/D15*100</f>
        <v>25</v>
      </c>
      <c r="H17" t="s">
        <v>6</v>
      </c>
      <c r="M17" s="8">
        <f>+M16/M15*100</f>
        <v>79.16666666666666</v>
      </c>
    </row>
    <row r="18" spans="1:24" ht="12.75">
      <c r="A18" t="s">
        <v>7</v>
      </c>
      <c r="D18" s="2">
        <f>58-11</f>
        <v>47</v>
      </c>
      <c r="H18" t="s">
        <v>7</v>
      </c>
      <c r="M18" s="2">
        <f>183+29</f>
        <v>212</v>
      </c>
      <c r="V18">
        <f>SUM(V11:V16)</f>
        <v>58.5</v>
      </c>
      <c r="W18">
        <f>SUM(W11:W16)</f>
        <v>56.5</v>
      </c>
      <c r="X18">
        <f>+W18+V18</f>
        <v>115</v>
      </c>
    </row>
    <row r="19" spans="1:23" ht="12.75">
      <c r="A19" t="s">
        <v>8</v>
      </c>
      <c r="D19" s="2">
        <v>4</v>
      </c>
      <c r="H19" t="s">
        <v>8</v>
      </c>
      <c r="M19" s="2">
        <v>2</v>
      </c>
      <c r="V19">
        <f>+V18/X18</f>
        <v>0.508695652173913</v>
      </c>
      <c r="W19">
        <f>+W18/X18</f>
        <v>0.49130434782608695</v>
      </c>
    </row>
    <row r="20" spans="1:23" ht="12.75">
      <c r="A20" t="s">
        <v>9</v>
      </c>
      <c r="D20" s="2">
        <f>8+9+11+15</f>
        <v>43</v>
      </c>
      <c r="H20" t="s">
        <v>9</v>
      </c>
      <c r="M20" s="2">
        <v>16</v>
      </c>
      <c r="V20">
        <f>+V19*60</f>
        <v>30.52173913043478</v>
      </c>
      <c r="W20">
        <f>+W19*60</f>
        <v>29.47826086956522</v>
      </c>
    </row>
    <row r="21" spans="1:23" ht="12.75">
      <c r="A21" t="s">
        <v>10</v>
      </c>
      <c r="D21">
        <f>+D18-D20</f>
        <v>4</v>
      </c>
      <c r="H21" t="s">
        <v>10</v>
      </c>
      <c r="M21">
        <f>+M18-M20</f>
        <v>196</v>
      </c>
      <c r="V21">
        <f>+V20-INT(V20)</f>
        <v>0.5217391304347814</v>
      </c>
      <c r="W21">
        <f>+W20-INT(W20)</f>
        <v>0.4782608695652186</v>
      </c>
    </row>
    <row r="22" spans="1:23" ht="12.75">
      <c r="A22" t="s">
        <v>11</v>
      </c>
      <c r="D22" s="7">
        <f>+D21/(D15+D19)</f>
        <v>0.14285714285714285</v>
      </c>
      <c r="H22" t="s">
        <v>11</v>
      </c>
      <c r="M22" s="7">
        <f>+M21/(M15+M19)</f>
        <v>7.538461538461538</v>
      </c>
      <c r="V22">
        <f>+V21*60</f>
        <v>31.304347826086882</v>
      </c>
      <c r="W22">
        <f>+W21*60</f>
        <v>28.695652173913118</v>
      </c>
    </row>
    <row r="23" spans="1:23" ht="12.75">
      <c r="A23" t="s">
        <v>12</v>
      </c>
      <c r="D23" s="7">
        <f>+D18/D16</f>
        <v>7.833333333333333</v>
      </c>
      <c r="H23" t="s">
        <v>12</v>
      </c>
      <c r="M23" s="7">
        <f>+M18/M16</f>
        <v>11.157894736842104</v>
      </c>
      <c r="U23">
        <v>0</v>
      </c>
      <c r="V23" s="11">
        <f>ROUND(V22,0)</f>
        <v>31</v>
      </c>
      <c r="W23">
        <f>ROUND(W22,0)</f>
        <v>29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91</v>
      </c>
      <c r="W25" t="s">
        <v>91</v>
      </c>
    </row>
    <row r="26" spans="1:23" ht="12.75">
      <c r="A26" t="s">
        <v>14</v>
      </c>
      <c r="D26">
        <f>+D21+D12</f>
        <v>154</v>
      </c>
      <c r="H26" t="s">
        <v>14</v>
      </c>
      <c r="M26">
        <f>+M21+M12</f>
        <v>325</v>
      </c>
      <c r="V26" s="14" t="str">
        <f>+V24&amp;V25&amp;V23</f>
        <v>30:31</v>
      </c>
      <c r="W26" s="9" t="str">
        <f>+W24&amp;W25&amp;W23</f>
        <v>29:29</v>
      </c>
    </row>
    <row r="27" spans="1:23" ht="12.75">
      <c r="A27" t="s">
        <v>15</v>
      </c>
      <c r="D27" s="7">
        <f>+D12/D26*100</f>
        <v>97.40259740259741</v>
      </c>
      <c r="H27" t="s">
        <v>15</v>
      </c>
      <c r="M27" s="7">
        <f>+M12/M26*100</f>
        <v>39.69230769230769</v>
      </c>
      <c r="V27" s="9" t="str">
        <f>IF(V23&lt;10,+V24&amp;V25&amp;$U$23&amp;V23,+V24&amp;V25&amp;V23)</f>
        <v>30:31</v>
      </c>
      <c r="W27" s="9" t="str">
        <f>IF(W23&lt;10,+W24&amp;W25&amp;$U$23&amp;W23,+W24&amp;W25&amp;W23)</f>
        <v>29:29</v>
      </c>
    </row>
    <row r="28" spans="1:13" ht="12.75">
      <c r="A28" s="1" t="s">
        <v>90</v>
      </c>
      <c r="D28" s="7">
        <f>+D21/D26*100</f>
        <v>2.5974025974025974</v>
      </c>
      <c r="H28" s="1" t="s">
        <v>90</v>
      </c>
      <c r="M28" s="7">
        <f>+M21/M26*100</f>
        <v>60.30769230769231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55</v>
      </c>
    </row>
    <row r="31" spans="1:13" ht="12.75">
      <c r="A31" t="s">
        <v>17</v>
      </c>
      <c r="D31" s="8">
        <f>+D26/D30</f>
        <v>2.3692307692307693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5.909090909090909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43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9</v>
      </c>
      <c r="H38" t="s">
        <v>22</v>
      </c>
      <c r="M38" s="2">
        <v>3</v>
      </c>
    </row>
    <row r="39" spans="1:13" ht="12.75">
      <c r="A39" t="s">
        <v>23</v>
      </c>
      <c r="D39" s="2">
        <f>49+42+48+48+42+45+48+40+54</f>
        <v>416</v>
      </c>
      <c r="H39" t="s">
        <v>23</v>
      </c>
      <c r="M39" s="2">
        <f>42+52+37</f>
        <v>131</v>
      </c>
    </row>
    <row r="40" spans="1:13" ht="12.75">
      <c r="A40" t="s">
        <v>24</v>
      </c>
      <c r="D40" s="8">
        <f>+D39/D38</f>
        <v>46.22222222222222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43.666666666666664</v>
      </c>
    </row>
    <row r="42" spans="1:13" ht="12.75">
      <c r="A42" t="s">
        <v>25</v>
      </c>
      <c r="D42" s="2">
        <v>2</v>
      </c>
      <c r="H42" t="s">
        <v>25</v>
      </c>
      <c r="M42" s="2">
        <v>7</v>
      </c>
    </row>
    <row r="43" spans="1:13" ht="12.75">
      <c r="A43" t="s">
        <v>26</v>
      </c>
      <c r="D43" s="2">
        <v>-3</v>
      </c>
      <c r="H43" t="s">
        <v>26</v>
      </c>
      <c r="M43" s="2">
        <f>10-1+5+89+13+31+9</f>
        <v>156</v>
      </c>
    </row>
    <row r="44" spans="1:13" ht="12.75">
      <c r="A44" t="s">
        <v>27</v>
      </c>
      <c r="D44" s="8">
        <f>+D43/D42</f>
        <v>-1.5</v>
      </c>
      <c r="H44" t="s">
        <v>27</v>
      </c>
      <c r="M44" s="8">
        <f>+M43/M42</f>
        <v>22.285714285714285</v>
      </c>
    </row>
    <row r="45" spans="1:13" ht="12.75">
      <c r="A45" t="s">
        <v>28</v>
      </c>
      <c r="D45" s="2">
        <v>0</v>
      </c>
      <c r="H45" t="s">
        <v>28</v>
      </c>
      <c r="M45" s="2">
        <v>1</v>
      </c>
    </row>
    <row r="47" spans="1:13" ht="12.75">
      <c r="A47" t="s">
        <v>30</v>
      </c>
      <c r="D47" s="2">
        <v>2</v>
      </c>
      <c r="H47" t="s">
        <v>30</v>
      </c>
      <c r="M47" s="2">
        <v>2</v>
      </c>
    </row>
    <row r="48" spans="1:13" ht="12.75">
      <c r="A48" t="s">
        <v>26</v>
      </c>
      <c r="D48" s="2">
        <f>39+27</f>
        <v>66</v>
      </c>
      <c r="H48" t="s">
        <v>26</v>
      </c>
      <c r="M48" s="2">
        <v>36</v>
      </c>
    </row>
    <row r="49" spans="1:13" ht="12.75">
      <c r="A49" t="s">
        <v>27</v>
      </c>
      <c r="D49" s="8">
        <f>+D48/D47</f>
        <v>33</v>
      </c>
      <c r="H49" t="s">
        <v>27</v>
      </c>
      <c r="M49" s="8">
        <f>+M48/M47</f>
        <v>18</v>
      </c>
    </row>
    <row r="50" spans="1:13" ht="12.75">
      <c r="A50" t="s">
        <v>28</v>
      </c>
      <c r="D50" s="2">
        <v>0</v>
      </c>
      <c r="H50" t="s">
        <v>28</v>
      </c>
      <c r="M50" s="2">
        <v>0</v>
      </c>
    </row>
    <row r="52" spans="1:13" ht="12.75">
      <c r="A52" t="s">
        <v>31</v>
      </c>
      <c r="D52" s="2">
        <v>5</v>
      </c>
      <c r="H52" t="s">
        <v>31</v>
      </c>
      <c r="M52" s="2">
        <v>0</v>
      </c>
    </row>
    <row r="53" spans="1:13" ht="12.75">
      <c r="A53" t="s">
        <v>32</v>
      </c>
      <c r="D53" s="2">
        <v>45</v>
      </c>
      <c r="H53" t="s">
        <v>32</v>
      </c>
      <c r="M53" s="2">
        <v>0</v>
      </c>
    </row>
    <row r="55" spans="1:13" ht="12.75">
      <c r="A55" t="s">
        <v>33</v>
      </c>
      <c r="D55" s="2">
        <v>3</v>
      </c>
      <c r="H55" t="s">
        <v>33</v>
      </c>
      <c r="M55" s="2">
        <v>4</v>
      </c>
    </row>
    <row r="56" spans="1:13" ht="12.75">
      <c r="A56" t="s">
        <v>34</v>
      </c>
      <c r="D56" s="2">
        <v>3</v>
      </c>
      <c r="H56" t="s">
        <v>34</v>
      </c>
      <c r="M56" s="2">
        <v>0</v>
      </c>
    </row>
    <row r="57" spans="1:13" ht="12.75">
      <c r="A57" t="s">
        <v>35</v>
      </c>
      <c r="D57" s="2">
        <v>0</v>
      </c>
      <c r="H57" t="s">
        <v>35</v>
      </c>
      <c r="M57" s="2">
        <v>0</v>
      </c>
    </row>
    <row r="58" spans="1:13" ht="12.75">
      <c r="A58" t="s">
        <v>36</v>
      </c>
      <c r="D58" s="2">
        <v>4</v>
      </c>
      <c r="H58" t="s">
        <v>36</v>
      </c>
      <c r="M58" s="2">
        <v>0</v>
      </c>
    </row>
    <row r="59" spans="1:13" ht="12.75">
      <c r="A59" s="1" t="s">
        <v>37</v>
      </c>
      <c r="D59" s="2">
        <v>0</v>
      </c>
      <c r="H59" s="1" t="s">
        <v>37</v>
      </c>
      <c r="M59" s="2">
        <v>0</v>
      </c>
    </row>
    <row r="61" spans="1:13" ht="12.75">
      <c r="A61" t="s">
        <v>38</v>
      </c>
      <c r="D61" s="2">
        <v>7</v>
      </c>
      <c r="H61" t="s">
        <v>38</v>
      </c>
      <c r="M61" s="2">
        <v>29</v>
      </c>
    </row>
    <row r="62" spans="1:13" ht="12.75">
      <c r="A62" t="s">
        <v>39</v>
      </c>
      <c r="D62" s="2">
        <v>1</v>
      </c>
      <c r="H62" t="s">
        <v>39</v>
      </c>
      <c r="M62" s="2">
        <v>4</v>
      </c>
    </row>
    <row r="63" spans="1:13" ht="12.75">
      <c r="A63" t="s">
        <v>40</v>
      </c>
      <c r="D63" s="2">
        <v>1</v>
      </c>
      <c r="H63" t="s">
        <v>40</v>
      </c>
      <c r="M63" s="2">
        <v>0</v>
      </c>
    </row>
    <row r="64" spans="1:13" ht="12.75">
      <c r="A64" t="s">
        <v>41</v>
      </c>
      <c r="D64" s="2">
        <v>0</v>
      </c>
      <c r="H64" t="s">
        <v>41</v>
      </c>
      <c r="M64" s="2">
        <v>3</v>
      </c>
    </row>
    <row r="65" spans="1:13" ht="12.75">
      <c r="A65" t="s">
        <v>42</v>
      </c>
      <c r="D65" s="2">
        <v>0</v>
      </c>
      <c r="H65" t="s">
        <v>42</v>
      </c>
      <c r="M65" s="2">
        <v>1</v>
      </c>
    </row>
    <row r="66" spans="1:13" ht="12.75">
      <c r="A66" t="s">
        <v>43</v>
      </c>
      <c r="D66" s="2">
        <v>1</v>
      </c>
      <c r="H66" t="s">
        <v>43</v>
      </c>
      <c r="M66" s="2">
        <v>2</v>
      </c>
    </row>
    <row r="67" spans="1:13" ht="12.75">
      <c r="A67" t="s">
        <v>44</v>
      </c>
      <c r="D67" s="2">
        <v>0</v>
      </c>
      <c r="H67" t="s">
        <v>44</v>
      </c>
      <c r="M67" s="2">
        <v>0</v>
      </c>
    </row>
    <row r="68" spans="1:13" ht="12.75">
      <c r="A68" t="s">
        <v>45</v>
      </c>
      <c r="D68" s="2">
        <v>0</v>
      </c>
      <c r="H68" t="s">
        <v>45</v>
      </c>
      <c r="M68" s="2">
        <v>1</v>
      </c>
    </row>
    <row r="69" spans="1:13" ht="12.75">
      <c r="A69" t="s">
        <v>46</v>
      </c>
      <c r="D69" s="2">
        <v>0</v>
      </c>
      <c r="H69" t="s">
        <v>46</v>
      </c>
      <c r="M69" s="2">
        <v>4</v>
      </c>
    </row>
    <row r="70" spans="1:13" ht="12.75">
      <c r="A70" t="s">
        <v>47</v>
      </c>
      <c r="D70" s="8" t="e">
        <f>+D68/D69*100</f>
        <v>#DIV/0!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25</v>
      </c>
    </row>
    <row r="71" spans="1:13" ht="12.75">
      <c r="A71" t="s">
        <v>93</v>
      </c>
      <c r="D71" s="10" t="str">
        <f>IF(V23&lt;10,V27,V26)</f>
        <v>30:31</v>
      </c>
      <c r="E71" s="8"/>
      <c r="F71" s="8"/>
      <c r="H71" t="s">
        <v>93</v>
      </c>
      <c r="M71" s="10" t="str">
        <f>IF(W23&lt;10,W27,W26)</f>
        <v>29:29</v>
      </c>
    </row>
    <row r="73" ht="12.75">
      <c r="A73" t="s">
        <v>49</v>
      </c>
    </row>
    <row r="74" spans="1:8" ht="12.75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.75">
      <c r="A75" s="1" t="s">
        <v>99</v>
      </c>
      <c r="C75">
        <v>15</v>
      </c>
      <c r="D75">
        <v>56</v>
      </c>
      <c r="E75" s="12">
        <f>+D75/C75</f>
        <v>3.7333333333333334</v>
      </c>
      <c r="F75">
        <v>9</v>
      </c>
      <c r="G75">
        <v>0</v>
      </c>
      <c r="H75">
        <v>0</v>
      </c>
    </row>
    <row r="76" spans="1:8" ht="12.75">
      <c r="A76" s="1" t="s">
        <v>100</v>
      </c>
      <c r="C76">
        <v>8</v>
      </c>
      <c r="D76">
        <v>23</v>
      </c>
      <c r="E76" s="12">
        <f>+D76/C76</f>
        <v>2.875</v>
      </c>
      <c r="F76">
        <v>9</v>
      </c>
      <c r="G76">
        <v>0</v>
      </c>
      <c r="H76">
        <v>2</v>
      </c>
    </row>
    <row r="77" spans="1:8" ht="12.75">
      <c r="A77" s="1" t="s">
        <v>101</v>
      </c>
      <c r="C77">
        <v>3</v>
      </c>
      <c r="D77">
        <v>33</v>
      </c>
      <c r="E77" s="12">
        <f>+D77/C77</f>
        <v>11</v>
      </c>
      <c r="F77">
        <v>16</v>
      </c>
      <c r="G77">
        <v>0</v>
      </c>
      <c r="H77">
        <v>0</v>
      </c>
    </row>
    <row r="78" spans="1:8" ht="12.75">
      <c r="A78" s="1" t="s">
        <v>102</v>
      </c>
      <c r="C78">
        <v>3</v>
      </c>
      <c r="D78">
        <v>4</v>
      </c>
      <c r="E78" s="12">
        <f aca="true" t="shared" si="0" ref="E78:E84">+D78/C78</f>
        <v>1.3333333333333333</v>
      </c>
      <c r="F78">
        <v>6</v>
      </c>
      <c r="G78">
        <v>0</v>
      </c>
      <c r="H78">
        <v>0</v>
      </c>
    </row>
    <row r="79" spans="1:8" ht="12.75">
      <c r="A79" s="1" t="s">
        <v>103</v>
      </c>
      <c r="C79">
        <v>2</v>
      </c>
      <c r="D79">
        <v>1</v>
      </c>
      <c r="E79" s="12">
        <f t="shared" si="0"/>
        <v>0.5</v>
      </c>
      <c r="F79">
        <v>4</v>
      </c>
      <c r="G79">
        <v>0</v>
      </c>
      <c r="H79">
        <v>0</v>
      </c>
    </row>
    <row r="80" spans="1:8" ht="12.75">
      <c r="A80" s="1" t="s">
        <v>104</v>
      </c>
      <c r="C80">
        <v>1</v>
      </c>
      <c r="D80">
        <v>13</v>
      </c>
      <c r="E80" s="12">
        <f t="shared" si="0"/>
        <v>13</v>
      </c>
      <c r="F80">
        <v>13</v>
      </c>
      <c r="G80">
        <v>1</v>
      </c>
      <c r="H80">
        <v>0</v>
      </c>
    </row>
    <row r="81" spans="1:8" ht="12.75">
      <c r="A81" s="1" t="s">
        <v>105</v>
      </c>
      <c r="C81">
        <v>1</v>
      </c>
      <c r="D81">
        <v>2</v>
      </c>
      <c r="E81" s="12">
        <f t="shared" si="0"/>
        <v>2</v>
      </c>
      <c r="F81">
        <v>2</v>
      </c>
      <c r="G81">
        <v>0</v>
      </c>
      <c r="H81">
        <v>0</v>
      </c>
    </row>
    <row r="82" spans="1:5" ht="12.75">
      <c r="A82" s="1" t="s">
        <v>106</v>
      </c>
      <c r="E82" s="12" t="e">
        <f t="shared" si="0"/>
        <v>#DIV/0!</v>
      </c>
    </row>
    <row r="83" spans="1:8" ht="12.75">
      <c r="A83" s="1" t="s">
        <v>107</v>
      </c>
      <c r="C83">
        <v>2</v>
      </c>
      <c r="D83">
        <v>25</v>
      </c>
      <c r="E83" s="12">
        <f t="shared" si="0"/>
        <v>12.5</v>
      </c>
      <c r="F83">
        <v>24</v>
      </c>
      <c r="G83">
        <v>0</v>
      </c>
      <c r="H83">
        <v>0</v>
      </c>
    </row>
    <row r="84" spans="1:6" ht="12.75">
      <c r="A84" s="1" t="s">
        <v>108</v>
      </c>
      <c r="C84">
        <v>1</v>
      </c>
      <c r="D84">
        <v>-7</v>
      </c>
      <c r="E84" s="12">
        <f t="shared" si="0"/>
        <v>-7</v>
      </c>
      <c r="F84">
        <v>-7</v>
      </c>
    </row>
    <row r="85" spans="1:5" ht="12.75">
      <c r="A85" s="1"/>
      <c r="E85" s="12" t="e">
        <f>+D85/C85</f>
        <v>#DIV/0!</v>
      </c>
    </row>
    <row r="86" spans="1:5" ht="12.75">
      <c r="A86" s="1"/>
      <c r="E86" s="12" t="e">
        <f>+D86/C86</f>
        <v>#DIV/0!</v>
      </c>
    </row>
    <row r="87" ht="12.75">
      <c r="E87" s="8"/>
    </row>
    <row r="88" spans="1:8" ht="12.75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.75">
      <c r="A89" s="1" t="s">
        <v>107</v>
      </c>
      <c r="E89" s="12" t="e">
        <f aca="true" t="shared" si="1" ref="E89:E100">+D89/C89</f>
        <v>#DIV/0!</v>
      </c>
    </row>
    <row r="90" spans="1:5" ht="12.75">
      <c r="A90" s="1" t="s">
        <v>109</v>
      </c>
      <c r="E90" s="12" t="e">
        <f t="shared" si="1"/>
        <v>#DIV/0!</v>
      </c>
    </row>
    <row r="91" spans="1:6" ht="12.75">
      <c r="A91" s="1" t="s">
        <v>108</v>
      </c>
      <c r="C91">
        <v>1</v>
      </c>
      <c r="D91">
        <v>38</v>
      </c>
      <c r="E91" s="12">
        <f t="shared" si="1"/>
        <v>38</v>
      </c>
      <c r="F91">
        <v>38</v>
      </c>
    </row>
    <row r="92" spans="1:5" ht="12.75">
      <c r="A92" s="1" t="s">
        <v>99</v>
      </c>
      <c r="C92">
        <v>1</v>
      </c>
      <c r="D92">
        <v>0</v>
      </c>
      <c r="E92" s="12">
        <f t="shared" si="1"/>
        <v>0</v>
      </c>
    </row>
    <row r="93" spans="1:5" ht="12.75">
      <c r="A93" s="1" t="s">
        <v>110</v>
      </c>
      <c r="E93" s="12" t="e">
        <f t="shared" si="1"/>
        <v>#DIV/0!</v>
      </c>
    </row>
    <row r="94" spans="1:6" ht="12.75">
      <c r="A94" s="1" t="s">
        <v>100</v>
      </c>
      <c r="C94">
        <v>1</v>
      </c>
      <c r="D94">
        <v>7</v>
      </c>
      <c r="E94" s="12">
        <f t="shared" si="1"/>
        <v>7</v>
      </c>
      <c r="F94">
        <v>7</v>
      </c>
    </row>
    <row r="95" spans="1:6" ht="12.75">
      <c r="A95" s="1" t="s">
        <v>111</v>
      </c>
      <c r="C95">
        <v>1</v>
      </c>
      <c r="D95">
        <v>3</v>
      </c>
      <c r="E95" s="12">
        <f t="shared" si="1"/>
        <v>3</v>
      </c>
      <c r="F95">
        <v>3</v>
      </c>
    </row>
    <row r="96" spans="1:6" ht="12.75">
      <c r="A96" s="1" t="s">
        <v>103</v>
      </c>
      <c r="C96">
        <v>1</v>
      </c>
      <c r="D96">
        <v>10</v>
      </c>
      <c r="E96" s="12">
        <f t="shared" si="1"/>
        <v>10</v>
      </c>
      <c r="F96">
        <v>10</v>
      </c>
    </row>
    <row r="97" spans="1:5" ht="12.75">
      <c r="A97" s="1" t="s">
        <v>101</v>
      </c>
      <c r="E97" s="12" t="e">
        <f t="shared" si="1"/>
        <v>#DIV/0!</v>
      </c>
    </row>
    <row r="98" spans="1:5" ht="12.75">
      <c r="A98" s="1" t="s">
        <v>105</v>
      </c>
      <c r="E98" s="12" t="e">
        <f t="shared" si="1"/>
        <v>#DIV/0!</v>
      </c>
    </row>
    <row r="99" spans="1:5" ht="12.75">
      <c r="A99" s="1" t="s">
        <v>102</v>
      </c>
      <c r="E99" s="12" t="e">
        <f t="shared" si="1"/>
        <v>#DIV/0!</v>
      </c>
    </row>
    <row r="100" spans="1:8" ht="12.75">
      <c r="A100" s="19" t="s">
        <v>106</v>
      </c>
      <c r="C100">
        <v>1</v>
      </c>
      <c r="D100">
        <v>-11</v>
      </c>
      <c r="E100" s="12">
        <f t="shared" si="1"/>
        <v>-11</v>
      </c>
      <c r="F100">
        <v>-11</v>
      </c>
      <c r="G100">
        <v>0</v>
      </c>
      <c r="H100">
        <v>0</v>
      </c>
    </row>
    <row r="101" spans="1:5" ht="12.75">
      <c r="A101" s="1"/>
      <c r="E101" s="12" t="e">
        <f>+D101/C101</f>
        <v>#DIV/0!</v>
      </c>
    </row>
    <row r="102" spans="1:5" ht="12.75">
      <c r="A102" s="1"/>
      <c r="E102" s="12" t="e">
        <f>+D102/C102</f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4" ht="12.75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</row>
    <row r="106" spans="1:25" ht="12.75">
      <c r="A106" s="1" t="s">
        <v>106</v>
      </c>
      <c r="C106">
        <v>10</v>
      </c>
      <c r="D106">
        <v>1</v>
      </c>
      <c r="E106" s="12">
        <f>+D106/C106*100</f>
        <v>10</v>
      </c>
      <c r="F106">
        <v>-11</v>
      </c>
      <c r="G106">
        <v>0</v>
      </c>
      <c r="H106">
        <v>-11</v>
      </c>
      <c r="I106">
        <v>2</v>
      </c>
      <c r="J106" s="8">
        <f>+G106/C106*100</f>
        <v>0</v>
      </c>
      <c r="K106" s="12">
        <f>+I106/C106*100</f>
        <v>20</v>
      </c>
      <c r="L106" s="12">
        <f>+F106/C106</f>
        <v>-1.1</v>
      </c>
      <c r="M106" s="12">
        <f>100*(S106+U106+W106+Y106)/6</f>
        <v>0</v>
      </c>
      <c r="N106">
        <v>0</v>
      </c>
      <c r="R106">
        <f>+(E106-30)/20</f>
        <v>-1</v>
      </c>
      <c r="S106" s="2">
        <f>IF(R106&lt;0,0,R106)</f>
        <v>0</v>
      </c>
      <c r="T106" s="6">
        <f>+(L106-3)/4</f>
        <v>-1.025</v>
      </c>
      <c r="U106" s="2">
        <f>IF(T106&lt;0,0,T106)</f>
        <v>0</v>
      </c>
      <c r="V106">
        <f>+J106/5</f>
        <v>0</v>
      </c>
      <c r="W106" s="2">
        <f>IF(V106&lt;0,0,V106)</f>
        <v>0</v>
      </c>
      <c r="X106">
        <f>(9.5-K106)/4</f>
        <v>-2.625</v>
      </c>
      <c r="Y106" s="2">
        <f>IF(X106&lt;0,0,X106)</f>
        <v>0</v>
      </c>
    </row>
    <row r="107" spans="1:25" ht="12.75">
      <c r="A107" s="1" t="s">
        <v>104</v>
      </c>
      <c r="C107">
        <v>14</v>
      </c>
      <c r="D107">
        <v>5</v>
      </c>
      <c r="E107" s="12">
        <f>+D107/C107*100</f>
        <v>35.714285714285715</v>
      </c>
      <c r="F107">
        <v>58</v>
      </c>
      <c r="G107">
        <v>0</v>
      </c>
      <c r="H107">
        <v>38</v>
      </c>
      <c r="I107">
        <v>1</v>
      </c>
      <c r="J107" s="8">
        <f>+G107/C107*100</f>
        <v>0</v>
      </c>
      <c r="K107" s="12">
        <f>+I107/C107*100</f>
        <v>7.142857142857142</v>
      </c>
      <c r="L107" s="12">
        <f>+F107/C107</f>
        <v>4.142857142857143</v>
      </c>
      <c r="M107" s="12">
        <f>100*(S107+U107+W107+Y107)/6</f>
        <v>19.3452380952381</v>
      </c>
      <c r="N107">
        <v>0</v>
      </c>
      <c r="R107">
        <f>+(E107-30)/20</f>
        <v>0.28571428571428575</v>
      </c>
      <c r="S107" s="2">
        <f>IF(R107&lt;0,0,R107)</f>
        <v>0.28571428571428575</v>
      </c>
      <c r="T107" s="6">
        <f>+(L107-3)/4</f>
        <v>0.2857142857142858</v>
      </c>
      <c r="U107" s="2">
        <f>IF(T107&lt;0,0,T107)</f>
        <v>0.2857142857142858</v>
      </c>
      <c r="V107">
        <f>+J107/5</f>
        <v>0</v>
      </c>
      <c r="W107" s="2">
        <f>IF(V107&lt;0,0,V107)</f>
        <v>0</v>
      </c>
      <c r="X107">
        <f>(9.5-K107)/4</f>
        <v>0.5892857142857144</v>
      </c>
      <c r="Y107" s="2">
        <f>IF(X107&lt;0,0,X107)</f>
        <v>0.5892857142857144</v>
      </c>
    </row>
    <row r="108" spans="1:25" ht="12.75">
      <c r="A108" s="1" t="s">
        <v>100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.75">
      <c r="A109" s="1" t="s">
        <v>99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0" spans="1:25" ht="12.75">
      <c r="A110" s="1" t="s">
        <v>101</v>
      </c>
      <c r="E110" s="12" t="e">
        <f>+D110/C110*100</f>
        <v>#DIV/0!</v>
      </c>
      <c r="J110" s="8"/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IF(R110&lt;0,0,R110)</f>
        <v>#DIV/0!</v>
      </c>
      <c r="T110" s="6" t="e">
        <f>+(L110-3)/4</f>
        <v>#DIV/0!</v>
      </c>
      <c r="U110" s="2" t="e">
        <f>IF(T110&lt;0,0,T110)</f>
        <v>#DIV/0!</v>
      </c>
      <c r="V110">
        <f>+J110/5</f>
        <v>0</v>
      </c>
      <c r="W110" s="2">
        <f>IF(V110&lt;0,0,V110)</f>
        <v>0</v>
      </c>
      <c r="X110" t="e">
        <f>(9.5-K110)/4</f>
        <v>#DIV/0!</v>
      </c>
      <c r="Y110" s="2" t="e">
        <f>IF(X110&lt;0,0,X110)</f>
        <v>#DIV/0!</v>
      </c>
    </row>
    <row r="112" spans="1:9" ht="12.75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.75">
      <c r="A113" s="1" t="s">
        <v>112</v>
      </c>
      <c r="C113">
        <v>1</v>
      </c>
      <c r="F113" s="12">
        <f aca="true" t="shared" si="2" ref="F113:F118">+E113/C113</f>
        <v>0</v>
      </c>
    </row>
    <row r="114" spans="1:6" ht="12.75">
      <c r="A114" s="1" t="s">
        <v>123</v>
      </c>
      <c r="D114">
        <v>1</v>
      </c>
      <c r="F114" s="12" t="e">
        <f t="shared" si="2"/>
        <v>#DIV/0!</v>
      </c>
    </row>
    <row r="115" spans="1:7" ht="12.75">
      <c r="A115" s="1" t="s">
        <v>114</v>
      </c>
      <c r="C115">
        <v>1</v>
      </c>
      <c r="E115">
        <v>-3</v>
      </c>
      <c r="F115" s="12">
        <f t="shared" si="2"/>
        <v>-3</v>
      </c>
      <c r="G115">
        <v>-3</v>
      </c>
    </row>
    <row r="116" spans="1:6" ht="12.75">
      <c r="A116" s="1"/>
      <c r="F116" s="12" t="e">
        <f t="shared" si="2"/>
        <v>#DIV/0!</v>
      </c>
    </row>
    <row r="117" ht="12.75">
      <c r="F117" s="12" t="e">
        <f t="shared" si="2"/>
        <v>#DIV/0!</v>
      </c>
    </row>
    <row r="118" ht="12.75">
      <c r="F118" s="12" t="e">
        <f t="shared" si="2"/>
        <v>#DIV/0!</v>
      </c>
    </row>
    <row r="122" spans="1:8" ht="12.75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.75">
      <c r="A123" s="1" t="s">
        <v>115</v>
      </c>
      <c r="E123" s="12" t="e">
        <f aca="true" t="shared" si="3" ref="E123:E128">+D123/C123</f>
        <v>#DIV/0!</v>
      </c>
    </row>
    <row r="124" spans="1:6" ht="12.75">
      <c r="A124" s="1" t="s">
        <v>101</v>
      </c>
      <c r="C124">
        <v>2</v>
      </c>
      <c r="D124">
        <f>39+27</f>
        <v>66</v>
      </c>
      <c r="E124" s="12">
        <f t="shared" si="3"/>
        <v>33</v>
      </c>
      <c r="F124">
        <v>39</v>
      </c>
    </row>
    <row r="125" spans="1:5" ht="12.75">
      <c r="A125" s="1" t="s">
        <v>112</v>
      </c>
      <c r="E125" s="12" t="e">
        <f t="shared" si="3"/>
        <v>#DIV/0!</v>
      </c>
    </row>
    <row r="126" spans="1:5" ht="12.75">
      <c r="A126" s="1" t="s">
        <v>116</v>
      </c>
      <c r="E126" s="12" t="e">
        <f t="shared" si="3"/>
        <v>#DIV/0!</v>
      </c>
    </row>
    <row r="127" spans="1:5" ht="12.75">
      <c r="A127" s="1" t="s">
        <v>100</v>
      </c>
      <c r="E127" s="12" t="e">
        <f t="shared" si="3"/>
        <v>#DIV/0!</v>
      </c>
    </row>
    <row r="128" spans="1:5" ht="12.75">
      <c r="A128" s="1" t="s">
        <v>105</v>
      </c>
      <c r="E128" s="12" t="e">
        <f t="shared" si="3"/>
        <v>#DIV/0!</v>
      </c>
    </row>
    <row r="129" spans="1:5" ht="12.75">
      <c r="A129" s="1" t="s">
        <v>117</v>
      </c>
      <c r="E129" s="12" t="e">
        <f>+D129/C129</f>
        <v>#DIV/0!</v>
      </c>
    </row>
    <row r="130" spans="1:5" ht="12.75">
      <c r="A130" s="1" t="s">
        <v>170</v>
      </c>
      <c r="E130" s="12" t="e">
        <f>+D130/C130</f>
        <v>#DIV/0!</v>
      </c>
    </row>
    <row r="132" spans="1:8" ht="12.75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.75">
      <c r="A133" s="1" t="s">
        <v>101</v>
      </c>
      <c r="C133">
        <v>6</v>
      </c>
      <c r="D133">
        <f>49+42+48+48+42+45</f>
        <v>274</v>
      </c>
      <c r="E133" s="12">
        <f>+D133/C133</f>
        <v>45.666666666666664</v>
      </c>
      <c r="F133">
        <v>49</v>
      </c>
      <c r="H133">
        <v>1</v>
      </c>
    </row>
    <row r="134" spans="1:6" ht="12.75">
      <c r="A134" s="1" t="s">
        <v>114</v>
      </c>
      <c r="C134">
        <v>3</v>
      </c>
      <c r="D134">
        <f>48+40+54</f>
        <v>142</v>
      </c>
      <c r="E134" s="12">
        <f>+D134/C134</f>
        <v>47.333333333333336</v>
      </c>
      <c r="F134">
        <v>54</v>
      </c>
    </row>
    <row r="135" ht="12.75">
      <c r="I135" s="5" t="s">
        <v>67</v>
      </c>
    </row>
    <row r="136" spans="1:10" ht="12.75">
      <c r="A136" s="4" t="s">
        <v>83</v>
      </c>
      <c r="C136" s="3" t="s">
        <v>77</v>
      </c>
      <c r="D136" s="3" t="s">
        <v>78</v>
      </c>
      <c r="E136" s="3" t="s">
        <v>79</v>
      </c>
      <c r="F136" s="3" t="s">
        <v>80</v>
      </c>
      <c r="G136" s="3" t="s">
        <v>81</v>
      </c>
      <c r="H136" s="3" t="s">
        <v>82</v>
      </c>
      <c r="I136" s="3" t="s">
        <v>86</v>
      </c>
      <c r="J136" s="3" t="s">
        <v>64</v>
      </c>
    </row>
    <row r="137" spans="1:9" ht="12.75">
      <c r="A137" s="1" t="s">
        <v>118</v>
      </c>
      <c r="C137">
        <v>1</v>
      </c>
      <c r="I137" s="12" t="e">
        <f>+H137/G137*100</f>
        <v>#DIV/0!</v>
      </c>
    </row>
    <row r="138" spans="1:9" ht="12.75">
      <c r="A138" s="1" t="s">
        <v>119</v>
      </c>
      <c r="C138">
        <v>1</v>
      </c>
      <c r="E138">
        <v>1</v>
      </c>
      <c r="F138">
        <v>1</v>
      </c>
      <c r="I138" s="12" t="e">
        <f>+H138/G138*100</f>
        <v>#DIV/0!</v>
      </c>
    </row>
    <row r="140" spans="1:8" ht="12.75">
      <c r="A140" s="2" t="s">
        <v>85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.75">
      <c r="A141" s="1" t="s">
        <v>114</v>
      </c>
      <c r="E141" s="12" t="e">
        <f>+D141/C141</f>
        <v>#DIV/0!</v>
      </c>
    </row>
    <row r="142" spans="1:5" ht="12.75">
      <c r="A142" s="1" t="s">
        <v>120</v>
      </c>
      <c r="E142" s="12" t="e">
        <f aca="true" t="shared" si="4" ref="E142:E148">+D142/C142</f>
        <v>#DIV/0!</v>
      </c>
    </row>
    <row r="143" spans="1:5" ht="12.75">
      <c r="A143" s="1" t="s">
        <v>121</v>
      </c>
      <c r="E143" s="12" t="e">
        <f t="shared" si="4"/>
        <v>#DIV/0!</v>
      </c>
    </row>
    <row r="144" spans="1:5" ht="12.75">
      <c r="A144" s="1" t="s">
        <v>122</v>
      </c>
      <c r="E144" s="12" t="e">
        <f t="shared" si="4"/>
        <v>#DIV/0!</v>
      </c>
    </row>
    <row r="145" spans="1:5" ht="12.75">
      <c r="A145" s="1" t="s">
        <v>123</v>
      </c>
      <c r="E145" s="12" t="e">
        <f t="shared" si="4"/>
        <v>#DIV/0!</v>
      </c>
    </row>
    <row r="146" spans="1:5" ht="12.75">
      <c r="A146" s="1" t="s">
        <v>112</v>
      </c>
      <c r="E146" s="12" t="e">
        <f t="shared" si="4"/>
        <v>#DIV/0!</v>
      </c>
    </row>
    <row r="147" spans="1:5" ht="12.75">
      <c r="A147" s="1" t="s">
        <v>124</v>
      </c>
      <c r="E147" s="12" t="e">
        <f t="shared" si="4"/>
        <v>#DIV/0!</v>
      </c>
    </row>
    <row r="148" spans="1:5" ht="12.75">
      <c r="A148" s="1" t="s">
        <v>113</v>
      </c>
      <c r="E148" s="12" t="e">
        <f t="shared" si="4"/>
        <v>#DIV/0!</v>
      </c>
    </row>
    <row r="150" spans="1:6" ht="12.75">
      <c r="A150" s="2" t="s">
        <v>94</v>
      </c>
      <c r="C150" s="3" t="s">
        <v>72</v>
      </c>
      <c r="D150" s="3" t="s">
        <v>74</v>
      </c>
      <c r="E150" s="3" t="s">
        <v>64</v>
      </c>
      <c r="F150" s="3" t="s">
        <v>55</v>
      </c>
    </row>
    <row r="151" spans="1:3" ht="12.75">
      <c r="A151" s="19" t="s">
        <v>125</v>
      </c>
      <c r="C151">
        <v>1</v>
      </c>
    </row>
    <row r="152" spans="1:3" ht="12.75">
      <c r="A152" s="19" t="s">
        <v>126</v>
      </c>
      <c r="C152">
        <v>1</v>
      </c>
    </row>
    <row r="153" ht="12.75">
      <c r="A153" s="19" t="s">
        <v>127</v>
      </c>
    </row>
    <row r="154" ht="12.75">
      <c r="A154" s="19" t="s">
        <v>128</v>
      </c>
    </row>
    <row r="155" spans="1:3" ht="12.75">
      <c r="A155" s="1" t="s">
        <v>129</v>
      </c>
      <c r="C155">
        <v>1</v>
      </c>
    </row>
    <row r="156" spans="1:5" ht="12.75">
      <c r="A156" s="19" t="s">
        <v>130</v>
      </c>
      <c r="C156">
        <v>1</v>
      </c>
      <c r="D156">
        <v>2</v>
      </c>
      <c r="E156">
        <v>2</v>
      </c>
    </row>
    <row r="157" ht="12.75">
      <c r="A157" s="19" t="s">
        <v>131</v>
      </c>
    </row>
    <row r="158" ht="12.75">
      <c r="A158" s="19" t="s">
        <v>132</v>
      </c>
    </row>
    <row r="159" ht="12.75">
      <c r="A159" s="19" t="s">
        <v>133</v>
      </c>
    </row>
    <row r="160" ht="12.75">
      <c r="A160" s="19" t="s">
        <v>134</v>
      </c>
    </row>
    <row r="161" spans="1:3" ht="12.75">
      <c r="A161" s="19" t="s">
        <v>135</v>
      </c>
      <c r="C161">
        <v>1</v>
      </c>
    </row>
    <row r="162" ht="12.75">
      <c r="A162" s="1" t="s">
        <v>136</v>
      </c>
    </row>
    <row r="163" ht="12.75">
      <c r="A163" s="19" t="s">
        <v>137</v>
      </c>
    </row>
    <row r="164" ht="12.75">
      <c r="A164" s="19" t="s">
        <v>138</v>
      </c>
    </row>
    <row r="165" ht="12.75">
      <c r="A165" s="19" t="s">
        <v>139</v>
      </c>
    </row>
    <row r="166" ht="12.75">
      <c r="A166" s="19" t="s">
        <v>140</v>
      </c>
    </row>
    <row r="167" ht="12.75">
      <c r="A167" s="19" t="s">
        <v>141</v>
      </c>
    </row>
    <row r="168" ht="12.75">
      <c r="A168" s="19" t="s">
        <v>142</v>
      </c>
    </row>
    <row r="169" ht="12.75">
      <c r="A169" s="1" t="s">
        <v>143</v>
      </c>
    </row>
    <row r="170" ht="12.75">
      <c r="A170" s="19" t="s">
        <v>144</v>
      </c>
    </row>
    <row r="171" ht="12.75">
      <c r="A171" s="19" t="s">
        <v>145</v>
      </c>
    </row>
    <row r="172" ht="12.75">
      <c r="A172" s="19" t="s">
        <v>146</v>
      </c>
    </row>
    <row r="173" ht="12.75">
      <c r="A173" s="19" t="s">
        <v>147</v>
      </c>
    </row>
    <row r="174" ht="12.75">
      <c r="A174" s="19" t="s">
        <v>148</v>
      </c>
    </row>
    <row r="175" spans="1:3" ht="12.75">
      <c r="A175" s="19" t="s">
        <v>149</v>
      </c>
      <c r="C175">
        <v>1</v>
      </c>
    </row>
    <row r="176" ht="12.75">
      <c r="A176" s="19" t="s">
        <v>150</v>
      </c>
    </row>
    <row r="177" spans="1:3" ht="12.75">
      <c r="A177" s="19" t="s">
        <v>151</v>
      </c>
      <c r="C177">
        <v>1</v>
      </c>
    </row>
    <row r="178" ht="12.75">
      <c r="A178" s="19" t="s">
        <v>152</v>
      </c>
    </row>
    <row r="179" ht="12.75">
      <c r="A179" s="19" t="s">
        <v>153</v>
      </c>
    </row>
    <row r="180" ht="12.75">
      <c r="A180" s="19" t="s">
        <v>154</v>
      </c>
    </row>
    <row r="181" ht="12.75">
      <c r="A181" s="19" t="s">
        <v>155</v>
      </c>
    </row>
    <row r="182" ht="12.75">
      <c r="A182" s="19" t="s">
        <v>156</v>
      </c>
    </row>
    <row r="183" ht="12.75">
      <c r="A183" s="19" t="s">
        <v>157</v>
      </c>
    </row>
    <row r="184" ht="12.75">
      <c r="A184" s="19" t="s">
        <v>158</v>
      </c>
    </row>
    <row r="185" ht="12.75">
      <c r="A185" s="19" t="s">
        <v>159</v>
      </c>
    </row>
    <row r="186" ht="12.75">
      <c r="A186" s="19" t="s">
        <v>160</v>
      </c>
    </row>
    <row r="187" ht="12.75">
      <c r="A187" s="19" t="s">
        <v>161</v>
      </c>
    </row>
    <row r="188" ht="12.75">
      <c r="A188" s="19" t="s">
        <v>162</v>
      </c>
    </row>
    <row r="189" ht="12.75">
      <c r="A189" s="19" t="s">
        <v>163</v>
      </c>
    </row>
    <row r="190" ht="12.75">
      <c r="A190" s="19" t="s">
        <v>164</v>
      </c>
    </row>
    <row r="191" ht="12.75">
      <c r="A191" s="19" t="s">
        <v>165</v>
      </c>
    </row>
    <row r="192" ht="12.75">
      <c r="A192" s="19" t="s">
        <v>166</v>
      </c>
    </row>
    <row r="193" ht="12.75">
      <c r="A193" s="19" t="s">
        <v>167</v>
      </c>
    </row>
    <row r="194" ht="12.75">
      <c r="A194" s="19" t="s">
        <v>168</v>
      </c>
    </row>
    <row r="195" ht="12.75">
      <c r="A195" s="19" t="s">
        <v>169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Mark A. Zarb</cp:lastModifiedBy>
  <dcterms:created xsi:type="dcterms:W3CDTF">2004-12-04T00:48:17Z</dcterms:created>
  <dcterms:modified xsi:type="dcterms:W3CDTF">2009-05-05T01:40:41Z</dcterms:modified>
  <cp:category/>
  <cp:version/>
  <cp:contentType/>
  <cp:contentStatus/>
</cp:coreProperties>
</file>