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-460" windowWidth="38400" windowHeight="21600" tabRatio="500" activeTab="13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Week 9" sheetId="9" r:id="rId9"/>
    <sheet name="Week 10" sheetId="10" r:id="rId10"/>
    <sheet name="Week 11" sheetId="11" r:id="rId11"/>
    <sheet name="Week 12" sheetId="12" r:id="rId12"/>
    <sheet name="Week 13 " sheetId="13" r:id="rId13"/>
    <sheet name="Week 14" sheetId="14" r:id="rId14"/>
    <sheet name="Post Season" sheetId="15" r:id="rId1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14" l="1"/>
  <c r="O9" i="14"/>
  <c r="P7" i="14"/>
  <c r="O7" i="14"/>
  <c r="O8" i="14"/>
  <c r="F18" i="14"/>
  <c r="O12" i="14"/>
  <c r="F14" i="14"/>
  <c r="F6" i="14"/>
  <c r="P19" i="14"/>
  <c r="O19" i="14"/>
  <c r="O14" i="14"/>
  <c r="F5" i="14"/>
  <c r="F41" i="14"/>
  <c r="O41" i="14"/>
  <c r="G41" i="14"/>
  <c r="P41" i="14"/>
  <c r="F43" i="14"/>
  <c r="B41" i="14"/>
  <c r="K41" i="14"/>
  <c r="B43" i="14"/>
  <c r="C41" i="14"/>
  <c r="L41" i="14"/>
  <c r="C43" i="14"/>
  <c r="D41" i="14"/>
  <c r="M41" i="14"/>
  <c r="D43" i="14"/>
  <c r="E43" i="14"/>
  <c r="Q21" i="14"/>
  <c r="N21" i="14"/>
  <c r="H20" i="14"/>
  <c r="E20" i="14"/>
  <c r="Q19" i="14"/>
  <c r="N19" i="14"/>
  <c r="H21" i="14"/>
  <c r="E21" i="14"/>
  <c r="Q20" i="14"/>
  <c r="N20" i="14"/>
  <c r="H19" i="14"/>
  <c r="E19" i="14"/>
  <c r="Q18" i="14"/>
  <c r="N18" i="14"/>
  <c r="H18" i="14"/>
  <c r="E18" i="14"/>
  <c r="Q15" i="14"/>
  <c r="N15" i="14"/>
  <c r="H15" i="14"/>
  <c r="E15" i="14"/>
  <c r="Q14" i="14"/>
  <c r="N14" i="14"/>
  <c r="H14" i="14"/>
  <c r="E14" i="14"/>
  <c r="Q13" i="14"/>
  <c r="N13" i="14"/>
  <c r="H13" i="14"/>
  <c r="E13" i="14"/>
  <c r="Q12" i="14"/>
  <c r="N12" i="14"/>
  <c r="H12" i="14"/>
  <c r="E12" i="14"/>
  <c r="Q9" i="14"/>
  <c r="N9" i="14"/>
  <c r="H9" i="14"/>
  <c r="E9" i="14"/>
  <c r="Q7" i="14"/>
  <c r="N7" i="14"/>
  <c r="H8" i="14"/>
  <c r="E8" i="14"/>
  <c r="Q8" i="14"/>
  <c r="N8" i="14"/>
  <c r="H7" i="14"/>
  <c r="E7" i="14"/>
  <c r="Q6" i="14"/>
  <c r="N6" i="14"/>
  <c r="H6" i="14"/>
  <c r="E6" i="14"/>
  <c r="Q5" i="14"/>
  <c r="N5" i="14"/>
  <c r="H5" i="14"/>
  <c r="E5" i="14"/>
  <c r="F21" i="13"/>
  <c r="G6" i="13"/>
  <c r="G20" i="13"/>
  <c r="F19" i="13"/>
  <c r="G15" i="13"/>
  <c r="G9" i="13"/>
  <c r="P9" i="13"/>
  <c r="O9" i="13"/>
  <c r="P15" i="13"/>
  <c r="O15" i="13"/>
  <c r="F18" i="13"/>
  <c r="G7" i="13"/>
  <c r="G14" i="13"/>
  <c r="Q19" i="13"/>
  <c r="N19" i="13"/>
  <c r="Q20" i="13"/>
  <c r="N20" i="13"/>
  <c r="P18" i="12"/>
  <c r="O18" i="12"/>
  <c r="F24" i="13"/>
  <c r="O24" i="13"/>
  <c r="G24" i="13"/>
  <c r="P24" i="13"/>
  <c r="F26" i="13"/>
  <c r="B24" i="13"/>
  <c r="K24" i="13"/>
  <c r="B26" i="13"/>
  <c r="C24" i="13"/>
  <c r="L24" i="13"/>
  <c r="C26" i="13"/>
  <c r="D24" i="13"/>
  <c r="M24" i="13"/>
  <c r="D26" i="13"/>
  <c r="E26" i="13"/>
  <c r="Q21" i="13"/>
  <c r="N21" i="13"/>
  <c r="H20" i="13"/>
  <c r="E20" i="13"/>
  <c r="H21" i="13"/>
  <c r="E21" i="13"/>
  <c r="Q18" i="13"/>
  <c r="N18" i="13"/>
  <c r="H19" i="13"/>
  <c r="E19" i="13"/>
  <c r="H18" i="13"/>
  <c r="E18" i="13"/>
  <c r="Q15" i="13"/>
  <c r="N15" i="13"/>
  <c r="H15" i="13"/>
  <c r="E15" i="13"/>
  <c r="Q14" i="13"/>
  <c r="N14" i="13"/>
  <c r="H14" i="13"/>
  <c r="E14" i="13"/>
  <c r="Q13" i="13"/>
  <c r="N13" i="13"/>
  <c r="H13" i="13"/>
  <c r="E13" i="13"/>
  <c r="Q12" i="13"/>
  <c r="N12" i="13"/>
  <c r="H12" i="13"/>
  <c r="E12" i="13"/>
  <c r="Q9" i="13"/>
  <c r="N9" i="13"/>
  <c r="H9" i="13"/>
  <c r="E9" i="13"/>
  <c r="Q8" i="13"/>
  <c r="N8" i="13"/>
  <c r="H8" i="13"/>
  <c r="E8" i="13"/>
  <c r="Q7" i="13"/>
  <c r="N7" i="13"/>
  <c r="H6" i="13"/>
  <c r="E6" i="13"/>
  <c r="Q6" i="13"/>
  <c r="N6" i="13"/>
  <c r="H7" i="13"/>
  <c r="E7" i="13"/>
  <c r="Q5" i="13"/>
  <c r="N5" i="13"/>
  <c r="H5" i="13"/>
  <c r="E5" i="13"/>
  <c r="G13" i="12"/>
  <c r="P21" i="12"/>
  <c r="O21" i="12"/>
  <c r="G9" i="12"/>
  <c r="F5" i="12"/>
  <c r="O19" i="12"/>
  <c r="P7" i="12"/>
  <c r="G14" i="12"/>
  <c r="F12" i="12"/>
  <c r="F24" i="12"/>
  <c r="O24" i="12"/>
  <c r="G24" i="12"/>
  <c r="P24" i="12"/>
  <c r="F26" i="12"/>
  <c r="B24" i="12"/>
  <c r="K24" i="12"/>
  <c r="B26" i="12"/>
  <c r="C24" i="12"/>
  <c r="L24" i="12"/>
  <c r="C26" i="12"/>
  <c r="D24" i="12"/>
  <c r="M24" i="12"/>
  <c r="D26" i="12"/>
  <c r="E26" i="12"/>
  <c r="Q21" i="12"/>
  <c r="N21" i="12"/>
  <c r="H21" i="12"/>
  <c r="E21" i="12"/>
  <c r="Q20" i="12"/>
  <c r="N20" i="12"/>
  <c r="H20" i="12"/>
  <c r="E20" i="12"/>
  <c r="Q19" i="12"/>
  <c r="N19" i="12"/>
  <c r="H19" i="12"/>
  <c r="E19" i="12"/>
  <c r="Q18" i="12"/>
  <c r="N18" i="12"/>
  <c r="H18" i="12"/>
  <c r="E18" i="12"/>
  <c r="Q15" i="12"/>
  <c r="N15" i="12"/>
  <c r="H15" i="12"/>
  <c r="E15" i="12"/>
  <c r="Q14" i="12"/>
  <c r="N14" i="12"/>
  <c r="H14" i="12"/>
  <c r="E14" i="12"/>
  <c r="Q13" i="12"/>
  <c r="N13" i="12"/>
  <c r="H13" i="12"/>
  <c r="E13" i="12"/>
  <c r="Q12" i="12"/>
  <c r="N12" i="12"/>
  <c r="H12" i="12"/>
  <c r="E12" i="12"/>
  <c r="Q8" i="12"/>
  <c r="N8" i="12"/>
  <c r="H9" i="12"/>
  <c r="E9" i="12"/>
  <c r="Q9" i="12"/>
  <c r="N9" i="12"/>
  <c r="H8" i="12"/>
  <c r="E8" i="12"/>
  <c r="Q7" i="12"/>
  <c r="N7" i="12"/>
  <c r="H7" i="12"/>
  <c r="E7" i="12"/>
  <c r="Q6" i="12"/>
  <c r="N6" i="12"/>
  <c r="H6" i="12"/>
  <c r="E6" i="12"/>
  <c r="Q5" i="12"/>
  <c r="N5" i="12"/>
  <c r="H5" i="12"/>
  <c r="E5" i="12"/>
  <c r="O5" i="11"/>
  <c r="P21" i="11"/>
  <c r="O21" i="11"/>
  <c r="P20" i="11"/>
  <c r="O20" i="11"/>
  <c r="G18" i="11"/>
  <c r="G20" i="11"/>
  <c r="F20" i="11"/>
  <c r="G21" i="11"/>
  <c r="F21" i="11"/>
  <c r="G15" i="11"/>
  <c r="F15" i="11"/>
  <c r="P6" i="11"/>
  <c r="O6" i="11"/>
  <c r="F19" i="11"/>
  <c r="P19" i="11"/>
  <c r="P15" i="11"/>
  <c r="O15" i="11"/>
  <c r="G14" i="11"/>
  <c r="F14" i="11"/>
  <c r="G8" i="11"/>
  <c r="F8" i="11"/>
  <c r="O24" i="11"/>
  <c r="P24" i="11"/>
  <c r="F24" i="11"/>
  <c r="G24" i="11"/>
  <c r="F26" i="11"/>
  <c r="B24" i="11"/>
  <c r="K24" i="11"/>
  <c r="B26" i="11"/>
  <c r="C24" i="11"/>
  <c r="L24" i="11"/>
  <c r="C26" i="11"/>
  <c r="D24" i="11"/>
  <c r="M24" i="11"/>
  <c r="D26" i="11"/>
  <c r="E26" i="11"/>
  <c r="Q21" i="11"/>
  <c r="N21" i="11"/>
  <c r="H21" i="11"/>
  <c r="E21" i="11"/>
  <c r="Q20" i="11"/>
  <c r="N20" i="11"/>
  <c r="G19" i="11"/>
  <c r="H19" i="11"/>
  <c r="E19" i="11"/>
  <c r="Q19" i="11"/>
  <c r="N19" i="11"/>
  <c r="H20" i="11"/>
  <c r="E20" i="11"/>
  <c r="Q18" i="11"/>
  <c r="N18" i="11"/>
  <c r="H18" i="11"/>
  <c r="E18" i="11"/>
  <c r="Q15" i="11"/>
  <c r="N15" i="11"/>
  <c r="H15" i="11"/>
  <c r="E15" i="11"/>
  <c r="Q14" i="11"/>
  <c r="N14" i="11"/>
  <c r="H14" i="11"/>
  <c r="E14" i="11"/>
  <c r="Q13" i="11"/>
  <c r="N13" i="11"/>
  <c r="H13" i="11"/>
  <c r="E13" i="11"/>
  <c r="Q12" i="11"/>
  <c r="N12" i="11"/>
  <c r="H12" i="11"/>
  <c r="E12" i="11"/>
  <c r="Q9" i="11"/>
  <c r="N9" i="11"/>
  <c r="H9" i="11"/>
  <c r="E9" i="11"/>
  <c r="Q8" i="11"/>
  <c r="N8" i="11"/>
  <c r="H8" i="11"/>
  <c r="E8" i="11"/>
  <c r="Q7" i="11"/>
  <c r="N7" i="11"/>
  <c r="H6" i="11"/>
  <c r="E6" i="11"/>
  <c r="Q6" i="11"/>
  <c r="N6" i="11"/>
  <c r="H7" i="11"/>
  <c r="E7" i="11"/>
  <c r="Q5" i="11"/>
  <c r="N5" i="11"/>
  <c r="H5" i="11"/>
  <c r="E5" i="11"/>
  <c r="G21" i="10"/>
  <c r="F18" i="10"/>
  <c r="G14" i="10"/>
  <c r="F14" i="10"/>
  <c r="G20" i="10"/>
  <c r="F20" i="10"/>
  <c r="F19" i="10"/>
  <c r="P9" i="10"/>
  <c r="P21" i="10"/>
  <c r="O20" i="10"/>
  <c r="P14" i="10"/>
  <c r="O14" i="10"/>
  <c r="G13" i="10"/>
  <c r="F13" i="10"/>
  <c r="B24" i="10"/>
  <c r="K24" i="10"/>
  <c r="B26" i="10"/>
  <c r="C24" i="10"/>
  <c r="L24" i="10"/>
  <c r="C26" i="10"/>
  <c r="D24" i="10"/>
  <c r="M24" i="10"/>
  <c r="D26" i="10"/>
  <c r="E26" i="10"/>
  <c r="Q21" i="10"/>
  <c r="N21" i="10"/>
  <c r="H21" i="10"/>
  <c r="E21" i="10"/>
  <c r="Q20" i="10"/>
  <c r="N20" i="10"/>
  <c r="H19" i="10"/>
  <c r="E19" i="10"/>
  <c r="Q18" i="10"/>
  <c r="N18" i="10"/>
  <c r="H20" i="10"/>
  <c r="E20" i="10"/>
  <c r="Q19" i="10"/>
  <c r="N19" i="10"/>
  <c r="H18" i="10"/>
  <c r="E18" i="10"/>
  <c r="Q15" i="10"/>
  <c r="N15" i="10"/>
  <c r="H15" i="10"/>
  <c r="E15" i="10"/>
  <c r="Q14" i="10"/>
  <c r="N14" i="10"/>
  <c r="H14" i="10"/>
  <c r="E14" i="10"/>
  <c r="Q13" i="10"/>
  <c r="N13" i="10"/>
  <c r="H13" i="10"/>
  <c r="E13" i="10"/>
  <c r="Q12" i="10"/>
  <c r="N12" i="10"/>
  <c r="H12" i="10"/>
  <c r="E12" i="10"/>
  <c r="Q8" i="10"/>
  <c r="N8" i="10"/>
  <c r="H9" i="10"/>
  <c r="E9" i="10"/>
  <c r="Q9" i="10"/>
  <c r="N9" i="10"/>
  <c r="H8" i="10"/>
  <c r="E8" i="10"/>
  <c r="Q7" i="10"/>
  <c r="N7" i="10"/>
  <c r="H7" i="10"/>
  <c r="E7" i="10"/>
  <c r="Q6" i="10"/>
  <c r="N6" i="10"/>
  <c r="H6" i="10"/>
  <c r="E6" i="10"/>
  <c r="Q5" i="10"/>
  <c r="N5" i="10"/>
  <c r="H5" i="10"/>
  <c r="E5" i="10"/>
  <c r="O7" i="9"/>
  <c r="O8" i="9"/>
  <c r="G15" i="9"/>
  <c r="P9" i="9"/>
  <c r="O18" i="9"/>
  <c r="P21" i="9"/>
  <c r="G9" i="9"/>
  <c r="P15" i="9"/>
  <c r="G19" i="9"/>
  <c r="O20" i="9"/>
  <c r="F8" i="9"/>
  <c r="G6" i="9"/>
  <c r="P19" i="9"/>
  <c r="B24" i="9"/>
  <c r="K24" i="9"/>
  <c r="B26" i="9"/>
  <c r="C24" i="9"/>
  <c r="L24" i="9"/>
  <c r="C26" i="9"/>
  <c r="D24" i="9"/>
  <c r="M24" i="9"/>
  <c r="D26" i="9"/>
  <c r="E26" i="9"/>
  <c r="Q21" i="9"/>
  <c r="N21" i="9"/>
  <c r="H21" i="9"/>
  <c r="E21" i="9"/>
  <c r="Q20" i="9"/>
  <c r="N20" i="9"/>
  <c r="H19" i="9"/>
  <c r="E19" i="9"/>
  <c r="Q18" i="9"/>
  <c r="N18" i="9"/>
  <c r="H20" i="9"/>
  <c r="E20" i="9"/>
  <c r="Q19" i="9"/>
  <c r="N19" i="9"/>
  <c r="H18" i="9"/>
  <c r="E18" i="9"/>
  <c r="Q15" i="9"/>
  <c r="N15" i="9"/>
  <c r="H15" i="9"/>
  <c r="E15" i="9"/>
  <c r="Q14" i="9"/>
  <c r="N14" i="9"/>
  <c r="H13" i="9"/>
  <c r="E13" i="9"/>
  <c r="Q13" i="9"/>
  <c r="N13" i="9"/>
  <c r="H14" i="9"/>
  <c r="E14" i="9"/>
  <c r="P12" i="9"/>
  <c r="Q12" i="9"/>
  <c r="N12" i="9"/>
  <c r="H12" i="9"/>
  <c r="E12" i="9"/>
  <c r="Q8" i="9"/>
  <c r="N8" i="9"/>
  <c r="H9" i="9"/>
  <c r="E9" i="9"/>
  <c r="Q9" i="9"/>
  <c r="N9" i="9"/>
  <c r="H8" i="9"/>
  <c r="E8" i="9"/>
  <c r="Q7" i="9"/>
  <c r="N7" i="9"/>
  <c r="H7" i="9"/>
  <c r="E7" i="9"/>
  <c r="Q5" i="9"/>
  <c r="N5" i="9"/>
  <c r="H6" i="9"/>
  <c r="E6" i="9"/>
  <c r="Q6" i="9"/>
  <c r="N6" i="9"/>
  <c r="H5" i="9"/>
  <c r="E5" i="9"/>
  <c r="G9" i="8"/>
  <c r="G7" i="8"/>
  <c r="F7" i="8"/>
  <c r="P5" i="8"/>
  <c r="G6" i="8"/>
  <c r="F6" i="8"/>
  <c r="P18" i="8"/>
  <c r="O18" i="8"/>
  <c r="P12" i="8"/>
  <c r="O12" i="8"/>
  <c r="P9" i="8"/>
  <c r="O8" i="8"/>
  <c r="F18" i="8"/>
  <c r="O14" i="8"/>
  <c r="G8" i="8"/>
  <c r="F5" i="8"/>
  <c r="F13" i="8"/>
  <c r="G21" i="8"/>
  <c r="B24" i="8"/>
  <c r="K24" i="8"/>
  <c r="B26" i="8"/>
  <c r="C24" i="8"/>
  <c r="L24" i="8"/>
  <c r="C26" i="8"/>
  <c r="D24" i="8"/>
  <c r="M24" i="8"/>
  <c r="D26" i="8"/>
  <c r="E26" i="8"/>
  <c r="Q21" i="8"/>
  <c r="N21" i="8"/>
  <c r="H21" i="8"/>
  <c r="E21" i="8"/>
  <c r="Q20" i="8"/>
  <c r="N20" i="8"/>
  <c r="H20" i="8"/>
  <c r="E20" i="8"/>
  <c r="Q19" i="8"/>
  <c r="N19" i="8"/>
  <c r="H19" i="8"/>
  <c r="E19" i="8"/>
  <c r="Q18" i="8"/>
  <c r="N18" i="8"/>
  <c r="H18" i="8"/>
  <c r="E18" i="8"/>
  <c r="Q15" i="8"/>
  <c r="N15" i="8"/>
  <c r="H15" i="8"/>
  <c r="E15" i="8"/>
  <c r="P14" i="8"/>
  <c r="Q14" i="8"/>
  <c r="N14" i="8"/>
  <c r="H13" i="8"/>
  <c r="E13" i="8"/>
  <c r="Q13" i="8"/>
  <c r="N13" i="8"/>
  <c r="H14" i="8"/>
  <c r="E14" i="8"/>
  <c r="Q12" i="8"/>
  <c r="N12" i="8"/>
  <c r="H12" i="8"/>
  <c r="E12" i="8"/>
  <c r="Q8" i="8"/>
  <c r="N8" i="8"/>
  <c r="H9" i="8"/>
  <c r="E9" i="8"/>
  <c r="Q9" i="8"/>
  <c r="N9" i="8"/>
  <c r="H8" i="8"/>
  <c r="E8" i="8"/>
  <c r="Q7" i="8"/>
  <c r="N7" i="8"/>
  <c r="H7" i="8"/>
  <c r="E7" i="8"/>
  <c r="Q6" i="8"/>
  <c r="N6" i="8"/>
  <c r="H6" i="8"/>
  <c r="E6" i="8"/>
  <c r="Q5" i="8"/>
  <c r="N5" i="8"/>
  <c r="H5" i="8"/>
  <c r="E5" i="8"/>
  <c r="P6" i="7"/>
  <c r="O18" i="7"/>
  <c r="O9" i="7"/>
  <c r="P21" i="7"/>
  <c r="F6" i="7"/>
  <c r="P14" i="7"/>
  <c r="O14" i="7"/>
  <c r="P12" i="7"/>
  <c r="G7" i="7"/>
  <c r="F5" i="7"/>
  <c r="F19" i="7"/>
  <c r="P20" i="7"/>
  <c r="G15" i="7"/>
  <c r="F13" i="7"/>
  <c r="G20" i="7"/>
  <c r="F20" i="7"/>
  <c r="B24" i="7"/>
  <c r="K24" i="7"/>
  <c r="B26" i="7"/>
  <c r="C24" i="7"/>
  <c r="L24" i="7"/>
  <c r="C26" i="7"/>
  <c r="M24" i="7"/>
  <c r="D26" i="7"/>
  <c r="E26" i="7"/>
  <c r="D24" i="7"/>
  <c r="Q21" i="7"/>
  <c r="N21" i="7"/>
  <c r="H21" i="7"/>
  <c r="E21" i="7"/>
  <c r="Q20" i="7"/>
  <c r="N20" i="7"/>
  <c r="H20" i="7"/>
  <c r="E20" i="7"/>
  <c r="Q18" i="7"/>
  <c r="N18" i="7"/>
  <c r="H19" i="7"/>
  <c r="E19" i="7"/>
  <c r="Q19" i="7"/>
  <c r="N19" i="7"/>
  <c r="H18" i="7"/>
  <c r="E18" i="7"/>
  <c r="Q15" i="7"/>
  <c r="N15" i="7"/>
  <c r="H15" i="7"/>
  <c r="E15" i="7"/>
  <c r="Q14" i="7"/>
  <c r="N14" i="7"/>
  <c r="H14" i="7"/>
  <c r="E14" i="7"/>
  <c r="Q13" i="7"/>
  <c r="N13" i="7"/>
  <c r="H13" i="7"/>
  <c r="E13" i="7"/>
  <c r="Q12" i="7"/>
  <c r="N12" i="7"/>
  <c r="H12" i="7"/>
  <c r="E12" i="7"/>
  <c r="Q9" i="7"/>
  <c r="N9" i="7"/>
  <c r="H9" i="7"/>
  <c r="E9" i="7"/>
  <c r="Q8" i="7"/>
  <c r="N8" i="7"/>
  <c r="H8" i="7"/>
  <c r="E8" i="7"/>
  <c r="Q7" i="7"/>
  <c r="N7" i="7"/>
  <c r="H7" i="7"/>
  <c r="E7" i="7"/>
  <c r="Q6" i="7"/>
  <c r="N6" i="7"/>
  <c r="H6" i="7"/>
  <c r="E6" i="7"/>
  <c r="Q5" i="7"/>
  <c r="N5" i="7"/>
  <c r="H5" i="7"/>
  <c r="E5" i="7"/>
  <c r="O13" i="6"/>
  <c r="P9" i="6"/>
  <c r="O9" i="6"/>
  <c r="F19" i="6"/>
  <c r="F20" i="6"/>
  <c r="P20" i="6"/>
  <c r="F13" i="6"/>
  <c r="Q21" i="6"/>
  <c r="N21" i="6"/>
  <c r="H21" i="6"/>
  <c r="E21" i="6"/>
  <c r="Q20" i="6"/>
  <c r="N20" i="6"/>
  <c r="H20" i="6"/>
  <c r="E20" i="6"/>
  <c r="Q19" i="6"/>
  <c r="N19" i="6"/>
  <c r="H19" i="6"/>
  <c r="E19" i="6"/>
  <c r="Q18" i="6"/>
  <c r="N18" i="6"/>
  <c r="H18" i="6"/>
  <c r="E18" i="6"/>
  <c r="Q15" i="6"/>
  <c r="N15" i="6"/>
  <c r="H15" i="6"/>
  <c r="E15" i="6"/>
  <c r="Q14" i="6"/>
  <c r="N14" i="6"/>
  <c r="H14" i="6"/>
  <c r="E14" i="6"/>
  <c r="Q13" i="6"/>
  <c r="N13" i="6"/>
  <c r="H13" i="6"/>
  <c r="E13" i="6"/>
  <c r="Q12" i="6"/>
  <c r="N12" i="6"/>
  <c r="H12" i="6"/>
  <c r="E12" i="6"/>
  <c r="Q9" i="6"/>
  <c r="N9" i="6"/>
  <c r="H9" i="6"/>
  <c r="E9" i="6"/>
  <c r="Q8" i="6"/>
  <c r="N8" i="6"/>
  <c r="H8" i="6"/>
  <c r="E8" i="6"/>
  <c r="Q7" i="6"/>
  <c r="N7" i="6"/>
  <c r="H6" i="6"/>
  <c r="E6" i="6"/>
  <c r="Q6" i="6"/>
  <c r="N6" i="6"/>
  <c r="H5" i="6"/>
  <c r="E5" i="6"/>
  <c r="Q5" i="6"/>
  <c r="N5" i="6"/>
  <c r="H7" i="6"/>
  <c r="E7" i="6"/>
  <c r="P5" i="5"/>
  <c r="O5" i="5"/>
  <c r="G9" i="5"/>
  <c r="F9" i="5"/>
  <c r="G7" i="5"/>
  <c r="P6" i="5"/>
  <c r="G5" i="5"/>
  <c r="F5" i="5"/>
  <c r="Q21" i="5"/>
  <c r="N21" i="5"/>
  <c r="H21" i="5"/>
  <c r="E21" i="5"/>
  <c r="Q20" i="5"/>
  <c r="N20" i="5"/>
  <c r="H19" i="5"/>
  <c r="E19" i="5"/>
  <c r="Q18" i="5"/>
  <c r="N18" i="5"/>
  <c r="H20" i="5"/>
  <c r="E20" i="5"/>
  <c r="Q19" i="5"/>
  <c r="N19" i="5"/>
  <c r="H18" i="5"/>
  <c r="E18" i="5"/>
  <c r="Q15" i="5"/>
  <c r="N15" i="5"/>
  <c r="H14" i="5"/>
  <c r="E14" i="5"/>
  <c r="Q14" i="5"/>
  <c r="N14" i="5"/>
  <c r="H15" i="5"/>
  <c r="E15" i="5"/>
  <c r="Q13" i="5"/>
  <c r="N13" i="5"/>
  <c r="H13" i="5"/>
  <c r="E13" i="5"/>
  <c r="Q12" i="5"/>
  <c r="N12" i="5"/>
  <c r="H12" i="5"/>
  <c r="E12" i="5"/>
  <c r="Q9" i="5"/>
  <c r="N9" i="5"/>
  <c r="H9" i="5"/>
  <c r="E9" i="5"/>
  <c r="Q8" i="5"/>
  <c r="N8" i="5"/>
  <c r="H8" i="5"/>
  <c r="E8" i="5"/>
  <c r="Q6" i="5"/>
  <c r="N6" i="5"/>
  <c r="H7" i="5"/>
  <c r="E7" i="5"/>
  <c r="Q7" i="5"/>
  <c r="N7" i="5"/>
  <c r="H6" i="5"/>
  <c r="E6" i="5"/>
  <c r="Q5" i="5"/>
  <c r="N5" i="5"/>
  <c r="H5" i="5"/>
  <c r="E5" i="5"/>
  <c r="P18" i="4"/>
  <c r="O18" i="4"/>
  <c r="F5" i="4"/>
  <c r="P9" i="4"/>
  <c r="O5" i="4"/>
  <c r="O7" i="4"/>
  <c r="G8" i="4"/>
  <c r="F8" i="4"/>
  <c r="G9" i="4"/>
  <c r="F7" i="4"/>
  <c r="G18" i="4"/>
  <c r="G19" i="4"/>
  <c r="F19" i="4"/>
  <c r="G13" i="4"/>
  <c r="F13" i="4"/>
  <c r="O12" i="4"/>
  <c r="Q21" i="4"/>
  <c r="N21" i="4"/>
  <c r="H21" i="4"/>
  <c r="E21" i="4"/>
  <c r="Q20" i="4"/>
  <c r="N20" i="4"/>
  <c r="H20" i="4"/>
  <c r="E20" i="4"/>
  <c r="Q18" i="4"/>
  <c r="N18" i="4"/>
  <c r="H19" i="4"/>
  <c r="E19" i="4"/>
  <c r="Q19" i="4"/>
  <c r="N19" i="4"/>
  <c r="H18" i="4"/>
  <c r="E18" i="4"/>
  <c r="Q14" i="4"/>
  <c r="N14" i="4"/>
  <c r="H14" i="4"/>
  <c r="E14" i="4"/>
  <c r="Q15" i="4"/>
  <c r="N15" i="4"/>
  <c r="H15" i="4"/>
  <c r="E15" i="4"/>
  <c r="Q13" i="4"/>
  <c r="N13" i="4"/>
  <c r="H13" i="4"/>
  <c r="E13" i="4"/>
  <c r="Q12" i="4"/>
  <c r="N12" i="4"/>
  <c r="H12" i="4"/>
  <c r="E12" i="4"/>
  <c r="Q9" i="4"/>
  <c r="N9" i="4"/>
  <c r="H9" i="4"/>
  <c r="E9" i="4"/>
  <c r="Q8" i="4"/>
  <c r="N8" i="4"/>
  <c r="H8" i="4"/>
  <c r="E8" i="4"/>
  <c r="Q7" i="4"/>
  <c r="N7" i="4"/>
  <c r="H7" i="4"/>
  <c r="E7" i="4"/>
  <c r="Q6" i="4"/>
  <c r="N6" i="4"/>
  <c r="H5" i="4"/>
  <c r="E5" i="4"/>
  <c r="Q5" i="4"/>
  <c r="N5" i="4"/>
  <c r="H6" i="4"/>
  <c r="E6" i="4"/>
  <c r="G9" i="3"/>
  <c r="P5" i="3"/>
  <c r="O5" i="3"/>
  <c r="G15" i="3"/>
  <c r="F15" i="3"/>
  <c r="G7" i="3"/>
  <c r="F7" i="3"/>
  <c r="G18" i="3"/>
  <c r="F18" i="3"/>
  <c r="G19" i="3"/>
  <c r="F19" i="3"/>
  <c r="P13" i="3"/>
  <c r="O13" i="3"/>
  <c r="P14" i="3"/>
  <c r="O14" i="3"/>
  <c r="Q21" i="3"/>
  <c r="N21" i="3"/>
  <c r="H20" i="3"/>
  <c r="E20" i="3"/>
  <c r="Q19" i="3"/>
  <c r="N19" i="3"/>
  <c r="H21" i="3"/>
  <c r="E21" i="3"/>
  <c r="Q20" i="3"/>
  <c r="N20" i="3"/>
  <c r="H18" i="3"/>
  <c r="E18" i="3"/>
  <c r="Q18" i="3"/>
  <c r="N18" i="3"/>
  <c r="H19" i="3"/>
  <c r="E19" i="3"/>
  <c r="Q14" i="3"/>
  <c r="N14" i="3"/>
  <c r="H15" i="3"/>
  <c r="E15" i="3"/>
  <c r="Q15" i="3"/>
  <c r="N15" i="3"/>
  <c r="H14" i="3"/>
  <c r="E14" i="3"/>
  <c r="Q13" i="3"/>
  <c r="N13" i="3"/>
  <c r="H13" i="3"/>
  <c r="E13" i="3"/>
  <c r="Q12" i="3"/>
  <c r="N12" i="3"/>
  <c r="H12" i="3"/>
  <c r="E12" i="3"/>
  <c r="Q8" i="3"/>
  <c r="N8" i="3"/>
  <c r="H9" i="3"/>
  <c r="E9" i="3"/>
  <c r="Q7" i="3"/>
  <c r="N7" i="3"/>
  <c r="H7" i="3"/>
  <c r="E7" i="3"/>
  <c r="Q9" i="3"/>
  <c r="N9" i="3"/>
  <c r="H8" i="3"/>
  <c r="E8" i="3"/>
  <c r="Q5" i="3"/>
  <c r="N5" i="3"/>
  <c r="H6" i="3"/>
  <c r="E6" i="3"/>
  <c r="Q6" i="3"/>
  <c r="N6" i="3"/>
  <c r="H5" i="3"/>
  <c r="E5" i="3"/>
  <c r="Q21" i="2"/>
  <c r="N21" i="2"/>
  <c r="H19" i="2"/>
  <c r="E19" i="2"/>
  <c r="Q19" i="2"/>
  <c r="N19" i="2"/>
  <c r="H20" i="2"/>
  <c r="E20" i="2"/>
  <c r="Q18" i="2"/>
  <c r="N18" i="2"/>
  <c r="H21" i="2"/>
  <c r="E21" i="2"/>
  <c r="Q20" i="2"/>
  <c r="N20" i="2"/>
  <c r="H18" i="2"/>
  <c r="E18" i="2"/>
  <c r="Q15" i="2"/>
  <c r="N15" i="2"/>
  <c r="H14" i="2"/>
  <c r="E14" i="2"/>
  <c r="Q14" i="2"/>
  <c r="N14" i="2"/>
  <c r="H15" i="2"/>
  <c r="E15" i="2"/>
  <c r="Q13" i="2"/>
  <c r="N13" i="2"/>
  <c r="H13" i="2"/>
  <c r="E13" i="2"/>
  <c r="Q12" i="2"/>
  <c r="N12" i="2"/>
  <c r="H12" i="2"/>
  <c r="E12" i="2"/>
  <c r="Q9" i="2"/>
  <c r="N9" i="2"/>
  <c r="H9" i="2"/>
  <c r="E9" i="2"/>
  <c r="Q8" i="2"/>
  <c r="N8" i="2"/>
  <c r="H7" i="2"/>
  <c r="E7" i="2"/>
  <c r="Q6" i="2"/>
  <c r="N6" i="2"/>
  <c r="H8" i="2"/>
  <c r="E8" i="2"/>
  <c r="Q7" i="2"/>
  <c r="N7" i="2"/>
  <c r="H6" i="2"/>
  <c r="E6" i="2"/>
  <c r="Q5" i="2"/>
  <c r="N5" i="2"/>
  <c r="H5" i="2"/>
  <c r="E5" i="2"/>
  <c r="Q21" i="1"/>
  <c r="N21" i="1"/>
  <c r="Q20" i="1"/>
  <c r="N20" i="1"/>
  <c r="Q19" i="1"/>
  <c r="N19" i="1"/>
  <c r="Q18" i="1"/>
  <c r="N18" i="1"/>
  <c r="Q15" i="1"/>
  <c r="N15" i="1"/>
  <c r="Q14" i="1"/>
  <c r="N14" i="1"/>
  <c r="Q13" i="1"/>
  <c r="N13" i="1"/>
  <c r="Q12" i="1"/>
  <c r="N12" i="1"/>
  <c r="Q6" i="1"/>
  <c r="N6" i="1"/>
  <c r="Q9" i="1"/>
  <c r="N9" i="1"/>
  <c r="Q8" i="1"/>
  <c r="N8" i="1"/>
  <c r="Q5" i="1"/>
  <c r="N5" i="1"/>
  <c r="Q7" i="1"/>
  <c r="N7" i="1"/>
  <c r="H20" i="1"/>
  <c r="E20" i="1"/>
  <c r="H18" i="1"/>
  <c r="E18" i="1"/>
  <c r="H21" i="1"/>
  <c r="E21" i="1"/>
  <c r="H19" i="1"/>
  <c r="E19" i="1"/>
  <c r="H14" i="1"/>
  <c r="E14" i="1"/>
  <c r="H13" i="1"/>
  <c r="E13" i="1"/>
  <c r="H15" i="1"/>
  <c r="E15" i="1"/>
  <c r="H12" i="1"/>
  <c r="E12" i="1"/>
  <c r="H9" i="1"/>
  <c r="H8" i="1"/>
  <c r="H6" i="1"/>
  <c r="H7" i="1"/>
  <c r="H5" i="1"/>
  <c r="E9" i="1"/>
  <c r="E6" i="1"/>
  <c r="E7" i="1"/>
  <c r="E5" i="1"/>
  <c r="E8" i="1"/>
</calcChain>
</file>

<file path=xl/sharedStrings.xml><?xml version="1.0" encoding="utf-8"?>
<sst xmlns="http://schemas.openxmlformats.org/spreadsheetml/2006/main" count="1715" uniqueCount="122">
  <si>
    <t>WEEK 1</t>
  </si>
  <si>
    <t>AFC:</t>
  </si>
  <si>
    <t>East</t>
  </si>
  <si>
    <t>Miami</t>
  </si>
  <si>
    <t>New York</t>
  </si>
  <si>
    <t>Baltimore</t>
  </si>
  <si>
    <t>Buffalo</t>
  </si>
  <si>
    <t>New England</t>
  </si>
  <si>
    <t>W</t>
  </si>
  <si>
    <t>L</t>
  </si>
  <si>
    <t>T</t>
  </si>
  <si>
    <t>Pct.</t>
  </si>
  <si>
    <t>PF</t>
  </si>
  <si>
    <t>PA</t>
  </si>
  <si>
    <t>PD</t>
  </si>
  <si>
    <t>Central</t>
  </si>
  <si>
    <t>Pittsburgh</t>
  </si>
  <si>
    <t>Cleveland</t>
  </si>
  <si>
    <t>Cincinnati</t>
  </si>
  <si>
    <t>Houston</t>
  </si>
  <si>
    <t>West</t>
  </si>
  <si>
    <t>Oakland</t>
  </si>
  <si>
    <t>Kansas City</t>
  </si>
  <si>
    <t>Denver</t>
  </si>
  <si>
    <t>San Diego</t>
  </si>
  <si>
    <t>NFC:</t>
  </si>
  <si>
    <t>Washington</t>
  </si>
  <si>
    <t>Dallas</t>
  </si>
  <si>
    <t>St.Louis</t>
  </si>
  <si>
    <t>Philadelphia</t>
  </si>
  <si>
    <t>Green Bay</t>
  </si>
  <si>
    <t>Detroit</t>
  </si>
  <si>
    <t>Minnesota</t>
  </si>
  <si>
    <t>Chicago</t>
  </si>
  <si>
    <t>San Francisco</t>
  </si>
  <si>
    <t>Atlanta</t>
  </si>
  <si>
    <t>Los Angeles</t>
  </si>
  <si>
    <t>New Orleans</t>
  </si>
  <si>
    <t>at</t>
  </si>
  <si>
    <t>Sunday, September 17th</t>
  </si>
  <si>
    <t>Schedule:</t>
  </si>
  <si>
    <t>New York Jets</t>
  </si>
  <si>
    <t>New York Giants</t>
  </si>
  <si>
    <t>Monday, September 18th</t>
  </si>
  <si>
    <t>Sunday, September 24th</t>
  </si>
  <si>
    <t>Monday, September 25th</t>
  </si>
  <si>
    <t>WEEK 2</t>
  </si>
  <si>
    <t>WEEK 3</t>
  </si>
  <si>
    <t>Sunday, October 1st</t>
  </si>
  <si>
    <t>Monday, October 2nd</t>
  </si>
  <si>
    <t>WEEK 4</t>
  </si>
  <si>
    <t>Sunday, October 8th</t>
  </si>
  <si>
    <t>Monday, October 9th</t>
  </si>
  <si>
    <t xml:space="preserve">San Francisco </t>
  </si>
  <si>
    <t>Sunday, October 15th</t>
  </si>
  <si>
    <t>Monday, October 16th</t>
  </si>
  <si>
    <t xml:space="preserve">Atlanta </t>
  </si>
  <si>
    <t>WEEK 5</t>
  </si>
  <si>
    <t>Sunday, October 22nd</t>
  </si>
  <si>
    <t>Monday, October 23rd</t>
  </si>
  <si>
    <t>in Milwaukee</t>
  </si>
  <si>
    <t xml:space="preserve">Cleveland </t>
  </si>
  <si>
    <t>WEEK 6</t>
  </si>
  <si>
    <t>Sunday, October 29th</t>
  </si>
  <si>
    <t>Monday, October 30th</t>
  </si>
  <si>
    <t>WEEK 7</t>
  </si>
  <si>
    <t xml:space="preserve"> </t>
  </si>
  <si>
    <t>WEEK 8</t>
  </si>
  <si>
    <t>Sunday, November 5th</t>
  </si>
  <si>
    <t>Monday, November 6th</t>
  </si>
  <si>
    <t>Cinncinati</t>
  </si>
  <si>
    <t xml:space="preserve">Oakland </t>
  </si>
  <si>
    <t>St. Louis</t>
  </si>
  <si>
    <t>at Milwaukee</t>
  </si>
  <si>
    <t>Sunday, November 12th</t>
  </si>
  <si>
    <t>Monday, November 13th</t>
  </si>
  <si>
    <t>WEEK 9</t>
  </si>
  <si>
    <t>WEEK 10</t>
  </si>
  <si>
    <t>Sunday, November 19th</t>
  </si>
  <si>
    <t>Monday, November 20th</t>
  </si>
  <si>
    <t>WEEK 11</t>
  </si>
  <si>
    <t>Thursday, November 23rd</t>
  </si>
  <si>
    <t>Sunday, November 26th</t>
  </si>
  <si>
    <t>Monday, November 27th</t>
  </si>
  <si>
    <t xml:space="preserve">at </t>
  </si>
  <si>
    <t xml:space="preserve">San Diego </t>
  </si>
  <si>
    <t>WEEK 12</t>
  </si>
  <si>
    <t>Sunday, December 3rd</t>
  </si>
  <si>
    <t>Monday, December 4th</t>
  </si>
  <si>
    <t>WEEK 13</t>
  </si>
  <si>
    <t>Sunday, December 10th</t>
  </si>
  <si>
    <t>Monday, December 11th</t>
  </si>
  <si>
    <t>Saturday, December 9th</t>
  </si>
  <si>
    <t>Pittsburgh-x</t>
  </si>
  <si>
    <t>Kansas City-x</t>
  </si>
  <si>
    <t>Miami-x</t>
  </si>
  <si>
    <t>Green Bay-x</t>
  </si>
  <si>
    <t>x - Clinched Division Title</t>
  </si>
  <si>
    <t>Saturday, December 16th</t>
  </si>
  <si>
    <t>Sunday, December 17th</t>
  </si>
  <si>
    <t xml:space="preserve">New England </t>
  </si>
  <si>
    <t>End Regular Season</t>
  </si>
  <si>
    <t>New York-y</t>
  </si>
  <si>
    <t>y - Clinched Wild Card</t>
  </si>
  <si>
    <t>Atlanta-x</t>
  </si>
  <si>
    <t>Atlanta wins NFC West over San Francisco due to better conference record (6-4) vs (6-5)</t>
  </si>
  <si>
    <t>New York-x</t>
  </si>
  <si>
    <t>Washington-y</t>
  </si>
  <si>
    <t>Washington wins Wild Card over Detroit due to better conference record (8-3) vs (7-4)</t>
  </si>
  <si>
    <t>Divisional Playoffs</t>
  </si>
  <si>
    <t>Saturday, December 23rd</t>
  </si>
  <si>
    <t>Sunday, December 24th</t>
  </si>
  <si>
    <t>Conference Championships</t>
  </si>
  <si>
    <t>Sunday, December 31st</t>
  </si>
  <si>
    <t>TBD</t>
  </si>
  <si>
    <t>Super Bowl VII</t>
  </si>
  <si>
    <t>AFC</t>
  </si>
  <si>
    <t>NFC</t>
  </si>
  <si>
    <t>vs</t>
  </si>
  <si>
    <t>at Los Angeles Memorial Coliseum</t>
  </si>
  <si>
    <t>1972 NFL Replay Post Season</t>
  </si>
  <si>
    <t>WEEK 14 - 1972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</si>
</sst>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150" zoomScaleNormal="150" zoomScalePageLayoutView="150" workbookViewId="0">
      <selection activeCell="AC23" sqref="AC23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0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39</v>
      </c>
      <c r="U4" s="3"/>
      <c r="V4" s="3"/>
      <c r="W4" s="2"/>
    </row>
    <row r="5" spans="1:23">
      <c r="A5" t="s">
        <v>3</v>
      </c>
      <c r="B5">
        <v>1</v>
      </c>
      <c r="C5">
        <v>0</v>
      </c>
      <c r="D5">
        <v>0</v>
      </c>
      <c r="E5" s="4">
        <f>+(B5+(0.5*D5))/(B5+C5+D5)</f>
        <v>1</v>
      </c>
      <c r="F5">
        <v>33</v>
      </c>
      <c r="G5">
        <v>3</v>
      </c>
      <c r="H5">
        <f>+F5-G5</f>
        <v>30</v>
      </c>
      <c r="J5" t="s">
        <v>27</v>
      </c>
      <c r="K5">
        <v>1</v>
      </c>
      <c r="L5">
        <v>0</v>
      </c>
      <c r="M5">
        <v>0</v>
      </c>
      <c r="N5" s="4">
        <f>+(K5+(0.5*M5))/(K5+L5+M5)</f>
        <v>1</v>
      </c>
      <c r="O5">
        <v>7</v>
      </c>
      <c r="P5">
        <v>3</v>
      </c>
      <c r="Q5">
        <f>+O5-P5</f>
        <v>4</v>
      </c>
      <c r="S5">
        <v>24</v>
      </c>
      <c r="T5" s="6" t="s">
        <v>35</v>
      </c>
      <c r="U5" s="3" t="s">
        <v>38</v>
      </c>
      <c r="V5" s="3" t="s">
        <v>33</v>
      </c>
      <c r="W5" s="9">
        <v>14</v>
      </c>
    </row>
    <row r="6" spans="1:23">
      <c r="A6" t="s">
        <v>5</v>
      </c>
      <c r="B6">
        <v>1</v>
      </c>
      <c r="C6">
        <v>0</v>
      </c>
      <c r="D6">
        <v>0</v>
      </c>
      <c r="E6" s="4">
        <f>+(B6+(0.5*D6))/(B6+C6+D6)</f>
        <v>1</v>
      </c>
      <c r="F6">
        <v>21</v>
      </c>
      <c r="G6">
        <v>0</v>
      </c>
      <c r="H6">
        <f>+F6-G6</f>
        <v>21</v>
      </c>
      <c r="J6" t="s">
        <v>29</v>
      </c>
      <c r="K6">
        <v>0</v>
      </c>
      <c r="L6">
        <v>1</v>
      </c>
      <c r="M6">
        <v>0</v>
      </c>
      <c r="N6" s="4">
        <f>+(K6+(0.5*M6))/(K6+L6+M6)</f>
        <v>0</v>
      </c>
      <c r="O6">
        <v>3</v>
      </c>
      <c r="P6">
        <v>7</v>
      </c>
      <c r="Q6">
        <f>+O6-P6</f>
        <v>-4</v>
      </c>
      <c r="S6">
        <v>14</v>
      </c>
      <c r="T6" s="3" t="s">
        <v>18</v>
      </c>
      <c r="U6" s="3" t="s">
        <v>38</v>
      </c>
      <c r="V6" s="3" t="s">
        <v>7</v>
      </c>
      <c r="W6" s="9">
        <v>7</v>
      </c>
    </row>
    <row r="7" spans="1:23">
      <c r="A7" t="s">
        <v>4</v>
      </c>
      <c r="B7">
        <v>1</v>
      </c>
      <c r="C7">
        <v>0</v>
      </c>
      <c r="D7">
        <v>0</v>
      </c>
      <c r="E7" s="4">
        <f>+(B7+(0.5*D7))/(B7+C7+D7)</f>
        <v>1</v>
      </c>
      <c r="F7">
        <v>35</v>
      </c>
      <c r="G7">
        <v>28</v>
      </c>
      <c r="H7">
        <f>+F7-G7</f>
        <v>7</v>
      </c>
      <c r="J7" t="s">
        <v>26</v>
      </c>
      <c r="K7">
        <v>0</v>
      </c>
      <c r="L7">
        <v>1</v>
      </c>
      <c r="M7">
        <v>0</v>
      </c>
      <c r="N7" s="4">
        <f>+(K7+(0.5*M7))/(K7+L7+M7)</f>
        <v>0</v>
      </c>
      <c r="O7">
        <v>16</v>
      </c>
      <c r="P7">
        <v>21</v>
      </c>
      <c r="Q7">
        <f>+O7-P7</f>
        <v>-5</v>
      </c>
      <c r="S7">
        <v>20</v>
      </c>
      <c r="T7" s="3" t="s">
        <v>30</v>
      </c>
      <c r="U7" s="3" t="s">
        <v>38</v>
      </c>
      <c r="V7" s="3" t="s">
        <v>17</v>
      </c>
      <c r="W7" s="9">
        <v>0</v>
      </c>
    </row>
    <row r="8" spans="1:23">
      <c r="A8" t="s">
        <v>6</v>
      </c>
      <c r="B8">
        <v>0</v>
      </c>
      <c r="C8">
        <v>1</v>
      </c>
      <c r="D8">
        <v>0</v>
      </c>
      <c r="E8" s="4">
        <f>+(B8+(0.5*D8))/(B8+C8+D8)</f>
        <v>0</v>
      </c>
      <c r="F8">
        <v>28</v>
      </c>
      <c r="G8">
        <v>35</v>
      </c>
      <c r="H8">
        <f>+F8-G8</f>
        <v>-7</v>
      </c>
      <c r="J8" t="s">
        <v>4</v>
      </c>
      <c r="K8">
        <v>0</v>
      </c>
      <c r="L8">
        <v>1</v>
      </c>
      <c r="M8">
        <v>0</v>
      </c>
      <c r="N8" s="4">
        <f>+(K8+(0.5*M8))/(K8+L8+M8)</f>
        <v>0</v>
      </c>
      <c r="O8">
        <v>9</v>
      </c>
      <c r="P8">
        <v>29</v>
      </c>
      <c r="Q8">
        <f>+O8-P8</f>
        <v>-20</v>
      </c>
      <c r="S8">
        <v>21</v>
      </c>
      <c r="T8" s="3" t="s">
        <v>19</v>
      </c>
      <c r="U8" s="3" t="s">
        <v>38</v>
      </c>
      <c r="V8" s="3" t="s">
        <v>23</v>
      </c>
      <c r="W8" s="9">
        <v>23</v>
      </c>
    </row>
    <row r="9" spans="1:23">
      <c r="A9" t="s">
        <v>7</v>
      </c>
      <c r="B9">
        <v>0</v>
      </c>
      <c r="C9">
        <v>1</v>
      </c>
      <c r="D9">
        <v>0</v>
      </c>
      <c r="E9" s="4">
        <f>+(B9+(0.5*D9))/(B9+C9+D9)</f>
        <v>0</v>
      </c>
      <c r="F9">
        <v>7</v>
      </c>
      <c r="G9">
        <v>14</v>
      </c>
      <c r="H9">
        <f>+F9-G9</f>
        <v>-7</v>
      </c>
      <c r="J9" t="s">
        <v>28</v>
      </c>
      <c r="K9">
        <v>0</v>
      </c>
      <c r="L9">
        <v>1</v>
      </c>
      <c r="M9">
        <v>0</v>
      </c>
      <c r="N9" s="4">
        <f>+(K9+(0.5*M9))/(K9+L9+M9)</f>
        <v>0</v>
      </c>
      <c r="O9">
        <v>0</v>
      </c>
      <c r="P9">
        <v>21</v>
      </c>
      <c r="Q9">
        <f>+O9-P9</f>
        <v>-21</v>
      </c>
      <c r="S9">
        <v>33</v>
      </c>
      <c r="T9" s="3" t="s">
        <v>3</v>
      </c>
      <c r="U9" s="3" t="s">
        <v>38</v>
      </c>
      <c r="V9" s="3" t="s">
        <v>22</v>
      </c>
      <c r="W9" s="9">
        <v>3</v>
      </c>
    </row>
    <row r="10" spans="1:23">
      <c r="S10">
        <v>10</v>
      </c>
      <c r="T10" s="3" t="s">
        <v>37</v>
      </c>
      <c r="U10" s="3" t="s">
        <v>38</v>
      </c>
      <c r="V10" s="3" t="s">
        <v>36</v>
      </c>
      <c r="W10" s="9">
        <v>17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9</v>
      </c>
      <c r="T11" s="6" t="s">
        <v>42</v>
      </c>
      <c r="U11" s="3" t="s">
        <v>38</v>
      </c>
      <c r="V11" s="3" t="s">
        <v>31</v>
      </c>
      <c r="W11" s="9">
        <v>29</v>
      </c>
    </row>
    <row r="12" spans="1:23">
      <c r="A12" t="s">
        <v>16</v>
      </c>
      <c r="B12">
        <v>1</v>
      </c>
      <c r="C12">
        <v>0</v>
      </c>
      <c r="D12">
        <v>0</v>
      </c>
      <c r="E12" s="4">
        <f>+(B12+(0.5*D12))/(B12+C12+D12)</f>
        <v>1</v>
      </c>
      <c r="F12">
        <v>29</v>
      </c>
      <c r="G12">
        <v>10</v>
      </c>
      <c r="H12">
        <f>+F12-G12</f>
        <v>19</v>
      </c>
      <c r="J12" t="s">
        <v>30</v>
      </c>
      <c r="K12">
        <v>1</v>
      </c>
      <c r="L12">
        <v>0</v>
      </c>
      <c r="M12">
        <v>0</v>
      </c>
      <c r="N12" s="4">
        <f>+(K12+(0.5*M12))/(K12+L12+M12)</f>
        <v>1</v>
      </c>
      <c r="O12">
        <v>20</v>
      </c>
      <c r="P12">
        <v>0</v>
      </c>
      <c r="Q12">
        <f>+O12-P12</f>
        <v>20</v>
      </c>
      <c r="S12">
        <v>35</v>
      </c>
      <c r="T12" s="3" t="s">
        <v>41</v>
      </c>
      <c r="U12" s="3" t="s">
        <v>38</v>
      </c>
      <c r="V12" s="3" t="s">
        <v>6</v>
      </c>
      <c r="W12" s="9">
        <v>28</v>
      </c>
    </row>
    <row r="13" spans="1:23">
      <c r="A13" t="s">
        <v>18</v>
      </c>
      <c r="B13">
        <v>1</v>
      </c>
      <c r="C13">
        <v>0</v>
      </c>
      <c r="D13">
        <v>0</v>
      </c>
      <c r="E13" s="4">
        <f>+(B13+(0.5*D13))/(B13+C13+D13)</f>
        <v>1</v>
      </c>
      <c r="F13">
        <v>14</v>
      </c>
      <c r="G13">
        <v>7</v>
      </c>
      <c r="H13">
        <f>+F13-G13</f>
        <v>7</v>
      </c>
      <c r="J13" t="s">
        <v>31</v>
      </c>
      <c r="K13">
        <v>1</v>
      </c>
      <c r="L13">
        <v>0</v>
      </c>
      <c r="M13">
        <v>0</v>
      </c>
      <c r="N13" s="4">
        <f>+(K13+(0.5*M13))/(K13+L13+M13)</f>
        <v>1</v>
      </c>
      <c r="O13">
        <v>29</v>
      </c>
      <c r="P13">
        <v>9</v>
      </c>
      <c r="Q13">
        <f>+O13-P13</f>
        <v>20</v>
      </c>
      <c r="S13">
        <v>10</v>
      </c>
      <c r="T13" s="3" t="s">
        <v>21</v>
      </c>
      <c r="U13" s="3" t="s">
        <v>38</v>
      </c>
      <c r="V13" s="3" t="s">
        <v>16</v>
      </c>
      <c r="W13" s="9">
        <v>29</v>
      </c>
    </row>
    <row r="14" spans="1:23">
      <c r="A14" t="s">
        <v>19</v>
      </c>
      <c r="B14">
        <v>0</v>
      </c>
      <c r="C14">
        <v>1</v>
      </c>
      <c r="D14">
        <v>0</v>
      </c>
      <c r="E14" s="4">
        <f>+(B14+(0.5*D14))/(B14+C14+D14)</f>
        <v>0</v>
      </c>
      <c r="F14">
        <v>21</v>
      </c>
      <c r="G14">
        <v>23</v>
      </c>
      <c r="H14">
        <f>+F14-G14</f>
        <v>-2</v>
      </c>
      <c r="J14" t="s">
        <v>32</v>
      </c>
      <c r="K14">
        <v>1</v>
      </c>
      <c r="L14">
        <v>0</v>
      </c>
      <c r="M14">
        <v>0</v>
      </c>
      <c r="N14" s="4">
        <f>+(K14+(0.5*M14))/(K14+L14+M14)</f>
        <v>1</v>
      </c>
      <c r="O14">
        <v>21</v>
      </c>
      <c r="P14">
        <v>16</v>
      </c>
      <c r="Q14">
        <f>+O14-P14</f>
        <v>5</v>
      </c>
      <c r="S14">
        <v>3</v>
      </c>
      <c r="T14" s="3" t="s">
        <v>29</v>
      </c>
      <c r="U14" s="3" t="s">
        <v>38</v>
      </c>
      <c r="V14" s="3" t="s">
        <v>27</v>
      </c>
      <c r="W14" s="9">
        <v>7</v>
      </c>
    </row>
    <row r="15" spans="1:23">
      <c r="A15" t="s">
        <v>17</v>
      </c>
      <c r="B15">
        <v>0</v>
      </c>
      <c r="C15">
        <v>1</v>
      </c>
      <c r="D15">
        <v>0</v>
      </c>
      <c r="E15" s="4">
        <f>+(B15+(0.5*D15))/(B15+C15+D15)</f>
        <v>0</v>
      </c>
      <c r="F15">
        <v>0</v>
      </c>
      <c r="G15">
        <v>20</v>
      </c>
      <c r="H15">
        <f>+F15-G15</f>
        <v>-20</v>
      </c>
      <c r="J15" t="s">
        <v>33</v>
      </c>
      <c r="K15">
        <v>0</v>
      </c>
      <c r="L15">
        <v>1</v>
      </c>
      <c r="M15">
        <v>0</v>
      </c>
      <c r="N15" s="4">
        <f>+(K15+(0.5*M15))/(K15+L15+M15)</f>
        <v>0</v>
      </c>
      <c r="O15">
        <v>14</v>
      </c>
      <c r="P15">
        <v>24</v>
      </c>
      <c r="Q15">
        <f>+O15-P15</f>
        <v>-10</v>
      </c>
      <c r="S15">
        <v>0</v>
      </c>
      <c r="T15" s="3" t="s">
        <v>28</v>
      </c>
      <c r="U15" s="3" t="s">
        <v>38</v>
      </c>
      <c r="V15" s="3" t="s">
        <v>5</v>
      </c>
      <c r="W15" s="9">
        <v>21</v>
      </c>
    </row>
    <row r="16" spans="1:23">
      <c r="S16">
        <v>10</v>
      </c>
      <c r="T16" s="3" t="s">
        <v>24</v>
      </c>
      <c r="U16" s="3" t="s">
        <v>38</v>
      </c>
      <c r="V16" s="3" t="s">
        <v>34</v>
      </c>
      <c r="W16" s="9">
        <v>30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23</v>
      </c>
      <c r="B18">
        <v>1</v>
      </c>
      <c r="C18">
        <v>0</v>
      </c>
      <c r="D18">
        <v>0</v>
      </c>
      <c r="E18" s="4">
        <f>+(B18+(0.5*D18))/(B18+C18+D18)</f>
        <v>1</v>
      </c>
      <c r="F18">
        <v>23</v>
      </c>
      <c r="G18">
        <v>21</v>
      </c>
      <c r="H18">
        <f>+F18-G18</f>
        <v>2</v>
      </c>
      <c r="J18" t="s">
        <v>34</v>
      </c>
      <c r="K18">
        <v>1</v>
      </c>
      <c r="L18">
        <v>0</v>
      </c>
      <c r="M18">
        <v>0</v>
      </c>
      <c r="N18" s="4">
        <f>+(K18+(0.5*M18))/(K18+L18+M18)</f>
        <v>1</v>
      </c>
      <c r="O18">
        <v>30</v>
      </c>
      <c r="P18">
        <v>10</v>
      </c>
      <c r="Q18">
        <f>+O18-P18</f>
        <v>20</v>
      </c>
      <c r="T18" s="7" t="s">
        <v>43</v>
      </c>
      <c r="W18" s="9"/>
    </row>
    <row r="19" spans="1:23">
      <c r="A19" t="s">
        <v>21</v>
      </c>
      <c r="B19">
        <v>0</v>
      </c>
      <c r="C19">
        <v>1</v>
      </c>
      <c r="D19">
        <v>0</v>
      </c>
      <c r="E19" s="4">
        <f>+(B19+(0.5*D19))/(B19+C19+D19)</f>
        <v>0</v>
      </c>
      <c r="F19">
        <v>10</v>
      </c>
      <c r="G19">
        <v>29</v>
      </c>
      <c r="H19">
        <f>+F19-G19</f>
        <v>-19</v>
      </c>
      <c r="J19" t="s">
        <v>35</v>
      </c>
      <c r="K19">
        <v>1</v>
      </c>
      <c r="L19">
        <v>0</v>
      </c>
      <c r="M19">
        <v>0</v>
      </c>
      <c r="N19" s="4">
        <f>+(K19+(0.5*M19))/(K19+L19+M19)</f>
        <v>1</v>
      </c>
      <c r="O19">
        <v>24</v>
      </c>
      <c r="P19">
        <v>14</v>
      </c>
      <c r="Q19">
        <f>+O19-P19</f>
        <v>10</v>
      </c>
      <c r="S19">
        <v>16</v>
      </c>
      <c r="T19" s="3" t="s">
        <v>26</v>
      </c>
      <c r="U19" s="3" t="s">
        <v>38</v>
      </c>
      <c r="V19" s="3" t="s">
        <v>32</v>
      </c>
      <c r="W19" s="9">
        <v>21</v>
      </c>
    </row>
    <row r="20" spans="1:23">
      <c r="A20" t="s">
        <v>24</v>
      </c>
      <c r="B20">
        <v>0</v>
      </c>
      <c r="C20">
        <v>1</v>
      </c>
      <c r="D20">
        <v>0</v>
      </c>
      <c r="E20" s="4">
        <f>+(B20+(0.5*D20))/(B20+C20+D20)</f>
        <v>0</v>
      </c>
      <c r="F20">
        <v>10</v>
      </c>
      <c r="G20">
        <v>30</v>
      </c>
      <c r="H20">
        <f>+F20-G20</f>
        <v>-20</v>
      </c>
      <c r="J20" t="s">
        <v>36</v>
      </c>
      <c r="K20">
        <v>1</v>
      </c>
      <c r="L20">
        <v>0</v>
      </c>
      <c r="M20">
        <v>0</v>
      </c>
      <c r="N20" s="4">
        <f>+(K20+(0.5*M20))/(K20+L20+M20)</f>
        <v>1</v>
      </c>
      <c r="O20">
        <v>17</v>
      </c>
      <c r="P20">
        <v>10</v>
      </c>
      <c r="Q20">
        <f>+O20-P20</f>
        <v>7</v>
      </c>
    </row>
    <row r="21" spans="1:23">
      <c r="A21" t="s">
        <v>22</v>
      </c>
      <c r="B21">
        <v>0</v>
      </c>
      <c r="C21">
        <v>1</v>
      </c>
      <c r="D21">
        <v>0</v>
      </c>
      <c r="E21" s="4">
        <f>+(B21+(0.5*D21))/(B21+C21+D21)</f>
        <v>0</v>
      </c>
      <c r="F21">
        <v>3</v>
      </c>
      <c r="G21">
        <v>33</v>
      </c>
      <c r="H21">
        <f>+F21-G21</f>
        <v>-30</v>
      </c>
      <c r="J21" t="s">
        <v>37</v>
      </c>
      <c r="K21">
        <v>0</v>
      </c>
      <c r="L21">
        <v>1</v>
      </c>
      <c r="M21">
        <v>0</v>
      </c>
      <c r="N21" s="4">
        <f>+(K21+(0.5*M21))/(K21+L21+M21)</f>
        <v>0</v>
      </c>
      <c r="O21">
        <v>10</v>
      </c>
      <c r="P21">
        <v>17</v>
      </c>
      <c r="Q21">
        <f>+O21-P21</f>
        <v>-7</v>
      </c>
    </row>
  </sheetData>
  <sortState ref="J12:Q15">
    <sortCondition descending="1" ref="N12:N15"/>
    <sortCondition descending="1" ref="Q12:Q1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H1" zoomScale="150" zoomScaleNormal="150" zoomScalePageLayoutView="150" workbookViewId="0">
      <selection activeCell="Y9" sqref="Y9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77</v>
      </c>
    </row>
    <row r="2" spans="1:23">
      <c r="A2" t="s">
        <v>66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78</v>
      </c>
      <c r="U4" s="3"/>
      <c r="V4" s="3"/>
      <c r="W4" s="14"/>
    </row>
    <row r="5" spans="1:23">
      <c r="A5" t="s">
        <v>3</v>
      </c>
      <c r="B5" s="3">
        <v>9</v>
      </c>
      <c r="C5" s="3">
        <v>1</v>
      </c>
      <c r="D5" s="3">
        <v>0</v>
      </c>
      <c r="E5" s="10">
        <f>+(B5+(0.5*D5))/(B5+C5+D5)</f>
        <v>0.9</v>
      </c>
      <c r="F5" s="3">
        <v>283</v>
      </c>
      <c r="G5" s="3">
        <v>108</v>
      </c>
      <c r="H5" s="3">
        <f>+F5-G5</f>
        <v>175</v>
      </c>
      <c r="J5" t="s">
        <v>4</v>
      </c>
      <c r="K5" s="3">
        <v>7</v>
      </c>
      <c r="L5" s="3">
        <v>3</v>
      </c>
      <c r="M5" s="3">
        <v>0</v>
      </c>
      <c r="N5" s="10">
        <f>+(K5+(0.5*M5))/(K5+L5+M5)</f>
        <v>0.7</v>
      </c>
      <c r="O5" s="3">
        <v>158</v>
      </c>
      <c r="P5" s="3">
        <v>132</v>
      </c>
      <c r="Q5" s="3">
        <f>+O5-P5</f>
        <v>26</v>
      </c>
      <c r="S5">
        <v>14</v>
      </c>
      <c r="T5" s="6" t="s">
        <v>5</v>
      </c>
      <c r="U5" s="3" t="s">
        <v>38</v>
      </c>
      <c r="V5" s="3" t="s">
        <v>18</v>
      </c>
      <c r="W5" s="9">
        <v>14</v>
      </c>
    </row>
    <row r="6" spans="1:23">
      <c r="A6" t="s">
        <v>4</v>
      </c>
      <c r="B6" s="3">
        <v>7</v>
      </c>
      <c r="C6" s="3">
        <v>3</v>
      </c>
      <c r="D6" s="3">
        <v>0</v>
      </c>
      <c r="E6" s="10">
        <f>+(B6+(0.5*D6))/(B6+C6+D6)</f>
        <v>0.7</v>
      </c>
      <c r="F6" s="3">
        <v>260</v>
      </c>
      <c r="G6" s="3">
        <v>240</v>
      </c>
      <c r="H6" s="3">
        <f>+F6-G6</f>
        <v>20</v>
      </c>
      <c r="J6" t="s">
        <v>26</v>
      </c>
      <c r="K6" s="3">
        <v>6</v>
      </c>
      <c r="L6" s="3">
        <v>4</v>
      </c>
      <c r="M6" s="3">
        <v>0</v>
      </c>
      <c r="N6" s="10">
        <f>+(K6+(0.5*M6))/(K6+L6+M6)</f>
        <v>0.6</v>
      </c>
      <c r="O6" s="3">
        <v>221</v>
      </c>
      <c r="P6" s="3">
        <v>132</v>
      </c>
      <c r="Q6" s="3">
        <f>+O6-P6</f>
        <v>89</v>
      </c>
      <c r="S6">
        <v>30</v>
      </c>
      <c r="T6" s="3" t="s">
        <v>6</v>
      </c>
      <c r="U6" s="3" t="s">
        <v>38</v>
      </c>
      <c r="V6" s="3" t="s">
        <v>7</v>
      </c>
      <c r="W6" s="9">
        <v>3</v>
      </c>
    </row>
    <row r="7" spans="1:23">
      <c r="A7" t="s">
        <v>5</v>
      </c>
      <c r="B7" s="3">
        <v>6</v>
      </c>
      <c r="C7" s="3">
        <v>3</v>
      </c>
      <c r="D7" s="3">
        <v>1</v>
      </c>
      <c r="E7" s="10">
        <f>+(B7+(0.5*D7))/(B7+C7+D7)</f>
        <v>0.65</v>
      </c>
      <c r="F7" s="3">
        <v>221</v>
      </c>
      <c r="G7" s="3">
        <v>175</v>
      </c>
      <c r="H7" s="3">
        <f>+F7-G7</f>
        <v>46</v>
      </c>
      <c r="J7" t="s">
        <v>27</v>
      </c>
      <c r="K7" s="3">
        <v>3</v>
      </c>
      <c r="L7" s="3">
        <v>7</v>
      </c>
      <c r="M7" s="3">
        <v>0</v>
      </c>
      <c r="N7" s="10">
        <f>+(K7+(0.5*M7))/(K7+L7+M7)</f>
        <v>0.3</v>
      </c>
      <c r="O7" s="3">
        <v>109</v>
      </c>
      <c r="P7" s="3">
        <v>147</v>
      </c>
      <c r="Q7" s="3">
        <f>+O7-P7</f>
        <v>-38</v>
      </c>
      <c r="S7">
        <v>7</v>
      </c>
      <c r="T7" s="6" t="s">
        <v>27</v>
      </c>
      <c r="U7" s="3" t="s">
        <v>38</v>
      </c>
      <c r="V7" s="3" t="s">
        <v>29</v>
      </c>
      <c r="W7" s="9">
        <v>14</v>
      </c>
    </row>
    <row r="8" spans="1:23">
      <c r="A8" t="s">
        <v>6</v>
      </c>
      <c r="B8" s="3">
        <v>4</v>
      </c>
      <c r="C8" s="3">
        <v>6</v>
      </c>
      <c r="D8" s="3">
        <v>0</v>
      </c>
      <c r="E8" s="10">
        <f>+(B8+(0.5*D8))/(B8+C8+D8)</f>
        <v>0.4</v>
      </c>
      <c r="F8" s="3">
        <v>213</v>
      </c>
      <c r="G8" s="3">
        <v>242</v>
      </c>
      <c r="H8" s="3">
        <f>+F8-G8</f>
        <v>-29</v>
      </c>
      <c r="J8" t="s">
        <v>29</v>
      </c>
      <c r="K8" s="3">
        <v>2</v>
      </c>
      <c r="L8" s="3">
        <v>8</v>
      </c>
      <c r="M8" s="3">
        <v>0</v>
      </c>
      <c r="N8" s="10">
        <f>+(K8+(0.5*M8))/(K8+L8+M8)</f>
        <v>0.2</v>
      </c>
      <c r="O8" s="3">
        <v>159</v>
      </c>
      <c r="P8" s="3">
        <v>190</v>
      </c>
      <c r="Q8" s="3">
        <f>+O8-P8</f>
        <v>-31</v>
      </c>
      <c r="S8">
        <v>23</v>
      </c>
      <c r="T8" s="3" t="s">
        <v>30</v>
      </c>
      <c r="U8" s="3" t="s">
        <v>38</v>
      </c>
      <c r="V8" s="3" t="s">
        <v>19</v>
      </c>
      <c r="W8" s="9">
        <v>10</v>
      </c>
    </row>
    <row r="9" spans="1:23">
      <c r="A9" t="s">
        <v>7</v>
      </c>
      <c r="B9" s="3">
        <v>0</v>
      </c>
      <c r="C9" s="3">
        <v>10</v>
      </c>
      <c r="D9" s="3">
        <v>0</v>
      </c>
      <c r="E9" s="10">
        <f>+(B9+(0.5*D9))/(B9+C9+D9)</f>
        <v>0</v>
      </c>
      <c r="F9" s="3">
        <v>149</v>
      </c>
      <c r="G9" s="3">
        <v>329</v>
      </c>
      <c r="H9" s="3">
        <f>+F9-G9</f>
        <v>-180</v>
      </c>
      <c r="J9" t="s">
        <v>28</v>
      </c>
      <c r="K9" s="3">
        <v>1</v>
      </c>
      <c r="L9" s="3">
        <v>8</v>
      </c>
      <c r="M9" s="3">
        <v>1</v>
      </c>
      <c r="N9" s="10">
        <f>+(K9+(0.5*M9))/(K9+L9+M9)</f>
        <v>0.15</v>
      </c>
      <c r="O9" s="3">
        <v>93</v>
      </c>
      <c r="P9" s="3">
        <f>219+28</f>
        <v>247</v>
      </c>
      <c r="Q9" s="3">
        <f>+O9-P9</f>
        <v>-154</v>
      </c>
      <c r="S9">
        <v>15</v>
      </c>
      <c r="T9" s="3" t="s">
        <v>32</v>
      </c>
      <c r="U9" s="3" t="s">
        <v>38</v>
      </c>
      <c r="V9" s="3" t="s">
        <v>36</v>
      </c>
      <c r="W9" s="9">
        <v>27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13</v>
      </c>
      <c r="T10" s="3" t="s">
        <v>37</v>
      </c>
      <c r="U10" s="3" t="s">
        <v>38</v>
      </c>
      <c r="V10" s="3" t="s">
        <v>31</v>
      </c>
      <c r="W10" s="9">
        <v>36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28</v>
      </c>
      <c r="T11" s="3" t="s">
        <v>42</v>
      </c>
      <c r="U11" s="3" t="s">
        <v>38</v>
      </c>
      <c r="V11" s="3" t="s">
        <v>28</v>
      </c>
      <c r="W11" s="9">
        <v>3</v>
      </c>
    </row>
    <row r="12" spans="1:23">
      <c r="A12" t="s">
        <v>16</v>
      </c>
      <c r="B12" s="3">
        <v>8</v>
      </c>
      <c r="C12" s="3">
        <v>1</v>
      </c>
      <c r="D12" s="3">
        <v>1</v>
      </c>
      <c r="E12" s="10">
        <f>+(B12+(0.5*D12))/(B12+C12+D12)</f>
        <v>0.85</v>
      </c>
      <c r="F12" s="3">
        <v>251</v>
      </c>
      <c r="G12" s="3">
        <v>136</v>
      </c>
      <c r="H12" s="3">
        <f>+F12-G12</f>
        <v>115</v>
      </c>
      <c r="J12" t="s">
        <v>30</v>
      </c>
      <c r="K12" s="3">
        <v>9</v>
      </c>
      <c r="L12" s="3">
        <v>1</v>
      </c>
      <c r="M12" s="3">
        <v>0</v>
      </c>
      <c r="N12" s="10">
        <f>+(K12+(0.5*M12))/(K12+L12+M12)</f>
        <v>0.9</v>
      </c>
      <c r="O12" s="3">
        <v>288</v>
      </c>
      <c r="P12" s="3">
        <v>121</v>
      </c>
      <c r="Q12" s="3">
        <f>+O12-P12</f>
        <v>167</v>
      </c>
      <c r="S12">
        <v>12</v>
      </c>
      <c r="T12" s="3" t="s">
        <v>41</v>
      </c>
      <c r="U12" s="3" t="s">
        <v>38</v>
      </c>
      <c r="V12" s="3" t="s">
        <v>3</v>
      </c>
      <c r="W12" s="9">
        <v>20</v>
      </c>
    </row>
    <row r="13" spans="1:23">
      <c r="A13" t="s">
        <v>18</v>
      </c>
      <c r="B13" s="3">
        <v>6</v>
      </c>
      <c r="C13" s="3">
        <v>3</v>
      </c>
      <c r="D13" s="3">
        <v>1</v>
      </c>
      <c r="E13" s="10">
        <f>+(B13+(0.5*D13))/(B13+C13+D13)</f>
        <v>0.65</v>
      </c>
      <c r="F13" s="3">
        <f>194+14</f>
        <v>208</v>
      </c>
      <c r="G13" s="3">
        <f>148+14</f>
        <v>162</v>
      </c>
      <c r="H13" s="3">
        <f>+F13-G13</f>
        <v>46</v>
      </c>
      <c r="J13" t="s">
        <v>31</v>
      </c>
      <c r="K13" s="3">
        <v>7</v>
      </c>
      <c r="L13" s="3">
        <v>3</v>
      </c>
      <c r="M13" s="3">
        <v>0</v>
      </c>
      <c r="N13" s="10">
        <f>+(K13+(0.5*M13))/(K13+L13+M13)</f>
        <v>0.7</v>
      </c>
      <c r="O13" s="3">
        <v>244</v>
      </c>
      <c r="P13" s="3">
        <v>160</v>
      </c>
      <c r="Q13" s="3">
        <f>+O13-P13</f>
        <v>84</v>
      </c>
      <c r="S13">
        <v>49</v>
      </c>
      <c r="T13" s="3" t="s">
        <v>21</v>
      </c>
      <c r="U13" s="3" t="s">
        <v>38</v>
      </c>
      <c r="V13" s="3" t="s">
        <v>23</v>
      </c>
      <c r="W13" s="9">
        <v>23</v>
      </c>
    </row>
    <row r="14" spans="1:23">
      <c r="A14" t="s">
        <v>17</v>
      </c>
      <c r="B14" s="3">
        <v>6</v>
      </c>
      <c r="C14" s="3">
        <v>4</v>
      </c>
      <c r="D14" s="3">
        <v>0</v>
      </c>
      <c r="E14" s="10">
        <f>+(B14+(0.5*D14))/(B14+C14+D14)</f>
        <v>0.6</v>
      </c>
      <c r="F14" s="3">
        <f>193+23</f>
        <v>216</v>
      </c>
      <c r="G14" s="3">
        <f>146+17</f>
        <v>163</v>
      </c>
      <c r="H14" s="3">
        <f>+F14-G14</f>
        <v>53</v>
      </c>
      <c r="J14" t="s">
        <v>32</v>
      </c>
      <c r="K14" s="3">
        <v>6</v>
      </c>
      <c r="L14" s="3">
        <v>4</v>
      </c>
      <c r="M14" s="3">
        <v>0</v>
      </c>
      <c r="N14" s="10">
        <f>+(K14+(0.5*M14))/(K14+L14+M14)</f>
        <v>0.6</v>
      </c>
      <c r="O14" s="3">
        <f>187+15</f>
        <v>202</v>
      </c>
      <c r="P14" s="3">
        <f>137+27</f>
        <v>164</v>
      </c>
      <c r="Q14" s="3">
        <f>+O14-P14</f>
        <v>38</v>
      </c>
      <c r="S14">
        <v>17</v>
      </c>
      <c r="T14" s="3" t="s">
        <v>16</v>
      </c>
      <c r="U14" s="3" t="s">
        <v>38</v>
      </c>
      <c r="V14" s="3" t="s">
        <v>17</v>
      </c>
      <c r="W14" s="9">
        <v>23</v>
      </c>
    </row>
    <row r="15" spans="1:23">
      <c r="A15" t="s">
        <v>19</v>
      </c>
      <c r="B15" s="3">
        <v>2</v>
      </c>
      <c r="C15" s="3">
        <v>8</v>
      </c>
      <c r="D15" s="3">
        <v>0</v>
      </c>
      <c r="E15" s="10">
        <f>+(B15+(0.5*D15))/(B15+C15+D15)</f>
        <v>0.2</v>
      </c>
      <c r="F15" s="3">
        <v>147</v>
      </c>
      <c r="G15" s="3">
        <v>285</v>
      </c>
      <c r="H15" s="3">
        <f>+F15-G15</f>
        <v>-138</v>
      </c>
      <c r="J15" t="s">
        <v>33</v>
      </c>
      <c r="K15" s="3">
        <v>2</v>
      </c>
      <c r="L15" s="3">
        <v>8</v>
      </c>
      <c r="M15" s="3">
        <v>0</v>
      </c>
      <c r="N15" s="10">
        <f>+(K15+(0.5*M15))/(K15+L15+M15)</f>
        <v>0.2</v>
      </c>
      <c r="O15" s="3">
        <v>174</v>
      </c>
      <c r="P15" s="3">
        <v>251</v>
      </c>
      <c r="Q15" s="3">
        <f>+O15-P15</f>
        <v>-77</v>
      </c>
      <c r="S15">
        <v>3</v>
      </c>
      <c r="T15" s="3" t="s">
        <v>24</v>
      </c>
      <c r="U15" s="3" t="s">
        <v>38</v>
      </c>
      <c r="V15" s="3" t="s">
        <v>22</v>
      </c>
      <c r="W15" s="9">
        <v>26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21</v>
      </c>
      <c r="T16" s="3" t="s">
        <v>34</v>
      </c>
      <c r="U16" s="3" t="s">
        <v>38</v>
      </c>
      <c r="V16" s="3" t="s">
        <v>33</v>
      </c>
      <c r="W16" s="9">
        <v>19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7</v>
      </c>
      <c r="C18" s="3">
        <v>3</v>
      </c>
      <c r="D18" s="3">
        <v>0</v>
      </c>
      <c r="E18" s="10">
        <f>+(B18+(0.5*D18))/(B18+C18+D18)</f>
        <v>0.7</v>
      </c>
      <c r="F18" s="3">
        <f>182+26</f>
        <v>208</v>
      </c>
      <c r="G18" s="3">
        <v>151</v>
      </c>
      <c r="H18" s="3">
        <f>+F18-G18</f>
        <v>57</v>
      </c>
      <c r="J18" t="s">
        <v>34</v>
      </c>
      <c r="K18" s="3">
        <v>7</v>
      </c>
      <c r="L18" s="3">
        <v>3</v>
      </c>
      <c r="M18" s="3">
        <v>0</v>
      </c>
      <c r="N18" s="10">
        <f>+(K18+(0.5*M18))/(K18+L18+M18)</f>
        <v>0.7</v>
      </c>
      <c r="O18" s="3">
        <v>242</v>
      </c>
      <c r="P18" s="3">
        <v>193</v>
      </c>
      <c r="Q18" s="3">
        <f>+O18-P18</f>
        <v>49</v>
      </c>
      <c r="T18" s="7" t="s">
        <v>79</v>
      </c>
      <c r="W18" s="9"/>
    </row>
    <row r="19" spans="1:23">
      <c r="A19" t="s">
        <v>21</v>
      </c>
      <c r="B19" s="3">
        <v>4</v>
      </c>
      <c r="C19" s="3">
        <v>6</v>
      </c>
      <c r="D19" s="3">
        <v>0</v>
      </c>
      <c r="E19" s="10">
        <f>+(B19+(0.5*D19))/(B19+C19+D19)</f>
        <v>0.4</v>
      </c>
      <c r="F19" s="3">
        <f>187+49</f>
        <v>236</v>
      </c>
      <c r="G19" s="3">
        <v>173</v>
      </c>
      <c r="H19" s="3">
        <f>+F19-G19</f>
        <v>63</v>
      </c>
      <c r="J19" t="s">
        <v>35</v>
      </c>
      <c r="K19" s="3">
        <v>6</v>
      </c>
      <c r="L19" s="3">
        <v>4</v>
      </c>
      <c r="M19" s="3">
        <v>0</v>
      </c>
      <c r="N19" s="10">
        <f>+(K19+(0.5*M19))/(K19+L19+M19)</f>
        <v>0.6</v>
      </c>
      <c r="O19" s="3">
        <v>192</v>
      </c>
      <c r="P19" s="3">
        <v>164</v>
      </c>
      <c r="Q19" s="3">
        <f>+O19-P19</f>
        <v>28</v>
      </c>
      <c r="S19">
        <v>3</v>
      </c>
      <c r="T19" s="3" t="s">
        <v>35</v>
      </c>
      <c r="U19" s="3" t="s">
        <v>38</v>
      </c>
      <c r="V19" s="3" t="s">
        <v>26</v>
      </c>
      <c r="W19" s="9">
        <v>31</v>
      </c>
    </row>
    <row r="20" spans="1:23">
      <c r="A20" t="s">
        <v>23</v>
      </c>
      <c r="B20" s="3">
        <v>4</v>
      </c>
      <c r="C20" s="3">
        <v>6</v>
      </c>
      <c r="D20" s="3">
        <v>0</v>
      </c>
      <c r="E20" s="10">
        <f>+(B20+(0.5*D20))/(B20+C20+D20)</f>
        <v>0.4</v>
      </c>
      <c r="F20" s="3">
        <f>195+23</f>
        <v>218</v>
      </c>
      <c r="G20" s="3">
        <f>186+49</f>
        <v>235</v>
      </c>
      <c r="H20" s="3">
        <f>+F20-G20</f>
        <v>-17</v>
      </c>
      <c r="J20" t="s">
        <v>36</v>
      </c>
      <c r="K20" s="3">
        <v>5</v>
      </c>
      <c r="L20" s="3">
        <v>5</v>
      </c>
      <c r="M20" s="3">
        <v>0</v>
      </c>
      <c r="N20" s="10">
        <f>+(K20+(0.5*M20))/(K20+L20+M20)</f>
        <v>0.5</v>
      </c>
      <c r="O20" s="3">
        <f>154+27</f>
        <v>181</v>
      </c>
      <c r="P20" s="3">
        <v>245</v>
      </c>
      <c r="Q20" s="3">
        <f>+O20-P20</f>
        <v>-64</v>
      </c>
    </row>
    <row r="21" spans="1:23">
      <c r="A21" t="s">
        <v>24</v>
      </c>
      <c r="B21" s="3">
        <v>3</v>
      </c>
      <c r="C21" s="3">
        <v>7</v>
      </c>
      <c r="D21" s="3">
        <v>0</v>
      </c>
      <c r="E21" s="10">
        <f>+(B21+(0.5*D21))/(B21+C21+D21)</f>
        <v>0.3</v>
      </c>
      <c r="F21" s="3">
        <v>134</v>
      </c>
      <c r="G21" s="3">
        <f>183+26</f>
        <v>209</v>
      </c>
      <c r="H21" s="3">
        <f>+F21-G21</f>
        <v>-75</v>
      </c>
      <c r="J21" t="s">
        <v>37</v>
      </c>
      <c r="K21" s="3">
        <v>1</v>
      </c>
      <c r="L21" s="3">
        <v>9</v>
      </c>
      <c r="M21" s="3">
        <v>0</v>
      </c>
      <c r="N21" s="10">
        <f>+(K21+(0.5*M21))/(K21+L21+M21)</f>
        <v>0.1</v>
      </c>
      <c r="O21" s="3">
        <v>77</v>
      </c>
      <c r="P21" s="3">
        <f>229+36</f>
        <v>265</v>
      </c>
      <c r="Q21" s="3">
        <f>+O21-P21</f>
        <v>-188</v>
      </c>
    </row>
    <row r="24" spans="1:23">
      <c r="B24">
        <f>SUM(B5:B21)</f>
        <v>66</v>
      </c>
      <c r="C24">
        <f>SUM(C5:C21)</f>
        <v>61</v>
      </c>
      <c r="D24">
        <f>SUM(D5:D21)</f>
        <v>3</v>
      </c>
      <c r="K24">
        <f>SUM(K5:K21)</f>
        <v>62</v>
      </c>
      <c r="L24">
        <f>SUM(L5:L21)</f>
        <v>67</v>
      </c>
      <c r="M24">
        <f>SUM(M5:M21)</f>
        <v>1</v>
      </c>
    </row>
    <row r="26" spans="1:23">
      <c r="B26">
        <f>+B24+K24</f>
        <v>128</v>
      </c>
      <c r="C26">
        <f>+C24+L24</f>
        <v>128</v>
      </c>
      <c r="D26">
        <f>+D24+M24</f>
        <v>4</v>
      </c>
      <c r="E26">
        <f>SUM(B26:D26)/2</f>
        <v>130</v>
      </c>
    </row>
  </sheetData>
  <sortState ref="J18:Q21">
    <sortCondition descending="1" ref="N18:N2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G3" zoomScale="150" zoomScaleNormal="150" zoomScalePageLayoutView="150" workbookViewId="0">
      <selection activeCell="R25" sqref="R25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80</v>
      </c>
    </row>
    <row r="2" spans="1:23">
      <c r="A2" t="s">
        <v>66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81</v>
      </c>
      <c r="U4" s="3"/>
      <c r="V4" s="3"/>
      <c r="W4" s="15"/>
    </row>
    <row r="5" spans="1:23">
      <c r="A5" t="s">
        <v>3</v>
      </c>
      <c r="B5" s="3">
        <v>10</v>
      </c>
      <c r="C5" s="3">
        <v>1</v>
      </c>
      <c r="D5" s="3">
        <v>0</v>
      </c>
      <c r="E5" s="10">
        <f>+(B5+(0.5*D5))/(B5+C5+D5)</f>
        <v>0.90909090909090906</v>
      </c>
      <c r="F5" s="3">
        <v>316</v>
      </c>
      <c r="G5" s="3">
        <v>121</v>
      </c>
      <c r="H5" s="3">
        <f>+F5-G5</f>
        <v>195</v>
      </c>
      <c r="J5" t="s">
        <v>4</v>
      </c>
      <c r="K5" s="3">
        <v>8</v>
      </c>
      <c r="L5" s="3">
        <v>3</v>
      </c>
      <c r="M5" s="3">
        <v>0</v>
      </c>
      <c r="N5" s="10">
        <f>+(K5+(0.5*M5))/(K5+L5+M5)</f>
        <v>0.72727272727272729</v>
      </c>
      <c r="O5" s="3">
        <f>158+43</f>
        <v>201</v>
      </c>
      <c r="P5" s="3">
        <v>139</v>
      </c>
      <c r="Q5" s="3">
        <f>+O5-P5</f>
        <v>62</v>
      </c>
      <c r="S5">
        <v>20</v>
      </c>
      <c r="T5" s="6" t="s">
        <v>41</v>
      </c>
      <c r="U5" s="3" t="s">
        <v>38</v>
      </c>
      <c r="V5" s="3" t="s">
        <v>31</v>
      </c>
      <c r="W5" s="9">
        <v>30</v>
      </c>
    </row>
    <row r="6" spans="1:23">
      <c r="A6" t="s">
        <v>5</v>
      </c>
      <c r="B6" s="3">
        <v>7</v>
      </c>
      <c r="C6" s="3">
        <v>3</v>
      </c>
      <c r="D6" s="3">
        <v>1</v>
      </c>
      <c r="E6" s="10">
        <f>+(B6+(0.5*D6))/(B6+C6+D6)</f>
        <v>0.68181818181818177</v>
      </c>
      <c r="F6" s="3">
        <v>249</v>
      </c>
      <c r="G6" s="3">
        <v>182</v>
      </c>
      <c r="H6" s="3">
        <f>+F6-G6</f>
        <v>67</v>
      </c>
      <c r="J6" t="s">
        <v>26</v>
      </c>
      <c r="K6" s="3">
        <v>7</v>
      </c>
      <c r="L6" s="3">
        <v>4</v>
      </c>
      <c r="M6" s="3">
        <v>0</v>
      </c>
      <c r="N6" s="10">
        <f>+(K6+(0.5*M6))/(K6+L6+M6)</f>
        <v>0.63636363636363635</v>
      </c>
      <c r="O6" s="3">
        <f>220+13</f>
        <v>233</v>
      </c>
      <c r="P6" s="3">
        <f>144+12</f>
        <v>156</v>
      </c>
      <c r="Q6" s="3">
        <f>+O6-P6</f>
        <v>77</v>
      </c>
      <c r="S6">
        <v>7</v>
      </c>
      <c r="T6" s="3" t="s">
        <v>53</v>
      </c>
      <c r="U6" s="3" t="s">
        <v>38</v>
      </c>
      <c r="V6" s="3" t="s">
        <v>27</v>
      </c>
      <c r="W6" s="9">
        <v>19</v>
      </c>
    </row>
    <row r="7" spans="1:23">
      <c r="A7" t="s">
        <v>4</v>
      </c>
      <c r="B7" s="3">
        <v>7</v>
      </c>
      <c r="C7" s="3">
        <v>4</v>
      </c>
      <c r="D7" s="3">
        <v>0</v>
      </c>
      <c r="E7" s="10">
        <f>+(B7+(0.5*D7))/(B7+C7+D7)</f>
        <v>0.63636363636363635</v>
      </c>
      <c r="F7" s="3">
        <v>280</v>
      </c>
      <c r="G7" s="3">
        <v>270</v>
      </c>
      <c r="H7" s="3">
        <f>+F7-G7</f>
        <v>10</v>
      </c>
      <c r="J7" t="s">
        <v>27</v>
      </c>
      <c r="K7" s="3">
        <v>4</v>
      </c>
      <c r="L7" s="3">
        <v>7</v>
      </c>
      <c r="M7" s="3">
        <v>0</v>
      </c>
      <c r="N7" s="10">
        <f>+(K7+(0.5*M7))/(K7+L7+M7)</f>
        <v>0.36363636363636365</v>
      </c>
      <c r="O7" s="3">
        <v>138</v>
      </c>
      <c r="P7" s="3">
        <v>164</v>
      </c>
      <c r="Q7" s="3">
        <f>+O7-P7</f>
        <v>-26</v>
      </c>
      <c r="T7" s="6"/>
      <c r="U7" s="3"/>
      <c r="V7" s="3"/>
      <c r="W7" s="9"/>
    </row>
    <row r="8" spans="1:23">
      <c r="A8" t="s">
        <v>6</v>
      </c>
      <c r="B8" s="3">
        <v>5</v>
      </c>
      <c r="C8" s="3">
        <v>6</v>
      </c>
      <c r="D8" s="3">
        <v>0</v>
      </c>
      <c r="E8" s="10">
        <f>+(B8+(0.5*D8))/(B8+C8+D8)</f>
        <v>0.45454545454545453</v>
      </c>
      <c r="F8" s="3">
        <f>213+27</f>
        <v>240</v>
      </c>
      <c r="G8" s="3">
        <f>242+24</f>
        <v>266</v>
      </c>
      <c r="H8" s="3">
        <f>+F8-G8</f>
        <v>-26</v>
      </c>
      <c r="J8" t="s">
        <v>29</v>
      </c>
      <c r="K8" s="3">
        <v>2</v>
      </c>
      <c r="L8" s="3">
        <v>9</v>
      </c>
      <c r="M8" s="3">
        <v>0</v>
      </c>
      <c r="N8" s="10">
        <f>+(K8+(0.5*M8))/(K8+L8+M8)</f>
        <v>0.18181818181818182</v>
      </c>
      <c r="O8" s="3">
        <v>166</v>
      </c>
      <c r="P8" s="3">
        <v>233</v>
      </c>
      <c r="Q8" s="3">
        <f>+O8-P8</f>
        <v>-67</v>
      </c>
      <c r="T8" s="7" t="s">
        <v>82</v>
      </c>
      <c r="U8" s="3"/>
      <c r="V8" s="3"/>
      <c r="W8" s="9"/>
    </row>
    <row r="9" spans="1:23">
      <c r="A9" t="s">
        <v>7</v>
      </c>
      <c r="B9" s="3">
        <v>0</v>
      </c>
      <c r="C9" s="3">
        <v>11</v>
      </c>
      <c r="D9" s="3">
        <v>0</v>
      </c>
      <c r="E9" s="10">
        <f>+(B9+(0.5*D9))/(B9+C9+D9)</f>
        <v>0</v>
      </c>
      <c r="F9" s="3">
        <v>156</v>
      </c>
      <c r="G9" s="3">
        <v>357</v>
      </c>
      <c r="H9" s="3">
        <f>+F9-G9</f>
        <v>-201</v>
      </c>
      <c r="J9" t="s">
        <v>28</v>
      </c>
      <c r="K9" s="3">
        <v>1</v>
      </c>
      <c r="L9" s="3">
        <v>9</v>
      </c>
      <c r="M9" s="3">
        <v>1</v>
      </c>
      <c r="N9" s="10">
        <f>+(K9+(0.5*M9))/(K9+L9+M9)</f>
        <v>0.13636363636363635</v>
      </c>
      <c r="O9" s="3">
        <v>106</v>
      </c>
      <c r="P9" s="3">
        <v>280</v>
      </c>
      <c r="Q9" s="3">
        <f>+O9-P9</f>
        <v>-174</v>
      </c>
      <c r="S9">
        <v>27</v>
      </c>
      <c r="T9" s="3" t="s">
        <v>6</v>
      </c>
      <c r="U9" s="3" t="s">
        <v>38</v>
      </c>
      <c r="V9" s="3" t="s">
        <v>17</v>
      </c>
      <c r="W9" s="9">
        <v>24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13</v>
      </c>
      <c r="T10" s="3" t="s">
        <v>18</v>
      </c>
      <c r="U10" s="3" t="s">
        <v>38</v>
      </c>
      <c r="V10" s="3" t="s">
        <v>33</v>
      </c>
      <c r="W10" s="9">
        <v>17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54</v>
      </c>
      <c r="T11" s="3" t="s">
        <v>23</v>
      </c>
      <c r="U11" s="3" t="s">
        <v>38</v>
      </c>
      <c r="V11" s="3" t="s">
        <v>35</v>
      </c>
      <c r="W11" s="9">
        <v>0</v>
      </c>
    </row>
    <row r="12" spans="1:23">
      <c r="A12" t="s">
        <v>16</v>
      </c>
      <c r="B12" s="3">
        <v>9</v>
      </c>
      <c r="C12" s="3">
        <v>1</v>
      </c>
      <c r="D12" s="3">
        <v>1</v>
      </c>
      <c r="E12" s="10">
        <f>+(B12+(0.5*D12))/(B12+C12+D12)</f>
        <v>0.86363636363636365</v>
      </c>
      <c r="F12" s="3">
        <v>279</v>
      </c>
      <c r="G12" s="3">
        <v>159</v>
      </c>
      <c r="H12" s="3">
        <f>+F12-G12</f>
        <v>120</v>
      </c>
      <c r="J12" t="s">
        <v>30</v>
      </c>
      <c r="K12" s="3">
        <v>9</v>
      </c>
      <c r="L12" s="3">
        <v>2</v>
      </c>
      <c r="M12" s="3">
        <v>0</v>
      </c>
      <c r="N12" s="10">
        <f>+(K12+(0.5*M12))/(K12+L12+M12)</f>
        <v>0.81818181818181823</v>
      </c>
      <c r="O12" s="3">
        <v>300</v>
      </c>
      <c r="P12" s="3">
        <v>134</v>
      </c>
      <c r="Q12" s="3">
        <f>+O12-P12</f>
        <v>166</v>
      </c>
      <c r="S12">
        <v>12</v>
      </c>
      <c r="T12" s="3" t="s">
        <v>30</v>
      </c>
      <c r="U12" s="3" t="s">
        <v>38</v>
      </c>
      <c r="V12" s="3" t="s">
        <v>26</v>
      </c>
      <c r="W12" s="9">
        <v>13</v>
      </c>
    </row>
    <row r="13" spans="1:23">
      <c r="A13" t="s">
        <v>18</v>
      </c>
      <c r="B13" s="3">
        <v>6</v>
      </c>
      <c r="C13" s="3">
        <v>4</v>
      </c>
      <c r="D13" s="3">
        <v>1</v>
      </c>
      <c r="E13" s="10">
        <f>+(B13+(0.5*D13))/(B13+C13+D13)</f>
        <v>0.59090909090909094</v>
      </c>
      <c r="F13" s="3">
        <v>221</v>
      </c>
      <c r="G13" s="3">
        <v>179</v>
      </c>
      <c r="H13" s="3">
        <f>+F13-G13</f>
        <v>42</v>
      </c>
      <c r="J13" t="s">
        <v>31</v>
      </c>
      <c r="K13" s="3">
        <v>8</v>
      </c>
      <c r="L13" s="3">
        <v>3</v>
      </c>
      <c r="M13" s="3">
        <v>0</v>
      </c>
      <c r="N13" s="10">
        <f>+(K13+(0.5*M13))/(K13+L13+M13)</f>
        <v>0.72727272727272729</v>
      </c>
      <c r="O13" s="3">
        <v>274</v>
      </c>
      <c r="P13" s="3">
        <v>180</v>
      </c>
      <c r="Q13" s="3">
        <f>+O13-P13</f>
        <v>94</v>
      </c>
      <c r="S13">
        <v>16</v>
      </c>
      <c r="T13" s="3" t="s">
        <v>19</v>
      </c>
      <c r="U13" s="3" t="s">
        <v>38</v>
      </c>
      <c r="V13" s="3" t="s">
        <v>85</v>
      </c>
      <c r="W13" s="9">
        <v>26</v>
      </c>
    </row>
    <row r="14" spans="1:23">
      <c r="A14" t="s">
        <v>17</v>
      </c>
      <c r="B14" s="3">
        <v>6</v>
      </c>
      <c r="C14" s="3">
        <v>5</v>
      </c>
      <c r="D14" s="3">
        <v>0</v>
      </c>
      <c r="E14" s="10">
        <f>+(B14+(0.5*D14))/(B14+C14+D14)</f>
        <v>0.54545454545454541</v>
      </c>
      <c r="F14" s="3">
        <f>216+24</f>
        <v>240</v>
      </c>
      <c r="G14" s="3">
        <f>163+27</f>
        <v>190</v>
      </c>
      <c r="H14" s="3">
        <f>+F14-G14</f>
        <v>50</v>
      </c>
      <c r="J14" t="s">
        <v>32</v>
      </c>
      <c r="K14" s="3">
        <v>6</v>
      </c>
      <c r="L14" s="3">
        <v>5</v>
      </c>
      <c r="M14" s="3">
        <v>0</v>
      </c>
      <c r="N14" s="10">
        <f>+(K14+(0.5*M14))/(K14+L14+M14)</f>
        <v>0.54545454545454541</v>
      </c>
      <c r="O14" s="3">
        <v>219</v>
      </c>
      <c r="P14" s="3">
        <v>198</v>
      </c>
      <c r="Q14" s="3">
        <f>+O14-P14</f>
        <v>21</v>
      </c>
      <c r="S14">
        <v>20</v>
      </c>
      <c r="T14" s="3" t="s">
        <v>22</v>
      </c>
      <c r="U14" s="3" t="s">
        <v>38</v>
      </c>
      <c r="V14" s="3" t="s">
        <v>21</v>
      </c>
      <c r="W14" s="9">
        <v>24</v>
      </c>
    </row>
    <row r="15" spans="1:23">
      <c r="A15" t="s">
        <v>19</v>
      </c>
      <c r="B15" s="3">
        <v>2</v>
      </c>
      <c r="C15" s="3">
        <v>9</v>
      </c>
      <c r="D15" s="3">
        <v>0</v>
      </c>
      <c r="E15" s="10">
        <f>+(B15+(0.5*D15))/(B15+C15+D15)</f>
        <v>0.18181818181818182</v>
      </c>
      <c r="F15" s="3">
        <f>147+16</f>
        <v>163</v>
      </c>
      <c r="G15" s="3">
        <f>285+26</f>
        <v>311</v>
      </c>
      <c r="H15" s="3">
        <f>+F15-G15</f>
        <v>-148</v>
      </c>
      <c r="J15" t="s">
        <v>33</v>
      </c>
      <c r="K15" s="3">
        <v>3</v>
      </c>
      <c r="L15" s="3">
        <v>8</v>
      </c>
      <c r="M15" s="3">
        <v>0</v>
      </c>
      <c r="N15" s="10">
        <f>+(K15+(0.5*M15))/(K15+L15+M15)</f>
        <v>0.27272727272727271</v>
      </c>
      <c r="O15" s="3">
        <f>174+17</f>
        <v>191</v>
      </c>
      <c r="P15" s="3">
        <f>251+13</f>
        <v>264</v>
      </c>
      <c r="Q15" s="3">
        <f>+O15-P15</f>
        <v>-73</v>
      </c>
      <c r="S15">
        <v>34</v>
      </c>
      <c r="T15" s="3" t="s">
        <v>36</v>
      </c>
      <c r="U15" s="3" t="s">
        <v>38</v>
      </c>
      <c r="V15" s="3" t="s">
        <v>37</v>
      </c>
      <c r="W15" s="9">
        <v>19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17</v>
      </c>
      <c r="T16" s="3" t="s">
        <v>32</v>
      </c>
      <c r="U16" s="3" t="s">
        <v>38</v>
      </c>
      <c r="V16" s="3" t="s">
        <v>16</v>
      </c>
      <c r="W16" s="9">
        <v>34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S17">
        <v>7</v>
      </c>
      <c r="T17" s="6" t="s">
        <v>7</v>
      </c>
      <c r="U17" s="3" t="s">
        <v>38</v>
      </c>
      <c r="V17" s="3" t="s">
        <v>5</v>
      </c>
      <c r="W17" s="9">
        <v>28</v>
      </c>
    </row>
    <row r="18" spans="1:23">
      <c r="A18" t="s">
        <v>22</v>
      </c>
      <c r="B18" s="3">
        <v>7</v>
      </c>
      <c r="C18" s="3">
        <v>4</v>
      </c>
      <c r="D18" s="3">
        <v>0</v>
      </c>
      <c r="E18" s="10">
        <f>+(B18+(0.5*D18))/(B18+C18+D18)</f>
        <v>0.63636363636363635</v>
      </c>
      <c r="F18" s="3">
        <v>228</v>
      </c>
      <c r="G18" s="3">
        <f>151+24</f>
        <v>175</v>
      </c>
      <c r="H18" s="3">
        <f>+F18-G18</f>
        <v>53</v>
      </c>
      <c r="J18" t="s">
        <v>34</v>
      </c>
      <c r="K18" s="3">
        <v>7</v>
      </c>
      <c r="L18" s="3">
        <v>4</v>
      </c>
      <c r="M18" s="3">
        <v>0</v>
      </c>
      <c r="N18" s="10">
        <f>+(K18+(0.5*M18))/(K18+L18+M18)</f>
        <v>0.63636363636363635</v>
      </c>
      <c r="O18" s="3">
        <v>249</v>
      </c>
      <c r="P18" s="3">
        <v>212</v>
      </c>
      <c r="Q18" s="3">
        <f>+O18-P18</f>
        <v>37</v>
      </c>
      <c r="S18">
        <v>7</v>
      </c>
      <c r="T18" s="6" t="s">
        <v>29</v>
      </c>
      <c r="U18" s="3" t="s">
        <v>38</v>
      </c>
      <c r="V18" s="3" t="s">
        <v>42</v>
      </c>
      <c r="W18" s="9">
        <v>43</v>
      </c>
    </row>
    <row r="19" spans="1:23">
      <c r="A19" t="s">
        <v>23</v>
      </c>
      <c r="B19" s="3">
        <v>5</v>
      </c>
      <c r="C19" s="3">
        <v>6</v>
      </c>
      <c r="D19" s="3">
        <v>0</v>
      </c>
      <c r="E19" s="10">
        <f>+(B19+(0.5*D19))/(B19+C19+D19)</f>
        <v>0.45454545454545453</v>
      </c>
      <c r="F19" s="3">
        <f>218+54</f>
        <v>272</v>
      </c>
      <c r="G19" s="3">
        <f>186+49</f>
        <v>235</v>
      </c>
      <c r="H19" s="3">
        <f>+F19-G19</f>
        <v>37</v>
      </c>
      <c r="J19" t="s">
        <v>35</v>
      </c>
      <c r="K19" s="3">
        <v>6</v>
      </c>
      <c r="L19" s="3">
        <v>5</v>
      </c>
      <c r="M19" s="3">
        <v>0</v>
      </c>
      <c r="N19" s="10">
        <f>+(K19+(0.5*M19))/(K19+L19+M19)</f>
        <v>0.54545454545454541</v>
      </c>
      <c r="O19" s="3">
        <v>192</v>
      </c>
      <c r="P19" s="3">
        <f>164+54</f>
        <v>218</v>
      </c>
      <c r="Q19" s="3">
        <f>+O19-P19</f>
        <v>-26</v>
      </c>
      <c r="T19" s="3"/>
      <c r="U19" s="3"/>
      <c r="V19" s="3"/>
      <c r="W19" s="9"/>
    </row>
    <row r="20" spans="1:23">
      <c r="A20" t="s">
        <v>21</v>
      </c>
      <c r="B20" s="3">
        <v>5</v>
      </c>
      <c r="C20" s="3">
        <v>6</v>
      </c>
      <c r="D20" s="3">
        <v>0</v>
      </c>
      <c r="E20" s="10">
        <f>+(B20+(0.5*D20))/(B20+C20+D20)</f>
        <v>0.45454545454545453</v>
      </c>
      <c r="F20" s="3">
        <f>216+24</f>
        <v>240</v>
      </c>
      <c r="G20" s="3">
        <f>193+20</f>
        <v>213</v>
      </c>
      <c r="H20" s="3">
        <f>+F20-G20</f>
        <v>27</v>
      </c>
      <c r="J20" t="s">
        <v>36</v>
      </c>
      <c r="K20" s="3">
        <v>6</v>
      </c>
      <c r="L20" s="3">
        <v>5</v>
      </c>
      <c r="M20" s="3">
        <v>0</v>
      </c>
      <c r="N20" s="10">
        <f>+(K20+(0.5*M20))/(K20+L20+M20)</f>
        <v>0.54545454545454541</v>
      </c>
      <c r="O20" s="3">
        <f>181+34</f>
        <v>215</v>
      </c>
      <c r="P20" s="3">
        <f>245+19</f>
        <v>264</v>
      </c>
      <c r="Q20" s="3">
        <f>+O20-P20</f>
        <v>-49</v>
      </c>
      <c r="T20" s="7" t="s">
        <v>83</v>
      </c>
    </row>
    <row r="21" spans="1:23">
      <c r="A21" t="s">
        <v>24</v>
      </c>
      <c r="B21" s="3">
        <v>4</v>
      </c>
      <c r="C21" s="3">
        <v>7</v>
      </c>
      <c r="D21" s="3">
        <v>0</v>
      </c>
      <c r="E21" s="10">
        <f>+(B21+(0.5*D21))/(B21+C21+D21)</f>
        <v>0.36363636363636365</v>
      </c>
      <c r="F21" s="3">
        <f>134+26</f>
        <v>160</v>
      </c>
      <c r="G21" s="3">
        <f>209+16</f>
        <v>225</v>
      </c>
      <c r="H21" s="3">
        <f>+F21-G21</f>
        <v>-65</v>
      </c>
      <c r="J21" t="s">
        <v>37</v>
      </c>
      <c r="K21" s="3">
        <v>1</v>
      </c>
      <c r="L21" s="3">
        <v>10</v>
      </c>
      <c r="M21" s="3">
        <v>0</v>
      </c>
      <c r="N21" s="10">
        <f>+(K21+(0.5*M21))/(K21+L21+M21)</f>
        <v>9.0909090909090912E-2</v>
      </c>
      <c r="O21" s="3">
        <f>77+19</f>
        <v>96</v>
      </c>
      <c r="P21" s="3">
        <f>265+34</f>
        <v>299</v>
      </c>
      <c r="Q21" s="3">
        <f>+O21-P21</f>
        <v>-203</v>
      </c>
      <c r="S21">
        <v>13</v>
      </c>
      <c r="T21" s="3" t="s">
        <v>28</v>
      </c>
      <c r="U21" s="3" t="s">
        <v>84</v>
      </c>
      <c r="V21" s="3" t="s">
        <v>3</v>
      </c>
      <c r="W21" s="9">
        <v>33</v>
      </c>
    </row>
    <row r="24" spans="1:23">
      <c r="B24">
        <f>SUM(B5:B21)</f>
        <v>73</v>
      </c>
      <c r="C24">
        <f>SUM(C5:C21)</f>
        <v>67</v>
      </c>
      <c r="D24">
        <f>SUM(D5:D21)</f>
        <v>3</v>
      </c>
      <c r="F24">
        <f>SUM(F5:F21)</f>
        <v>3044</v>
      </c>
      <c r="G24">
        <f>SUM(G5:G21)</f>
        <v>2883</v>
      </c>
      <c r="K24">
        <f>SUM(K5:K21)</f>
        <v>68</v>
      </c>
      <c r="L24">
        <f>SUM(L5:L21)</f>
        <v>74</v>
      </c>
      <c r="M24">
        <f>SUM(M5:M21)</f>
        <v>1</v>
      </c>
      <c r="O24">
        <f>SUM(O5:O21)</f>
        <v>2580</v>
      </c>
      <c r="P24">
        <f>SUM(P5:P21)</f>
        <v>2741</v>
      </c>
    </row>
    <row r="26" spans="1:23">
      <c r="B26">
        <f>+B24+K24</f>
        <v>141</v>
      </c>
      <c r="C26">
        <f>+C24+L24</f>
        <v>141</v>
      </c>
      <c r="D26">
        <f>+D24+M24</f>
        <v>4</v>
      </c>
      <c r="E26">
        <f>SUM(B26:D26)/2</f>
        <v>143</v>
      </c>
      <c r="F26">
        <f>+F24+O24-G24-P24</f>
        <v>0</v>
      </c>
    </row>
  </sheetData>
  <sortState ref="A5:H9">
    <sortCondition descending="1" ref="E5:E9"/>
    <sortCondition descending="1" ref="H5:H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J1" zoomScale="150" zoomScaleNormal="150" zoomScalePageLayoutView="150" workbookViewId="0">
      <selection activeCell="Z23" sqref="Z23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86</v>
      </c>
    </row>
    <row r="2" spans="1:23">
      <c r="A2" t="s">
        <v>66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87</v>
      </c>
      <c r="U4" s="3"/>
      <c r="V4" s="3"/>
      <c r="W4" s="16"/>
    </row>
    <row r="5" spans="1:23">
      <c r="A5" t="s">
        <v>3</v>
      </c>
      <c r="B5" s="3">
        <v>11</v>
      </c>
      <c r="C5" s="3">
        <v>1</v>
      </c>
      <c r="D5" s="3">
        <v>0</v>
      </c>
      <c r="E5" s="10">
        <f>+(B5+(0.5*D5))/(B5+C5+D5)</f>
        <v>0.91666666666666663</v>
      </c>
      <c r="F5" s="3">
        <f>316+37</f>
        <v>353</v>
      </c>
      <c r="G5" s="3">
        <v>135</v>
      </c>
      <c r="H5" s="3">
        <f>+F5-G5</f>
        <v>218</v>
      </c>
      <c r="J5" t="s">
        <v>4</v>
      </c>
      <c r="K5" s="3">
        <v>9</v>
      </c>
      <c r="L5" s="3">
        <v>3</v>
      </c>
      <c r="M5" s="3">
        <v>0</v>
      </c>
      <c r="N5" s="10">
        <f>+(K5+(0.5*M5))/(K5+L5+M5)</f>
        <v>0.75</v>
      </c>
      <c r="O5" s="3">
        <v>228</v>
      </c>
      <c r="P5" s="3">
        <v>148</v>
      </c>
      <c r="Q5" s="3">
        <f>+O5-P5</f>
        <v>80</v>
      </c>
      <c r="S5">
        <v>6</v>
      </c>
      <c r="T5" s="3" t="s">
        <v>6</v>
      </c>
      <c r="U5" s="3" t="s">
        <v>38</v>
      </c>
      <c r="V5" s="3" t="s">
        <v>5</v>
      </c>
      <c r="W5" s="9">
        <v>13</v>
      </c>
    </row>
    <row r="6" spans="1:23">
      <c r="A6" t="s">
        <v>5</v>
      </c>
      <c r="B6" s="3">
        <v>8</v>
      </c>
      <c r="C6" s="3">
        <v>3</v>
      </c>
      <c r="D6" s="3">
        <v>1</v>
      </c>
      <c r="E6" s="10">
        <f>+(B6+(0.5*D6))/(B6+C6+D6)</f>
        <v>0.70833333333333337</v>
      </c>
      <c r="F6" s="3">
        <v>262</v>
      </c>
      <c r="G6" s="3">
        <v>188</v>
      </c>
      <c r="H6" s="3">
        <f>+F6-G6</f>
        <v>74</v>
      </c>
      <c r="J6" t="s">
        <v>26</v>
      </c>
      <c r="K6" s="3">
        <v>8</v>
      </c>
      <c r="L6" s="3">
        <v>4</v>
      </c>
      <c r="M6" s="3">
        <v>0</v>
      </c>
      <c r="N6" s="10">
        <f>+(K6+(0.5*M6))/(K6+L6+M6)</f>
        <v>0.66666666666666663</v>
      </c>
      <c r="O6" s="3">
        <v>254</v>
      </c>
      <c r="P6" s="3">
        <v>176</v>
      </c>
      <c r="Q6" s="3">
        <f>+O6-P6</f>
        <v>78</v>
      </c>
      <c r="S6">
        <v>3</v>
      </c>
      <c r="T6" s="3" t="s">
        <v>33</v>
      </c>
      <c r="U6" s="3" t="s">
        <v>38</v>
      </c>
      <c r="V6" s="3" t="s">
        <v>32</v>
      </c>
      <c r="W6" s="9">
        <v>18</v>
      </c>
    </row>
    <row r="7" spans="1:23">
      <c r="A7" t="s">
        <v>4</v>
      </c>
      <c r="B7" s="3">
        <v>8</v>
      </c>
      <c r="C7" s="3">
        <v>4</v>
      </c>
      <c r="D7" s="3">
        <v>0</v>
      </c>
      <c r="E7" s="10">
        <f>+(B7+(0.5*D7))/(B7+C7+D7)</f>
        <v>0.66666666666666663</v>
      </c>
      <c r="F7" s="3">
        <v>316</v>
      </c>
      <c r="G7" s="3">
        <v>291</v>
      </c>
      <c r="H7" s="3">
        <f>+F7-G7</f>
        <v>25</v>
      </c>
      <c r="J7" t="s">
        <v>27</v>
      </c>
      <c r="K7" s="3">
        <v>4</v>
      </c>
      <c r="L7" s="3">
        <v>8</v>
      </c>
      <c r="M7" s="3">
        <v>0</v>
      </c>
      <c r="N7" s="10">
        <f>+(K7+(0.5*M7))/(K7+L7+M7)</f>
        <v>0.33333333333333331</v>
      </c>
      <c r="O7" s="3">
        <v>163</v>
      </c>
      <c r="P7" s="3">
        <f>164+27</f>
        <v>191</v>
      </c>
      <c r="Q7" s="3">
        <f>+O7-P7</f>
        <v>-28</v>
      </c>
      <c r="S7">
        <v>6</v>
      </c>
      <c r="T7" s="3" t="s">
        <v>17</v>
      </c>
      <c r="U7" s="3" t="s">
        <v>38</v>
      </c>
      <c r="V7" s="3" t="s">
        <v>16</v>
      </c>
      <c r="W7" s="9">
        <v>26</v>
      </c>
    </row>
    <row r="8" spans="1:23">
      <c r="A8" t="s">
        <v>6</v>
      </c>
      <c r="B8" s="3">
        <v>5</v>
      </c>
      <c r="C8" s="3">
        <v>7</v>
      </c>
      <c r="D8" s="3">
        <v>0</v>
      </c>
      <c r="E8" s="10">
        <f>+(B8+(0.5*D8))/(B8+C8+D8)</f>
        <v>0.41666666666666669</v>
      </c>
      <c r="F8" s="3">
        <v>246</v>
      </c>
      <c r="G8" s="3">
        <v>279</v>
      </c>
      <c r="H8" s="3">
        <f>+F8-G8</f>
        <v>-33</v>
      </c>
      <c r="J8" t="s">
        <v>28</v>
      </c>
      <c r="K8" s="3">
        <v>2</v>
      </c>
      <c r="L8" s="3">
        <v>9</v>
      </c>
      <c r="M8" s="3">
        <v>1</v>
      </c>
      <c r="N8" s="10">
        <f>+(K8+(0.5*M8))/(K8+L8+M8)</f>
        <v>0.20833333333333334</v>
      </c>
      <c r="O8" s="3">
        <v>133</v>
      </c>
      <c r="P8" s="3">
        <v>305</v>
      </c>
      <c r="Q8" s="3">
        <f>+O8-P8</f>
        <v>-172</v>
      </c>
      <c r="S8">
        <v>25</v>
      </c>
      <c r="T8" s="6" t="s">
        <v>27</v>
      </c>
      <c r="U8" s="3" t="s">
        <v>38</v>
      </c>
      <c r="V8" s="3" t="s">
        <v>28</v>
      </c>
      <c r="W8" s="9">
        <v>27</v>
      </c>
    </row>
    <row r="9" spans="1:23">
      <c r="A9" t="s">
        <v>7</v>
      </c>
      <c r="B9" s="3">
        <v>0</v>
      </c>
      <c r="C9" s="3">
        <v>12</v>
      </c>
      <c r="D9" s="3">
        <v>0</v>
      </c>
      <c r="E9" s="10">
        <f>+(B9+(0.5*D9))/(B9+C9+D9)</f>
        <v>0</v>
      </c>
      <c r="F9" s="3">
        <v>170</v>
      </c>
      <c r="G9" s="3">
        <f>357+37</f>
        <v>394</v>
      </c>
      <c r="H9" s="3">
        <f>+F9-G9</f>
        <v>-224</v>
      </c>
      <c r="J9" t="s">
        <v>29</v>
      </c>
      <c r="K9" s="3">
        <v>2</v>
      </c>
      <c r="L9" s="3">
        <v>10</v>
      </c>
      <c r="M9" s="3">
        <v>0</v>
      </c>
      <c r="N9" s="10">
        <f>+(K9+(0.5*M9))/(K9+L9+M9)</f>
        <v>0.16666666666666666</v>
      </c>
      <c r="O9" s="3">
        <v>186</v>
      </c>
      <c r="P9" s="3">
        <v>254</v>
      </c>
      <c r="Q9" s="3">
        <f>+O9-P9</f>
        <v>-68</v>
      </c>
      <c r="S9">
        <v>23</v>
      </c>
      <c r="T9" s="3" t="s">
        <v>23</v>
      </c>
      <c r="U9" s="3" t="s">
        <v>38</v>
      </c>
      <c r="V9" s="3" t="s">
        <v>22</v>
      </c>
      <c r="W9" s="9">
        <v>11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13</v>
      </c>
      <c r="T10" s="6" t="s">
        <v>31</v>
      </c>
      <c r="U10" s="3" t="s">
        <v>38</v>
      </c>
      <c r="V10" s="3" t="s">
        <v>30</v>
      </c>
      <c r="W10" s="9">
        <v>27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13</v>
      </c>
      <c r="T11" s="3" t="s">
        <v>19</v>
      </c>
      <c r="U11" s="3" t="s">
        <v>38</v>
      </c>
      <c r="V11" s="3" t="s">
        <v>35</v>
      </c>
      <c r="W11" s="9">
        <v>27</v>
      </c>
    </row>
    <row r="12" spans="1:23">
      <c r="A12" t="s">
        <v>16</v>
      </c>
      <c r="B12" s="3">
        <v>10</v>
      </c>
      <c r="C12" s="3">
        <v>1</v>
      </c>
      <c r="D12" s="3">
        <v>1</v>
      </c>
      <c r="E12" s="10">
        <f>+(B12+(0.5*D12))/(B12+C12+D12)</f>
        <v>0.875</v>
      </c>
      <c r="F12" s="3">
        <f>279+26</f>
        <v>305</v>
      </c>
      <c r="G12" s="3">
        <v>165</v>
      </c>
      <c r="H12" s="3">
        <f>+F12-G12</f>
        <v>140</v>
      </c>
      <c r="J12" t="s">
        <v>30</v>
      </c>
      <c r="K12" s="3">
        <v>10</v>
      </c>
      <c r="L12" s="3">
        <v>2</v>
      </c>
      <c r="M12" s="3">
        <v>0</v>
      </c>
      <c r="N12" s="10">
        <f>+(K12+(0.5*M12))/(K12+L12+M12)</f>
        <v>0.83333333333333337</v>
      </c>
      <c r="O12" s="3">
        <v>327</v>
      </c>
      <c r="P12" s="3">
        <v>147</v>
      </c>
      <c r="Q12" s="3">
        <f>+O12-P12</f>
        <v>180</v>
      </c>
      <c r="S12">
        <v>37</v>
      </c>
      <c r="T12" s="3" t="s">
        <v>3</v>
      </c>
      <c r="U12" s="3" t="s">
        <v>38</v>
      </c>
      <c r="V12" s="3" t="s">
        <v>7</v>
      </c>
      <c r="W12" s="9">
        <v>14</v>
      </c>
    </row>
    <row r="13" spans="1:23">
      <c r="A13" t="s">
        <v>18</v>
      </c>
      <c r="B13" s="3">
        <v>6</v>
      </c>
      <c r="C13" s="3">
        <v>5</v>
      </c>
      <c r="D13" s="3">
        <v>1</v>
      </c>
      <c r="E13" s="10">
        <f>+(B13+(0.5*D13))/(B13+C13+D13)</f>
        <v>0.54166666666666663</v>
      </c>
      <c r="F13" s="3">
        <v>230</v>
      </c>
      <c r="G13" s="3">
        <f>179+27</f>
        <v>206</v>
      </c>
      <c r="H13" s="3">
        <f>+F13-G13</f>
        <v>24</v>
      </c>
      <c r="J13" t="s">
        <v>31</v>
      </c>
      <c r="K13" s="3">
        <v>8</v>
      </c>
      <c r="L13" s="3">
        <v>4</v>
      </c>
      <c r="M13" s="3">
        <v>0</v>
      </c>
      <c r="N13" s="10">
        <f>+(K13+(0.5*M13))/(K13+L13+M13)</f>
        <v>0.66666666666666663</v>
      </c>
      <c r="O13" s="3">
        <v>287</v>
      </c>
      <c r="P13" s="3">
        <v>207</v>
      </c>
      <c r="Q13" s="3">
        <f>+O13-P13</f>
        <v>80</v>
      </c>
      <c r="S13">
        <v>21</v>
      </c>
      <c r="T13" s="3" t="s">
        <v>37</v>
      </c>
      <c r="U13" s="3" t="s">
        <v>38</v>
      </c>
      <c r="V13" s="3" t="s">
        <v>41</v>
      </c>
      <c r="W13" s="9">
        <v>36</v>
      </c>
    </row>
    <row r="14" spans="1:23">
      <c r="A14" t="s">
        <v>17</v>
      </c>
      <c r="B14" s="3">
        <v>6</v>
      </c>
      <c r="C14" s="3">
        <v>6</v>
      </c>
      <c r="D14" s="3">
        <v>0</v>
      </c>
      <c r="E14" s="10">
        <f>+(B14+(0.5*D14))/(B14+C14+D14)</f>
        <v>0.5</v>
      </c>
      <c r="F14" s="3">
        <v>246</v>
      </c>
      <c r="G14" s="3">
        <f>190+26</f>
        <v>216</v>
      </c>
      <c r="H14" s="3">
        <f>+F14-G14</f>
        <v>30</v>
      </c>
      <c r="J14" t="s">
        <v>32</v>
      </c>
      <c r="K14" s="3">
        <v>7</v>
      </c>
      <c r="L14" s="3">
        <v>5</v>
      </c>
      <c r="M14" s="3">
        <v>0</v>
      </c>
      <c r="N14" s="10">
        <f>+(K14+(0.5*M14))/(K14+L14+M14)</f>
        <v>0.58333333333333337</v>
      </c>
      <c r="O14" s="3">
        <v>237</v>
      </c>
      <c r="P14" s="3">
        <v>201</v>
      </c>
      <c r="Q14" s="3">
        <f>+O14-P14</f>
        <v>36</v>
      </c>
      <c r="S14">
        <v>27</v>
      </c>
      <c r="T14" s="3" t="s">
        <v>42</v>
      </c>
      <c r="U14" s="3" t="s">
        <v>38</v>
      </c>
      <c r="V14" s="3" t="s">
        <v>18</v>
      </c>
      <c r="W14" s="9">
        <v>9</v>
      </c>
    </row>
    <row r="15" spans="1:23">
      <c r="A15" t="s">
        <v>19</v>
      </c>
      <c r="B15" s="3">
        <v>2</v>
      </c>
      <c r="C15" s="3">
        <v>10</v>
      </c>
      <c r="D15" s="3">
        <v>0</v>
      </c>
      <c r="E15" s="10">
        <f>+(B15+(0.5*D15))/(B15+C15+D15)</f>
        <v>0.16666666666666666</v>
      </c>
      <c r="F15" s="3">
        <v>176</v>
      </c>
      <c r="G15" s="3">
        <v>338</v>
      </c>
      <c r="H15" s="3">
        <f>+F15-G15</f>
        <v>-162</v>
      </c>
      <c r="J15" t="s">
        <v>33</v>
      </c>
      <c r="K15" s="3">
        <v>3</v>
      </c>
      <c r="L15" s="3">
        <v>9</v>
      </c>
      <c r="M15" s="3">
        <v>0</v>
      </c>
      <c r="N15" s="10">
        <f>+(K15+(0.5*M15))/(K15+L15+M15)</f>
        <v>0.25</v>
      </c>
      <c r="O15" s="3">
        <v>194</v>
      </c>
      <c r="P15" s="3">
        <v>282</v>
      </c>
      <c r="Q15" s="3">
        <f>+O15-P15</f>
        <v>-88</v>
      </c>
      <c r="S15">
        <v>23</v>
      </c>
      <c r="T15" s="3" t="s">
        <v>21</v>
      </c>
      <c r="U15" s="3" t="s">
        <v>38</v>
      </c>
      <c r="V15" s="3" t="s">
        <v>24</v>
      </c>
      <c r="W15" s="9">
        <v>27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21</v>
      </c>
      <c r="T16" s="6" t="s">
        <v>26</v>
      </c>
      <c r="U16" s="3" t="s">
        <v>38</v>
      </c>
      <c r="V16" s="3" t="s">
        <v>29</v>
      </c>
      <c r="W16" s="9">
        <v>20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6"/>
      <c r="U17" s="3"/>
      <c r="V17" s="3"/>
      <c r="W17" s="9"/>
    </row>
    <row r="18" spans="1:23">
      <c r="A18" t="s">
        <v>22</v>
      </c>
      <c r="B18" s="3">
        <v>7</v>
      </c>
      <c r="C18" s="3">
        <v>5</v>
      </c>
      <c r="D18" s="3">
        <v>0</v>
      </c>
      <c r="E18" s="10">
        <f>+(B18+(0.5*D18))/(B18+C18+D18)</f>
        <v>0.58333333333333337</v>
      </c>
      <c r="F18" s="3">
        <v>239</v>
      </c>
      <c r="G18" s="3">
        <v>198</v>
      </c>
      <c r="H18" s="3">
        <f>+F18-G18</f>
        <v>41</v>
      </c>
      <c r="J18" t="s">
        <v>34</v>
      </c>
      <c r="K18" s="3">
        <v>7</v>
      </c>
      <c r="L18" s="3">
        <v>5</v>
      </c>
      <c r="M18" s="3">
        <v>0</v>
      </c>
      <c r="N18" s="10">
        <f>+(K18+(0.5*M18))/(K18+L18+M18)</f>
        <v>0.58333333333333337</v>
      </c>
      <c r="O18" s="3">
        <f>249+17</f>
        <v>266</v>
      </c>
      <c r="P18" s="3">
        <f>212+23</f>
        <v>235</v>
      </c>
      <c r="Q18" s="3">
        <f>+O18-P18</f>
        <v>31</v>
      </c>
      <c r="T18" s="7" t="s">
        <v>88</v>
      </c>
    </row>
    <row r="19" spans="1:23">
      <c r="A19" t="s">
        <v>23</v>
      </c>
      <c r="B19" s="3">
        <v>6</v>
      </c>
      <c r="C19" s="3">
        <v>6</v>
      </c>
      <c r="D19" s="3">
        <v>0</v>
      </c>
      <c r="E19" s="10">
        <f>+(B19+(0.5*D19))/(B19+C19+D19)</f>
        <v>0.5</v>
      </c>
      <c r="F19" s="3">
        <v>295</v>
      </c>
      <c r="G19" s="3">
        <v>246</v>
      </c>
      <c r="H19" s="3">
        <f>+F19-G19</f>
        <v>49</v>
      </c>
      <c r="J19" t="s">
        <v>35</v>
      </c>
      <c r="K19" s="3">
        <v>7</v>
      </c>
      <c r="L19" s="3">
        <v>5</v>
      </c>
      <c r="M19" s="3">
        <v>0</v>
      </c>
      <c r="N19" s="10">
        <f>+(K19+(0.5*M19))/(K19+L19+M19)</f>
        <v>0.58333333333333337</v>
      </c>
      <c r="O19" s="3">
        <f>192+27</f>
        <v>219</v>
      </c>
      <c r="P19" s="3">
        <v>231</v>
      </c>
      <c r="Q19" s="3">
        <f>+O19-P19</f>
        <v>-12</v>
      </c>
      <c r="S19">
        <v>23</v>
      </c>
      <c r="T19" s="3" t="s">
        <v>36</v>
      </c>
      <c r="U19" s="3" t="s">
        <v>84</v>
      </c>
      <c r="V19" s="3" t="s">
        <v>34</v>
      </c>
      <c r="W19" s="9">
        <v>17</v>
      </c>
    </row>
    <row r="20" spans="1:23">
      <c r="A20" t="s">
        <v>21</v>
      </c>
      <c r="B20" s="3">
        <v>5</v>
      </c>
      <c r="C20" s="3">
        <v>7</v>
      </c>
      <c r="D20" s="3">
        <v>0</v>
      </c>
      <c r="E20" s="10">
        <f>+(B20+(0.5*D20))/(B20+C20+D20)</f>
        <v>0.41666666666666669</v>
      </c>
      <c r="F20" s="3">
        <v>263</v>
      </c>
      <c r="G20" s="3">
        <v>240</v>
      </c>
      <c r="H20" s="3">
        <f>+F20-G20</f>
        <v>23</v>
      </c>
      <c r="J20" t="s">
        <v>36</v>
      </c>
      <c r="K20" s="3">
        <v>7</v>
      </c>
      <c r="L20" s="3">
        <v>5</v>
      </c>
      <c r="M20" s="3">
        <v>0</v>
      </c>
      <c r="N20" s="10">
        <f>+(K20+(0.5*M20))/(K20+L20+M20)</f>
        <v>0.58333333333333337</v>
      </c>
      <c r="O20" s="3">
        <v>238</v>
      </c>
      <c r="P20" s="3">
        <v>281</v>
      </c>
      <c r="Q20" s="3">
        <f>+O20-P20</f>
        <v>-43</v>
      </c>
      <c r="T20" s="7"/>
    </row>
    <row r="21" spans="1:23">
      <c r="A21" t="s">
        <v>24</v>
      </c>
      <c r="B21" s="3">
        <v>5</v>
      </c>
      <c r="C21" s="3">
        <v>7</v>
      </c>
      <c r="D21" s="3">
        <v>0</v>
      </c>
      <c r="E21" s="10">
        <f>+(B21+(0.5*D21))/(B21+C21+D21)</f>
        <v>0.41666666666666669</v>
      </c>
      <c r="F21" s="3">
        <v>187</v>
      </c>
      <c r="G21" s="3">
        <v>248</v>
      </c>
      <c r="H21" s="3">
        <f>+F21-G21</f>
        <v>-61</v>
      </c>
      <c r="J21" t="s">
        <v>37</v>
      </c>
      <c r="K21" s="3">
        <v>1</v>
      </c>
      <c r="L21" s="3">
        <v>11</v>
      </c>
      <c r="M21" s="3">
        <v>0</v>
      </c>
      <c r="N21" s="10">
        <f>+(K21+(0.5*M21))/(K21+L21+M21)</f>
        <v>8.3333333333333329E-2</v>
      </c>
      <c r="O21" s="3">
        <f>96+21</f>
        <v>117</v>
      </c>
      <c r="P21" s="3">
        <f>299+36</f>
        <v>335</v>
      </c>
      <c r="Q21" s="3">
        <f>+O21-P21</f>
        <v>-218</v>
      </c>
      <c r="T21" s="3"/>
      <c r="U21" s="3"/>
      <c r="V21" s="3"/>
      <c r="W21" s="9"/>
    </row>
    <row r="24" spans="1:23">
      <c r="B24">
        <f>SUM(B5:B21)</f>
        <v>79</v>
      </c>
      <c r="C24">
        <f>SUM(C5:C21)</f>
        <v>74</v>
      </c>
      <c r="D24">
        <f>SUM(D5:D21)</f>
        <v>3</v>
      </c>
      <c r="F24">
        <f>SUM(F5:F21)</f>
        <v>3288</v>
      </c>
      <c r="G24">
        <f>SUM(G5:G21)</f>
        <v>3144</v>
      </c>
      <c r="K24">
        <f>SUM(K5:K21)</f>
        <v>75</v>
      </c>
      <c r="L24">
        <f>SUM(L5:L21)</f>
        <v>80</v>
      </c>
      <c r="M24">
        <f>SUM(M5:M21)</f>
        <v>1</v>
      </c>
      <c r="O24">
        <f>SUM(O5:O21)</f>
        <v>2849</v>
      </c>
      <c r="P24">
        <f>SUM(P5:P21)</f>
        <v>2993</v>
      </c>
    </row>
    <row r="26" spans="1:23">
      <c r="B26">
        <f>+B24+K24</f>
        <v>154</v>
      </c>
      <c r="C26">
        <f>+C24+L24</f>
        <v>154</v>
      </c>
      <c r="D26">
        <f>+D24+M24</f>
        <v>4</v>
      </c>
      <c r="E26">
        <f>SUM(B26:D26)/2</f>
        <v>156</v>
      </c>
      <c r="F26">
        <f>+F24+O24-G24-P24</f>
        <v>0</v>
      </c>
    </row>
  </sheetData>
  <sortState ref="J5:Q9">
    <sortCondition descending="1" ref="N5:N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150" zoomScaleNormal="150" zoomScalePageLayoutView="150" workbookViewId="0">
      <selection activeCell="T24" sqref="T24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9" max="9" width="1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18" max="18" width="2.1640625" customWidth="1"/>
    <col min="19" max="19" width="3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89</v>
      </c>
    </row>
    <row r="2" spans="1:23">
      <c r="A2" t="s">
        <v>66</v>
      </c>
    </row>
    <row r="3" spans="1:23">
      <c r="A3" s="1" t="s">
        <v>1</v>
      </c>
      <c r="J3" s="1" t="s">
        <v>25</v>
      </c>
      <c r="S3" s="24" t="s">
        <v>40</v>
      </c>
      <c r="T3" s="24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92</v>
      </c>
      <c r="U4" s="3"/>
      <c r="V4" s="3"/>
      <c r="W4" s="17"/>
    </row>
    <row r="5" spans="1:23">
      <c r="A5" t="s">
        <v>95</v>
      </c>
      <c r="B5" s="3">
        <v>11</v>
      </c>
      <c r="C5" s="3">
        <v>1</v>
      </c>
      <c r="D5" s="3">
        <v>1</v>
      </c>
      <c r="E5" s="10">
        <f>+(B5+(0.5*D5))/(B5+C5+D5)</f>
        <v>0.88461538461538458</v>
      </c>
      <c r="F5" s="3">
        <v>376</v>
      </c>
      <c r="G5" s="3">
        <v>158</v>
      </c>
      <c r="H5" s="3">
        <f>+F5-G5</f>
        <v>218</v>
      </c>
      <c r="I5" s="18"/>
      <c r="J5" t="s">
        <v>4</v>
      </c>
      <c r="K5" s="3">
        <v>9</v>
      </c>
      <c r="L5" s="3">
        <v>3</v>
      </c>
      <c r="M5" s="3">
        <v>1</v>
      </c>
      <c r="N5" s="10">
        <f>+(K5+(0.5*M5))/(K5+L5+M5)</f>
        <v>0.73076923076923073</v>
      </c>
      <c r="O5" s="3">
        <v>251</v>
      </c>
      <c r="P5" s="3">
        <v>171</v>
      </c>
      <c r="Q5" s="3">
        <f>+O5-P5</f>
        <v>80</v>
      </c>
      <c r="S5">
        <v>10</v>
      </c>
      <c r="T5" s="3" t="s">
        <v>17</v>
      </c>
      <c r="U5" s="3" t="s">
        <v>38</v>
      </c>
      <c r="V5" s="3" t="s">
        <v>18</v>
      </c>
      <c r="W5" s="9">
        <v>27</v>
      </c>
    </row>
    <row r="6" spans="1:23">
      <c r="A6" t="s">
        <v>4</v>
      </c>
      <c r="B6" s="3">
        <v>9</v>
      </c>
      <c r="C6" s="3">
        <v>4</v>
      </c>
      <c r="D6" s="3">
        <v>0</v>
      </c>
      <c r="E6" s="10">
        <f>+(B6+(0.5*D6))/(B6+C6+D6)</f>
        <v>0.69230769230769229</v>
      </c>
      <c r="F6" s="3">
        <v>357</v>
      </c>
      <c r="G6" s="3">
        <f>291+38</f>
        <v>329</v>
      </c>
      <c r="H6" s="3">
        <f>+F6-G6</f>
        <v>28</v>
      </c>
      <c r="I6" s="18"/>
      <c r="J6" t="s">
        <v>26</v>
      </c>
      <c r="K6" s="3">
        <v>9</v>
      </c>
      <c r="L6" s="3">
        <v>4</v>
      </c>
      <c r="M6" s="3">
        <v>0</v>
      </c>
      <c r="N6" s="10">
        <f>+(K6+(0.5*M6))/(K6+L6+M6)</f>
        <v>0.69230769230769229</v>
      </c>
      <c r="O6" s="3">
        <v>264</v>
      </c>
      <c r="P6" s="3">
        <v>182</v>
      </c>
      <c r="Q6" s="3">
        <f>+O6-P6</f>
        <v>82</v>
      </c>
      <c r="S6">
        <v>10</v>
      </c>
      <c r="T6" s="3" t="s">
        <v>26</v>
      </c>
      <c r="U6" s="3" t="s">
        <v>38</v>
      </c>
      <c r="V6" s="3" t="s">
        <v>27</v>
      </c>
      <c r="W6" s="9">
        <v>6</v>
      </c>
    </row>
    <row r="7" spans="1:23">
      <c r="A7" t="s">
        <v>5</v>
      </c>
      <c r="B7" s="3">
        <v>8</v>
      </c>
      <c r="C7" s="3">
        <v>4</v>
      </c>
      <c r="D7" s="3">
        <v>1</v>
      </c>
      <c r="E7" s="10">
        <f>+(B7+(0.5*D7))/(B7+C7+D7)</f>
        <v>0.65384615384615385</v>
      </c>
      <c r="F7" s="3">
        <v>276</v>
      </c>
      <c r="G7" s="3">
        <f>188+26</f>
        <v>214</v>
      </c>
      <c r="H7" s="3">
        <f>+F7-G7</f>
        <v>62</v>
      </c>
      <c r="I7" s="18"/>
      <c r="J7" t="s">
        <v>27</v>
      </c>
      <c r="K7" s="3">
        <v>4</v>
      </c>
      <c r="L7" s="3">
        <v>9</v>
      </c>
      <c r="M7" s="3">
        <v>0</v>
      </c>
      <c r="N7" s="10">
        <f>+(K7+(0.5*M7))/(K7+L7+M7)</f>
        <v>0.30769230769230771</v>
      </c>
      <c r="O7" s="3">
        <v>169</v>
      </c>
      <c r="P7" s="3">
        <v>201</v>
      </c>
      <c r="Q7" s="3">
        <f>+O7-P7</f>
        <v>-32</v>
      </c>
      <c r="T7" s="3"/>
      <c r="U7" s="3"/>
      <c r="V7" s="3"/>
      <c r="W7" s="9"/>
    </row>
    <row r="8" spans="1:23">
      <c r="A8" t="s">
        <v>6</v>
      </c>
      <c r="B8" s="3">
        <v>5</v>
      </c>
      <c r="C8" s="3">
        <v>8</v>
      </c>
      <c r="D8" s="3">
        <v>0</v>
      </c>
      <c r="E8" s="10">
        <f>+(B8+(0.5*D8))/(B8+C8+D8)</f>
        <v>0.38461538461538464</v>
      </c>
      <c r="F8" s="3">
        <v>252</v>
      </c>
      <c r="G8" s="3">
        <v>299</v>
      </c>
      <c r="H8" s="3">
        <f>+F8-G8</f>
        <v>-47</v>
      </c>
      <c r="I8" s="18"/>
      <c r="J8" t="s">
        <v>28</v>
      </c>
      <c r="K8" s="3">
        <v>3</v>
      </c>
      <c r="L8" s="3">
        <v>9</v>
      </c>
      <c r="M8" s="3">
        <v>1</v>
      </c>
      <c r="N8" s="10">
        <f>+(K8+(0.5*M8))/(K8+L8+M8)</f>
        <v>0.26923076923076922</v>
      </c>
      <c r="O8" s="3">
        <v>154</v>
      </c>
      <c r="P8" s="3">
        <v>314</v>
      </c>
      <c r="Q8" s="3">
        <f>+O8-P8</f>
        <v>-160</v>
      </c>
      <c r="T8" s="7" t="s">
        <v>90</v>
      </c>
      <c r="U8" s="3"/>
      <c r="V8" s="3"/>
      <c r="W8" s="9"/>
    </row>
    <row r="9" spans="1:23">
      <c r="A9" t="s">
        <v>7</v>
      </c>
      <c r="B9" s="3">
        <v>0</v>
      </c>
      <c r="C9" s="3">
        <v>13</v>
      </c>
      <c r="D9" s="3">
        <v>0</v>
      </c>
      <c r="E9" s="10">
        <f>+(B9+(0.5*D9))/(B9+C9+D9)</f>
        <v>0</v>
      </c>
      <c r="F9" s="3">
        <v>177</v>
      </c>
      <c r="G9" s="3">
        <f>394+33</f>
        <v>427</v>
      </c>
      <c r="H9" s="3">
        <f>+F9-G9</f>
        <v>-250</v>
      </c>
      <c r="I9" s="18"/>
      <c r="J9" t="s">
        <v>29</v>
      </c>
      <c r="K9" s="3">
        <v>2</v>
      </c>
      <c r="L9" s="3">
        <v>11</v>
      </c>
      <c r="M9" s="3">
        <v>0</v>
      </c>
      <c r="N9" s="10">
        <f>+(K9+(0.5*M9))/(K9+L9+M9)</f>
        <v>0.15384615384615385</v>
      </c>
      <c r="O9" s="3">
        <f>186+33</f>
        <v>219</v>
      </c>
      <c r="P9" s="3">
        <f>254+37</f>
        <v>291</v>
      </c>
      <c r="Q9" s="3">
        <f>+O9-P9</f>
        <v>-72</v>
      </c>
      <c r="S9">
        <v>10</v>
      </c>
      <c r="T9" s="3" t="s">
        <v>35</v>
      </c>
      <c r="U9" s="3" t="s">
        <v>38</v>
      </c>
      <c r="V9" s="3" t="s">
        <v>34</v>
      </c>
      <c r="W9" s="9">
        <v>9</v>
      </c>
    </row>
    <row r="10" spans="1:23">
      <c r="B10" s="3"/>
      <c r="C10" s="3"/>
      <c r="D10" s="3"/>
      <c r="E10" s="3"/>
      <c r="F10" s="3"/>
      <c r="G10" s="3"/>
      <c r="H10" s="3"/>
      <c r="I10" s="18"/>
      <c r="K10" s="3"/>
      <c r="L10" s="3"/>
      <c r="M10" s="3"/>
      <c r="N10" s="3"/>
      <c r="O10" s="3"/>
      <c r="P10" s="3"/>
      <c r="Q10" s="3"/>
      <c r="S10">
        <v>14</v>
      </c>
      <c r="T10" s="6" t="s">
        <v>5</v>
      </c>
      <c r="U10" s="3" t="s">
        <v>38</v>
      </c>
      <c r="V10" s="3" t="s">
        <v>22</v>
      </c>
      <c r="W10" s="9">
        <v>26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18"/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37</v>
      </c>
      <c r="T11" s="3" t="s">
        <v>33</v>
      </c>
      <c r="U11" s="3" t="s">
        <v>38</v>
      </c>
      <c r="V11" s="3" t="s">
        <v>29</v>
      </c>
      <c r="W11" s="9">
        <v>33</v>
      </c>
    </row>
    <row r="12" spans="1:23">
      <c r="A12" t="s">
        <v>93</v>
      </c>
      <c r="B12" s="3">
        <v>11</v>
      </c>
      <c r="C12" s="3">
        <v>1</v>
      </c>
      <c r="D12" s="3">
        <v>1</v>
      </c>
      <c r="E12" s="10">
        <f>+(B12+(0.5*D12))/(B12+C12+D12)</f>
        <v>0.88461538461538458</v>
      </c>
      <c r="F12" s="3">
        <v>329</v>
      </c>
      <c r="G12" s="3">
        <v>171</v>
      </c>
      <c r="H12" s="3">
        <f>+F12-G12</f>
        <v>158</v>
      </c>
      <c r="I12" s="18"/>
      <c r="J12" t="s">
        <v>96</v>
      </c>
      <c r="K12" s="3">
        <v>10</v>
      </c>
      <c r="L12" s="3">
        <v>3</v>
      </c>
      <c r="M12" s="3">
        <v>0</v>
      </c>
      <c r="N12" s="10">
        <f>+(K12+(0.5*M12))/(K12+L12+M12)</f>
        <v>0.76923076923076927</v>
      </c>
      <c r="O12" s="3">
        <v>336</v>
      </c>
      <c r="P12" s="3">
        <v>166</v>
      </c>
      <c r="Q12" s="3">
        <f>+O12-P12</f>
        <v>170</v>
      </c>
      <c r="S12">
        <v>20</v>
      </c>
      <c r="T12" s="3" t="s">
        <v>31</v>
      </c>
      <c r="U12" s="3" t="s">
        <v>38</v>
      </c>
      <c r="V12" s="3" t="s">
        <v>6</v>
      </c>
      <c r="W12" s="9">
        <v>6</v>
      </c>
    </row>
    <row r="13" spans="1:23">
      <c r="A13" t="s">
        <v>18</v>
      </c>
      <c r="B13" s="3">
        <v>7</v>
      </c>
      <c r="C13" s="3">
        <v>5</v>
      </c>
      <c r="D13" s="3">
        <v>1</v>
      </c>
      <c r="E13" s="10">
        <f>+(B13+(0.5*D13))/(B13+C13+D13)</f>
        <v>0.57692307692307687</v>
      </c>
      <c r="F13" s="3">
        <v>257</v>
      </c>
      <c r="G13" s="3">
        <v>216</v>
      </c>
      <c r="H13" s="3">
        <f>+F13-G13</f>
        <v>41</v>
      </c>
      <c r="I13" s="18"/>
      <c r="J13" t="s">
        <v>31</v>
      </c>
      <c r="K13" s="3">
        <v>9</v>
      </c>
      <c r="L13" s="3">
        <v>4</v>
      </c>
      <c r="M13" s="3">
        <v>0</v>
      </c>
      <c r="N13" s="10">
        <f>+(K13+(0.5*M13))/(K13+L13+M13)</f>
        <v>0.69230769230769229</v>
      </c>
      <c r="O13" s="3">
        <v>307</v>
      </c>
      <c r="P13" s="3">
        <v>213</v>
      </c>
      <c r="Q13" s="3">
        <f>+O13-P13</f>
        <v>94</v>
      </c>
      <c r="S13">
        <v>9</v>
      </c>
      <c r="T13" s="3" t="s">
        <v>30</v>
      </c>
      <c r="U13" s="3" t="s">
        <v>38</v>
      </c>
      <c r="V13" s="3" t="s">
        <v>32</v>
      </c>
      <c r="W13" s="9">
        <v>19</v>
      </c>
    </row>
    <row r="14" spans="1:23">
      <c r="A14" t="s">
        <v>17</v>
      </c>
      <c r="B14" s="3">
        <v>6</v>
      </c>
      <c r="C14" s="3">
        <v>7</v>
      </c>
      <c r="D14" s="3">
        <v>0</v>
      </c>
      <c r="E14" s="10">
        <f>+(B14+(0.5*D14))/(B14+C14+D14)</f>
        <v>0.46153846153846156</v>
      </c>
      <c r="F14" s="3">
        <v>256</v>
      </c>
      <c r="G14" s="3">
        <f>216+27</f>
        <v>243</v>
      </c>
      <c r="H14" s="3">
        <f>+F14-G14</f>
        <v>13</v>
      </c>
      <c r="I14" s="18"/>
      <c r="J14" t="s">
        <v>32</v>
      </c>
      <c r="K14" s="3">
        <v>8</v>
      </c>
      <c r="L14" s="3">
        <v>5</v>
      </c>
      <c r="M14" s="3">
        <v>0</v>
      </c>
      <c r="N14" s="10">
        <f>+(K14+(0.5*M14))/(K14+L14+M14)</f>
        <v>0.61538461538461542</v>
      </c>
      <c r="O14" s="3">
        <v>256</v>
      </c>
      <c r="P14" s="3">
        <v>210</v>
      </c>
      <c r="Q14" s="3">
        <f>+O14-P14</f>
        <v>46</v>
      </c>
      <c r="S14">
        <v>9</v>
      </c>
      <c r="T14" s="3" t="s">
        <v>36</v>
      </c>
      <c r="U14" s="3" t="s">
        <v>38</v>
      </c>
      <c r="V14" s="3" t="s">
        <v>28</v>
      </c>
      <c r="W14" s="9">
        <v>21</v>
      </c>
    </row>
    <row r="15" spans="1:23">
      <c r="A15" t="s">
        <v>19</v>
      </c>
      <c r="B15" s="3">
        <v>2</v>
      </c>
      <c r="C15" s="3">
        <v>11</v>
      </c>
      <c r="D15" s="3">
        <v>0</v>
      </c>
      <c r="E15" s="10">
        <f>+(B15+(0.5*D15))/(B15+C15+D15)</f>
        <v>0.15384615384615385</v>
      </c>
      <c r="F15" s="3">
        <v>182</v>
      </c>
      <c r="G15" s="3">
        <f>338+24</f>
        <v>362</v>
      </c>
      <c r="H15" s="3">
        <f>+F15-G15</f>
        <v>-180</v>
      </c>
      <c r="I15" s="18"/>
      <c r="J15" t="s">
        <v>33</v>
      </c>
      <c r="K15" s="3">
        <v>4</v>
      </c>
      <c r="L15" s="3">
        <v>9</v>
      </c>
      <c r="M15" s="3">
        <v>0</v>
      </c>
      <c r="N15" s="10">
        <f>+(K15+(0.5*M15))/(K15+L15+M15)</f>
        <v>0.30769230769230771</v>
      </c>
      <c r="O15" s="3">
        <f>194+37</f>
        <v>231</v>
      </c>
      <c r="P15" s="3">
        <f>282+33</f>
        <v>315</v>
      </c>
      <c r="Q15" s="3">
        <f>+O15-P15</f>
        <v>-84</v>
      </c>
      <c r="S15">
        <v>23</v>
      </c>
      <c r="T15" s="3" t="s">
        <v>3</v>
      </c>
      <c r="U15" s="3" t="s">
        <v>38</v>
      </c>
      <c r="V15" s="3" t="s">
        <v>42</v>
      </c>
      <c r="W15" s="9">
        <v>23</v>
      </c>
    </row>
    <row r="16" spans="1:23">
      <c r="B16" s="3"/>
      <c r="C16" s="3"/>
      <c r="D16" s="3"/>
      <c r="E16" s="3"/>
      <c r="F16" s="3"/>
      <c r="G16" s="3"/>
      <c r="H16" s="3"/>
      <c r="I16" s="18"/>
      <c r="K16" s="3"/>
      <c r="L16" s="3"/>
      <c r="M16" s="3"/>
      <c r="N16" s="3"/>
      <c r="O16" s="3"/>
      <c r="P16" s="3"/>
      <c r="Q16" s="3"/>
      <c r="S16">
        <v>7</v>
      </c>
      <c r="T16" s="6" t="s">
        <v>7</v>
      </c>
      <c r="U16" s="3" t="s">
        <v>38</v>
      </c>
      <c r="V16" s="3" t="s">
        <v>37</v>
      </c>
      <c r="W16" s="9">
        <v>33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I17" s="18"/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S17">
        <v>24</v>
      </c>
      <c r="T17" s="6" t="s">
        <v>16</v>
      </c>
      <c r="U17" s="3" t="s">
        <v>38</v>
      </c>
      <c r="V17" s="3" t="s">
        <v>19</v>
      </c>
      <c r="W17" s="9">
        <v>6</v>
      </c>
    </row>
    <row r="18" spans="1:23">
      <c r="A18" t="s">
        <v>94</v>
      </c>
      <c r="B18" s="3">
        <v>8</v>
      </c>
      <c r="C18" s="3">
        <v>5</v>
      </c>
      <c r="D18" s="3">
        <v>0</v>
      </c>
      <c r="E18" s="10">
        <f>+(B18+(0.5*D18))/(B18+C18+D18)</f>
        <v>0.61538461538461542</v>
      </c>
      <c r="F18" s="3">
        <f>239+26</f>
        <v>265</v>
      </c>
      <c r="G18" s="3">
        <v>212</v>
      </c>
      <c r="H18" s="3">
        <f>+F18-G18</f>
        <v>53</v>
      </c>
      <c r="I18" s="18"/>
      <c r="J18" t="s">
        <v>35</v>
      </c>
      <c r="K18" s="3">
        <v>8</v>
      </c>
      <c r="L18" s="3">
        <v>5</v>
      </c>
      <c r="M18" s="3">
        <v>0</v>
      </c>
      <c r="N18" s="10">
        <f>+(K18+(0.5*M18))/(K18+L18+M18)</f>
        <v>0.61538461538461542</v>
      </c>
      <c r="O18" s="3">
        <v>229</v>
      </c>
      <c r="P18" s="3">
        <v>240</v>
      </c>
      <c r="Q18" s="3">
        <f>+O18-P18</f>
        <v>-11</v>
      </c>
      <c r="S18">
        <v>7</v>
      </c>
      <c r="T18" s="6" t="s">
        <v>24</v>
      </c>
      <c r="U18" s="3" t="s">
        <v>38</v>
      </c>
      <c r="V18" s="3" t="s">
        <v>23</v>
      </c>
      <c r="W18" s="9">
        <v>37</v>
      </c>
    </row>
    <row r="19" spans="1:23">
      <c r="A19" t="s">
        <v>23</v>
      </c>
      <c r="B19" s="3">
        <v>7</v>
      </c>
      <c r="C19" s="3">
        <v>6</v>
      </c>
      <c r="D19" s="3">
        <v>0</v>
      </c>
      <c r="E19" s="10">
        <f>+(B19+(0.5*D19))/(B19+C19+D19)</f>
        <v>0.53846153846153844</v>
      </c>
      <c r="F19" s="3">
        <f>295+37</f>
        <v>332</v>
      </c>
      <c r="G19" s="3">
        <v>253</v>
      </c>
      <c r="H19" s="3">
        <f>+F19-G19</f>
        <v>79</v>
      </c>
      <c r="I19" s="18"/>
      <c r="J19" t="s">
        <v>36</v>
      </c>
      <c r="K19" s="3">
        <v>7</v>
      </c>
      <c r="L19" s="3">
        <v>6</v>
      </c>
      <c r="M19" s="3">
        <v>0</v>
      </c>
      <c r="N19" s="10">
        <f>+(K19+(0.5*M19))/(K19+L19+M19)</f>
        <v>0.53846153846153844</v>
      </c>
      <c r="O19" s="3">
        <v>247</v>
      </c>
      <c r="P19" s="3">
        <v>302</v>
      </c>
      <c r="Q19" s="3">
        <f>+O19-P19</f>
        <v>-55</v>
      </c>
      <c r="T19" s="6"/>
      <c r="U19" s="3"/>
      <c r="V19" s="3"/>
      <c r="W19" s="9"/>
    </row>
    <row r="20" spans="1:23">
      <c r="A20" t="s">
        <v>24</v>
      </c>
      <c r="B20" s="3">
        <v>5</v>
      </c>
      <c r="C20" s="3">
        <v>8</v>
      </c>
      <c r="D20" s="3">
        <v>0</v>
      </c>
      <c r="E20" s="10">
        <f>+(B20+(0.5*D20))/(B20+C20+D20)</f>
        <v>0.38461538461538464</v>
      </c>
      <c r="F20" s="3">
        <v>194</v>
      </c>
      <c r="G20" s="3">
        <f>248+37</f>
        <v>285</v>
      </c>
      <c r="H20" s="3">
        <f>+F20-G20</f>
        <v>-91</v>
      </c>
      <c r="I20" s="18"/>
      <c r="J20" t="s">
        <v>34</v>
      </c>
      <c r="K20" s="3">
        <v>7</v>
      </c>
      <c r="L20" s="3">
        <v>6</v>
      </c>
      <c r="M20" s="3">
        <v>0</v>
      </c>
      <c r="N20" s="10">
        <f>+(K20+(0.5*M20))/(K20+L20+M20)</f>
        <v>0.53846153846153844</v>
      </c>
      <c r="O20" s="3">
        <v>275</v>
      </c>
      <c r="P20" s="3">
        <v>245</v>
      </c>
      <c r="Q20" s="3">
        <f>+O20-P20</f>
        <v>30</v>
      </c>
      <c r="T20" s="7" t="s">
        <v>91</v>
      </c>
    </row>
    <row r="21" spans="1:23">
      <c r="A21" t="s">
        <v>21</v>
      </c>
      <c r="B21" s="3">
        <v>5</v>
      </c>
      <c r="C21" s="3">
        <v>8</v>
      </c>
      <c r="D21" s="3">
        <v>0</v>
      </c>
      <c r="E21" s="10">
        <f>+(B21+(0.5*D21))/(B21+C21+D21)</f>
        <v>0.38461538461538464</v>
      </c>
      <c r="F21" s="3">
        <f>263+38</f>
        <v>301</v>
      </c>
      <c r="G21" s="3">
        <v>281</v>
      </c>
      <c r="H21" s="3">
        <f>+F21-G21</f>
        <v>20</v>
      </c>
      <c r="I21" s="18"/>
      <c r="J21" t="s">
        <v>37</v>
      </c>
      <c r="K21" s="3">
        <v>2</v>
      </c>
      <c r="L21" s="3">
        <v>11</v>
      </c>
      <c r="M21" s="3">
        <v>0</v>
      </c>
      <c r="N21" s="10">
        <f>+(K21+(0.5*M21))/(K21+L21+M21)</f>
        <v>0.15384615384615385</v>
      </c>
      <c r="O21" s="3">
        <v>150</v>
      </c>
      <c r="P21" s="3">
        <v>342</v>
      </c>
      <c r="Q21" s="3">
        <f>+O21-P21</f>
        <v>-192</v>
      </c>
      <c r="S21">
        <v>41</v>
      </c>
      <c r="T21" s="3" t="s">
        <v>41</v>
      </c>
      <c r="U21" s="3" t="s">
        <v>84</v>
      </c>
      <c r="V21" s="3" t="s">
        <v>21</v>
      </c>
      <c r="W21" s="9">
        <v>38</v>
      </c>
    </row>
    <row r="23" spans="1:23">
      <c r="A23" t="s">
        <v>97</v>
      </c>
    </row>
    <row r="24" spans="1:23">
      <c r="B24">
        <f>SUM(B5:B21)</f>
        <v>84</v>
      </c>
      <c r="C24">
        <f>SUM(C5:C21)</f>
        <v>81</v>
      </c>
      <c r="D24">
        <f>SUM(D5:D21)</f>
        <v>4</v>
      </c>
      <c r="F24">
        <f>SUM(F5:F21)</f>
        <v>3554</v>
      </c>
      <c r="G24">
        <f>SUM(G5:G21)</f>
        <v>3450</v>
      </c>
      <c r="K24">
        <f>SUM(K5:K21)</f>
        <v>82</v>
      </c>
      <c r="L24">
        <f>SUM(L5:L21)</f>
        <v>85</v>
      </c>
      <c r="M24">
        <f>SUM(M5:M21)</f>
        <v>2</v>
      </c>
      <c r="O24">
        <f>SUM(O5:O21)</f>
        <v>3088</v>
      </c>
      <c r="P24">
        <f>SUM(P5:P21)</f>
        <v>3192</v>
      </c>
    </row>
    <row r="26" spans="1:23">
      <c r="B26">
        <f>+B24+K24</f>
        <v>166</v>
      </c>
      <c r="C26">
        <f>+C24+L24</f>
        <v>166</v>
      </c>
      <c r="D26">
        <f>+D24+M24</f>
        <v>6</v>
      </c>
      <c r="E26">
        <f>SUM(B26:D26)/2</f>
        <v>169</v>
      </c>
      <c r="F26">
        <f>+F24+O24-G24-P24</f>
        <v>0</v>
      </c>
    </row>
  </sheetData>
  <sortState ref="A5:H9">
    <sortCondition descending="1" ref="E5:E9"/>
  </sortState>
  <mergeCells count="1">
    <mergeCell ref="S3:T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150" zoomScaleNormal="150" zoomScalePageLayoutView="150" workbookViewId="0">
      <selection activeCell="B41" sqref="B41:P43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9" max="9" width="1.83203125" customWidth="1"/>
    <col min="10" max="10" width="11.83203125" customWidth="1"/>
    <col min="11" max="11" width="5" customWidth="1"/>
    <col min="12" max="13" width="4.5" customWidth="1"/>
    <col min="14" max="16" width="5.6640625" customWidth="1"/>
    <col min="17" max="17" width="5.83203125" customWidth="1"/>
    <col min="18" max="18" width="2.1640625" customWidth="1"/>
    <col min="19" max="19" width="3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121</v>
      </c>
    </row>
    <row r="2" spans="1:23">
      <c r="A2" t="s">
        <v>66</v>
      </c>
    </row>
    <row r="3" spans="1:23">
      <c r="A3" s="1" t="s">
        <v>1</v>
      </c>
      <c r="J3" s="1" t="s">
        <v>25</v>
      </c>
      <c r="S3" s="24" t="s">
        <v>40</v>
      </c>
      <c r="T3" s="24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20" t="s">
        <v>98</v>
      </c>
      <c r="U4" s="3"/>
      <c r="V4" s="3"/>
      <c r="W4" s="19"/>
    </row>
    <row r="5" spans="1:23">
      <c r="A5" t="s">
        <v>95</v>
      </c>
      <c r="B5" s="3">
        <v>12</v>
      </c>
      <c r="C5" s="3">
        <v>1</v>
      </c>
      <c r="D5" s="3">
        <v>1</v>
      </c>
      <c r="E5" s="10">
        <f>+(B5+(0.5*D5))/(B5+C5+D5)</f>
        <v>0.8928571428571429</v>
      </c>
      <c r="F5" s="3">
        <f>376+25</f>
        <v>401</v>
      </c>
      <c r="G5" s="3">
        <v>171</v>
      </c>
      <c r="H5" s="3">
        <f>+F5-G5</f>
        <v>230</v>
      </c>
      <c r="I5" s="19"/>
      <c r="J5" t="s">
        <v>106</v>
      </c>
      <c r="K5" s="3">
        <v>10</v>
      </c>
      <c r="L5" s="3">
        <v>3</v>
      </c>
      <c r="M5" s="3">
        <v>1</v>
      </c>
      <c r="N5" s="10">
        <f>+(K5+(0.5*M5))/(K5+L5+M5)</f>
        <v>0.75</v>
      </c>
      <c r="O5" s="3">
        <v>284</v>
      </c>
      <c r="P5" s="3">
        <v>188</v>
      </c>
      <c r="Q5" s="3">
        <f>+O5-P5</f>
        <v>96</v>
      </c>
      <c r="S5">
        <v>13</v>
      </c>
      <c r="T5" s="3" t="s">
        <v>5</v>
      </c>
      <c r="U5" s="3" t="s">
        <v>38</v>
      </c>
      <c r="V5" s="3" t="s">
        <v>3</v>
      </c>
      <c r="W5" s="9">
        <v>25</v>
      </c>
    </row>
    <row r="6" spans="1:23">
      <c r="A6" t="s">
        <v>102</v>
      </c>
      <c r="B6" s="3">
        <v>9</v>
      </c>
      <c r="C6" s="3">
        <v>5</v>
      </c>
      <c r="D6" s="3">
        <v>0</v>
      </c>
      <c r="E6" s="10">
        <f>+(B6+(0.5*D6))/(B6+C6+D6)</f>
        <v>0.6428571428571429</v>
      </c>
      <c r="F6" s="3">
        <f>357+20</f>
        <v>377</v>
      </c>
      <c r="G6" s="3">
        <v>358</v>
      </c>
      <c r="H6" s="3">
        <f>+F6-G6</f>
        <v>19</v>
      </c>
      <c r="I6" s="19"/>
      <c r="J6" t="s">
        <v>107</v>
      </c>
      <c r="K6" s="3">
        <v>10</v>
      </c>
      <c r="L6" s="3">
        <v>4</v>
      </c>
      <c r="M6" s="3">
        <v>0</v>
      </c>
      <c r="N6" s="10">
        <f>+(K6+(0.5*M6))/(K6+L6+M6)</f>
        <v>0.7142857142857143</v>
      </c>
      <c r="O6" s="3">
        <v>288</v>
      </c>
      <c r="P6" s="3">
        <v>195</v>
      </c>
      <c r="Q6" s="3">
        <f>+O6-P6</f>
        <v>93</v>
      </c>
      <c r="S6">
        <v>28</v>
      </c>
      <c r="T6" s="3" t="s">
        <v>32</v>
      </c>
      <c r="U6" s="3" t="s">
        <v>38</v>
      </c>
      <c r="V6" s="3" t="s">
        <v>34</v>
      </c>
      <c r="W6" s="9">
        <v>33</v>
      </c>
    </row>
    <row r="7" spans="1:23">
      <c r="A7" t="s">
        <v>5</v>
      </c>
      <c r="B7" s="3">
        <v>8</v>
      </c>
      <c r="C7" s="3">
        <v>5</v>
      </c>
      <c r="D7" s="3">
        <v>1</v>
      </c>
      <c r="E7" s="10">
        <f>+(B7+(0.5*D7))/(B7+C7+D7)</f>
        <v>0.6071428571428571</v>
      </c>
      <c r="F7" s="3">
        <v>289</v>
      </c>
      <c r="G7" s="3">
        <v>239</v>
      </c>
      <c r="H7" s="3">
        <f>+F7-G7</f>
        <v>50</v>
      </c>
      <c r="I7" s="19"/>
      <c r="J7" t="s">
        <v>28</v>
      </c>
      <c r="K7" s="3">
        <v>4</v>
      </c>
      <c r="L7" s="3">
        <v>9</v>
      </c>
      <c r="M7" s="3">
        <v>1</v>
      </c>
      <c r="N7" s="10">
        <f>+(K7+(0.5*M7))/(K7+L7+M7)</f>
        <v>0.32142857142857145</v>
      </c>
      <c r="O7" s="3">
        <f>154+27</f>
        <v>181</v>
      </c>
      <c r="P7" s="3">
        <f>314+26</f>
        <v>340</v>
      </c>
      <c r="Q7" s="3">
        <f>+O7-P7</f>
        <v>-159</v>
      </c>
      <c r="T7" s="3"/>
      <c r="U7" s="3"/>
      <c r="V7" s="3"/>
      <c r="W7" s="9"/>
    </row>
    <row r="8" spans="1:23">
      <c r="A8" t="s">
        <v>6</v>
      </c>
      <c r="B8" s="3">
        <v>5</v>
      </c>
      <c r="C8" s="3">
        <v>9</v>
      </c>
      <c r="D8" s="3">
        <v>0</v>
      </c>
      <c r="E8" s="10">
        <f>+(B8+(0.5*D8))/(B8+C8+D8)</f>
        <v>0.35714285714285715</v>
      </c>
      <c r="F8" s="3">
        <v>265</v>
      </c>
      <c r="G8" s="3">
        <v>323</v>
      </c>
      <c r="H8" s="3">
        <f>+F8-G8</f>
        <v>-58</v>
      </c>
      <c r="I8" s="19"/>
      <c r="J8" t="s">
        <v>27</v>
      </c>
      <c r="K8" s="3">
        <v>4</v>
      </c>
      <c r="L8" s="3">
        <v>10</v>
      </c>
      <c r="M8" s="3">
        <v>0</v>
      </c>
      <c r="N8" s="10">
        <f>+(K8+(0.5*M8))/(K8+L8+M8)</f>
        <v>0.2857142857142857</v>
      </c>
      <c r="O8" s="3">
        <f>169+17</f>
        <v>186</v>
      </c>
      <c r="P8" s="3">
        <v>234</v>
      </c>
      <c r="Q8" s="3">
        <f>+O8-P8</f>
        <v>-48</v>
      </c>
      <c r="T8" s="20" t="s">
        <v>99</v>
      </c>
      <c r="U8" s="3"/>
      <c r="V8" s="3"/>
      <c r="W8" s="9"/>
    </row>
    <row r="9" spans="1:23">
      <c r="A9" t="s">
        <v>7</v>
      </c>
      <c r="B9" s="3">
        <v>0</v>
      </c>
      <c r="C9" s="3">
        <v>14</v>
      </c>
      <c r="D9" s="3">
        <v>0</v>
      </c>
      <c r="E9" s="10">
        <f>+(B9+(0.5*D9))/(B9+C9+D9)</f>
        <v>0</v>
      </c>
      <c r="F9" s="3">
        <v>198</v>
      </c>
      <c r="G9" s="3">
        <v>451</v>
      </c>
      <c r="H9" s="3">
        <f>+F9-G9</f>
        <v>-253</v>
      </c>
      <c r="I9" s="19"/>
      <c r="J9" t="s">
        <v>29</v>
      </c>
      <c r="K9" s="3">
        <v>2</v>
      </c>
      <c r="L9" s="3">
        <v>12</v>
      </c>
      <c r="M9" s="3">
        <v>0</v>
      </c>
      <c r="N9" s="10">
        <f>+(K9+(0.5*M9))/(K9+L9+M9)</f>
        <v>0.14285714285714285</v>
      </c>
      <c r="O9" s="3">
        <f>219+26</f>
        <v>245</v>
      </c>
      <c r="P9" s="3">
        <f>291+27</f>
        <v>318</v>
      </c>
      <c r="Q9" s="3">
        <f>+O9-P9</f>
        <v>-73</v>
      </c>
      <c r="S9">
        <v>13</v>
      </c>
      <c r="T9" s="6" t="s">
        <v>6</v>
      </c>
      <c r="U9" s="3" t="s">
        <v>38</v>
      </c>
      <c r="V9" s="3" t="s">
        <v>26</v>
      </c>
      <c r="W9" s="9">
        <v>24</v>
      </c>
    </row>
    <row r="10" spans="1:23">
      <c r="B10" s="3"/>
      <c r="C10" s="3"/>
      <c r="D10" s="3"/>
      <c r="E10" s="3"/>
      <c r="F10" s="3"/>
      <c r="G10" s="3"/>
      <c r="H10" s="3"/>
      <c r="I10" s="19"/>
      <c r="K10" s="3"/>
      <c r="L10" s="3"/>
      <c r="M10" s="3"/>
      <c r="N10" s="3"/>
      <c r="O10" s="3"/>
      <c r="P10" s="3"/>
      <c r="Q10" s="3"/>
      <c r="S10">
        <v>6</v>
      </c>
      <c r="T10" s="3" t="s">
        <v>33</v>
      </c>
      <c r="U10" s="3" t="s">
        <v>38</v>
      </c>
      <c r="V10" s="3" t="s">
        <v>21</v>
      </c>
      <c r="W10" s="9">
        <v>21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19"/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20</v>
      </c>
      <c r="T11" s="3" t="s">
        <v>18</v>
      </c>
      <c r="U11" s="3" t="s">
        <v>38</v>
      </c>
      <c r="V11" s="3" t="s">
        <v>19</v>
      </c>
      <c r="W11" s="9">
        <v>6</v>
      </c>
    </row>
    <row r="12" spans="1:23">
      <c r="A12" t="s">
        <v>93</v>
      </c>
      <c r="B12" s="3">
        <v>12</v>
      </c>
      <c r="C12" s="3">
        <v>1</v>
      </c>
      <c r="D12" s="3">
        <v>1</v>
      </c>
      <c r="E12" s="10">
        <f>+(B12+(0.5*D12))/(B12+C12+D12)</f>
        <v>0.8928571428571429</v>
      </c>
      <c r="F12" s="3">
        <v>349</v>
      </c>
      <c r="G12" s="3">
        <v>187</v>
      </c>
      <c r="H12" s="3">
        <f>+F12-G12</f>
        <v>162</v>
      </c>
      <c r="I12" s="19"/>
      <c r="J12" t="s">
        <v>96</v>
      </c>
      <c r="K12" s="3">
        <v>11</v>
      </c>
      <c r="L12" s="3">
        <v>3</v>
      </c>
      <c r="M12" s="3">
        <v>0</v>
      </c>
      <c r="N12" s="10">
        <f>+(K12+(0.5*M12))/(K12+L12+M12)</f>
        <v>0.7857142857142857</v>
      </c>
      <c r="O12" s="3">
        <f>336+37</f>
        <v>373</v>
      </c>
      <c r="P12" s="3">
        <v>169</v>
      </c>
      <c r="Q12" s="3">
        <f>+O12-P12</f>
        <v>204</v>
      </c>
      <c r="S12">
        <v>29</v>
      </c>
      <c r="T12" s="3" t="s">
        <v>17</v>
      </c>
      <c r="U12" s="3" t="s">
        <v>38</v>
      </c>
      <c r="V12" s="3" t="s">
        <v>41</v>
      </c>
      <c r="W12" s="9">
        <v>20</v>
      </c>
    </row>
    <row r="13" spans="1:23">
      <c r="A13" t="s">
        <v>18</v>
      </c>
      <c r="B13" s="3">
        <v>8</v>
      </c>
      <c r="C13" s="3">
        <v>5</v>
      </c>
      <c r="D13" s="3">
        <v>1</v>
      </c>
      <c r="E13" s="10">
        <f>+(B13+(0.5*D13))/(B13+C13+D13)</f>
        <v>0.6071428571428571</v>
      </c>
      <c r="F13" s="3">
        <v>277</v>
      </c>
      <c r="G13" s="3">
        <v>222</v>
      </c>
      <c r="H13" s="3">
        <f>+F13-G13</f>
        <v>55</v>
      </c>
      <c r="I13" s="19"/>
      <c r="J13" t="s">
        <v>31</v>
      </c>
      <c r="K13" s="3">
        <v>10</v>
      </c>
      <c r="L13" s="3">
        <v>4</v>
      </c>
      <c r="M13" s="3">
        <v>0</v>
      </c>
      <c r="N13" s="10">
        <f>+(K13+(0.5*M13))/(K13+L13+M13)</f>
        <v>0.7142857142857143</v>
      </c>
      <c r="O13" s="3">
        <v>342</v>
      </c>
      <c r="P13" s="3">
        <v>220</v>
      </c>
      <c r="Q13" s="3">
        <f>+O13-P13</f>
        <v>122</v>
      </c>
      <c r="S13">
        <v>35</v>
      </c>
      <c r="T13" s="3" t="s">
        <v>31</v>
      </c>
      <c r="U13" s="3" t="s">
        <v>38</v>
      </c>
      <c r="V13" s="3" t="s">
        <v>36</v>
      </c>
      <c r="W13" s="9">
        <v>7</v>
      </c>
    </row>
    <row r="14" spans="1:23">
      <c r="A14" t="s">
        <v>17</v>
      </c>
      <c r="B14" s="3">
        <v>7</v>
      </c>
      <c r="C14" s="3">
        <v>7</v>
      </c>
      <c r="D14" s="3">
        <v>0</v>
      </c>
      <c r="E14" s="10">
        <f>+(B14+(0.5*D14))/(B14+C14+D14)</f>
        <v>0.5</v>
      </c>
      <c r="F14" s="3">
        <f>256+29</f>
        <v>285</v>
      </c>
      <c r="G14" s="3">
        <v>263</v>
      </c>
      <c r="H14" s="3">
        <f>+F14-G14</f>
        <v>22</v>
      </c>
      <c r="I14" s="19"/>
      <c r="J14" t="s">
        <v>32</v>
      </c>
      <c r="K14" s="3">
        <v>8</v>
      </c>
      <c r="L14" s="3">
        <v>6</v>
      </c>
      <c r="M14" s="3">
        <v>0</v>
      </c>
      <c r="N14" s="10">
        <f>+(K14+(0.5*M14))/(K14+L14+M14)</f>
        <v>0.5714285714285714</v>
      </c>
      <c r="O14" s="3">
        <f>256+28</f>
        <v>284</v>
      </c>
      <c r="P14" s="3">
        <v>243</v>
      </c>
      <c r="Q14" s="3">
        <f>+O14-P14</f>
        <v>41</v>
      </c>
      <c r="S14">
        <v>37</v>
      </c>
      <c r="T14" s="3" t="s">
        <v>30</v>
      </c>
      <c r="U14" s="3" t="s">
        <v>38</v>
      </c>
      <c r="V14" s="3" t="s">
        <v>37</v>
      </c>
      <c r="W14" s="9">
        <v>3</v>
      </c>
    </row>
    <row r="15" spans="1:23">
      <c r="A15" t="s">
        <v>19</v>
      </c>
      <c r="B15" s="3">
        <v>2</v>
      </c>
      <c r="C15" s="3">
        <v>12</v>
      </c>
      <c r="D15" s="3">
        <v>0</v>
      </c>
      <c r="E15" s="10">
        <f>+(B15+(0.5*D15))/(B15+C15+D15)</f>
        <v>0.14285714285714285</v>
      </c>
      <c r="F15" s="3">
        <v>188</v>
      </c>
      <c r="G15" s="3">
        <v>382</v>
      </c>
      <c r="H15" s="3">
        <f>+F15-G15</f>
        <v>-194</v>
      </c>
      <c r="I15" s="19"/>
      <c r="J15" t="s">
        <v>33</v>
      </c>
      <c r="K15" s="3">
        <v>4</v>
      </c>
      <c r="L15" s="3">
        <v>10</v>
      </c>
      <c r="M15" s="3">
        <v>0</v>
      </c>
      <c r="N15" s="10">
        <f>+(K15+(0.5*M15))/(K15+L15+M15)</f>
        <v>0.2857142857142857</v>
      </c>
      <c r="O15" s="3">
        <v>237</v>
      </c>
      <c r="P15" s="3">
        <v>336</v>
      </c>
      <c r="Q15" s="3">
        <f>+O15-P15</f>
        <v>-99</v>
      </c>
      <c r="S15">
        <v>27</v>
      </c>
      <c r="T15" s="6" t="s">
        <v>22</v>
      </c>
      <c r="U15" s="3" t="s">
        <v>38</v>
      </c>
      <c r="V15" s="3" t="s">
        <v>35</v>
      </c>
      <c r="W15" s="9">
        <v>7</v>
      </c>
    </row>
    <row r="16" spans="1:23">
      <c r="B16" s="3"/>
      <c r="C16" s="3"/>
      <c r="D16" s="3"/>
      <c r="E16" s="3"/>
      <c r="F16" s="3"/>
      <c r="G16" s="3"/>
      <c r="H16" s="3"/>
      <c r="I16" s="19"/>
      <c r="K16" s="3"/>
      <c r="L16" s="3"/>
      <c r="M16" s="3"/>
      <c r="N16" s="3"/>
      <c r="O16" s="3"/>
      <c r="P16" s="3"/>
      <c r="Q16" s="3"/>
      <c r="S16">
        <v>21</v>
      </c>
      <c r="T16" s="3" t="s">
        <v>100</v>
      </c>
      <c r="U16" s="3" t="s">
        <v>38</v>
      </c>
      <c r="V16" s="3" t="s">
        <v>23</v>
      </c>
      <c r="W16" s="9">
        <v>24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I17" s="19"/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S17">
        <v>33</v>
      </c>
      <c r="T17" s="6" t="s">
        <v>42</v>
      </c>
      <c r="U17" s="3" t="s">
        <v>38</v>
      </c>
      <c r="V17" s="3" t="s">
        <v>27</v>
      </c>
      <c r="W17" s="9">
        <v>17</v>
      </c>
    </row>
    <row r="18" spans="1:23">
      <c r="A18" t="s">
        <v>94</v>
      </c>
      <c r="B18" s="3">
        <v>9</v>
      </c>
      <c r="C18" s="3">
        <v>5</v>
      </c>
      <c r="D18" s="3">
        <v>0</v>
      </c>
      <c r="E18" s="10">
        <f>+(B18+(0.5*D18))/(B18+C18+D18)</f>
        <v>0.6428571428571429</v>
      </c>
      <c r="F18" s="3">
        <f>265+27</f>
        <v>292</v>
      </c>
      <c r="G18" s="3">
        <v>219</v>
      </c>
      <c r="H18" s="3">
        <f>+F18-G18</f>
        <v>73</v>
      </c>
      <c r="I18" s="19"/>
      <c r="J18" t="s">
        <v>104</v>
      </c>
      <c r="K18" s="3">
        <v>8</v>
      </c>
      <c r="L18" s="3">
        <v>6</v>
      </c>
      <c r="M18" s="3">
        <v>0</v>
      </c>
      <c r="N18" s="10">
        <f>+(K18+(0.5*M18))/(K18+L18+M18)</f>
        <v>0.5714285714285714</v>
      </c>
      <c r="O18" s="3">
        <v>236</v>
      </c>
      <c r="P18" s="3">
        <v>267</v>
      </c>
      <c r="Q18" s="3">
        <f>+O18-P18</f>
        <v>-31</v>
      </c>
      <c r="S18">
        <v>26</v>
      </c>
      <c r="T18" s="6" t="s">
        <v>29</v>
      </c>
      <c r="U18" s="3" t="s">
        <v>38</v>
      </c>
      <c r="V18" s="3" t="s">
        <v>28</v>
      </c>
      <c r="W18" s="9">
        <v>27</v>
      </c>
    </row>
    <row r="19" spans="1:23">
      <c r="A19" t="s">
        <v>23</v>
      </c>
      <c r="B19" s="3">
        <v>8</v>
      </c>
      <c r="C19" s="3">
        <v>6</v>
      </c>
      <c r="D19" s="3">
        <v>0</v>
      </c>
      <c r="E19" s="10">
        <f>+(B19+(0.5*D19))/(B19+C19+D19)</f>
        <v>0.5714285714285714</v>
      </c>
      <c r="F19" s="3">
        <v>356</v>
      </c>
      <c r="G19" s="3">
        <v>274</v>
      </c>
      <c r="H19" s="3">
        <f>+F19-G19</f>
        <v>82</v>
      </c>
      <c r="I19" s="19"/>
      <c r="J19" t="s">
        <v>34</v>
      </c>
      <c r="K19" s="3">
        <v>8</v>
      </c>
      <c r="L19" s="3">
        <v>6</v>
      </c>
      <c r="M19" s="3">
        <v>0</v>
      </c>
      <c r="N19" s="10">
        <f>+(K19+(0.5*M19))/(K19+L19+M19)</f>
        <v>0.5714285714285714</v>
      </c>
      <c r="O19" s="3">
        <f>275+33</f>
        <v>308</v>
      </c>
      <c r="P19" s="3">
        <f>245+28</f>
        <v>273</v>
      </c>
      <c r="Q19" s="3">
        <f>+O19-P19</f>
        <v>35</v>
      </c>
      <c r="S19">
        <v>20</v>
      </c>
      <c r="T19" s="6" t="s">
        <v>16</v>
      </c>
      <c r="U19" s="3" t="s">
        <v>38</v>
      </c>
      <c r="V19" s="3" t="s">
        <v>24</v>
      </c>
      <c r="W19" s="9">
        <v>16</v>
      </c>
    </row>
    <row r="20" spans="1:23">
      <c r="A20" t="s">
        <v>21</v>
      </c>
      <c r="B20" s="3">
        <v>6</v>
      </c>
      <c r="C20" s="3">
        <v>8</v>
      </c>
      <c r="D20" s="3">
        <v>0</v>
      </c>
      <c r="E20" s="10">
        <f>+(B20+(0.5*D20))/(B20+C20+D20)</f>
        <v>0.42857142857142855</v>
      </c>
      <c r="F20" s="3">
        <v>322</v>
      </c>
      <c r="G20" s="3">
        <v>287</v>
      </c>
      <c r="H20" s="3">
        <f>+F20-G20</f>
        <v>35</v>
      </c>
      <c r="I20" s="19"/>
      <c r="J20" t="s">
        <v>36</v>
      </c>
      <c r="K20" s="3">
        <v>7</v>
      </c>
      <c r="L20" s="3">
        <v>7</v>
      </c>
      <c r="M20" s="3">
        <v>0</v>
      </c>
      <c r="N20" s="10">
        <f>+(K20+(0.5*M20))/(K20+L20+M20)</f>
        <v>0.5</v>
      </c>
      <c r="O20" s="3">
        <v>254</v>
      </c>
      <c r="P20" s="3">
        <v>337</v>
      </c>
      <c r="Q20" s="3">
        <f>+O20-P20</f>
        <v>-83</v>
      </c>
      <c r="T20" s="20"/>
    </row>
    <row r="21" spans="1:23">
      <c r="A21" t="s">
        <v>24</v>
      </c>
      <c r="B21" s="3">
        <v>5</v>
      </c>
      <c r="C21" s="3">
        <v>9</v>
      </c>
      <c r="D21" s="3">
        <v>0</v>
      </c>
      <c r="E21" s="10">
        <f>+(B21+(0.5*D21))/(B21+C21+D21)</f>
        <v>0.35714285714285715</v>
      </c>
      <c r="F21" s="3">
        <v>210</v>
      </c>
      <c r="G21" s="3">
        <v>305</v>
      </c>
      <c r="H21" s="3">
        <f>+F21-G21</f>
        <v>-95</v>
      </c>
      <c r="I21" s="19"/>
      <c r="J21" t="s">
        <v>37</v>
      </c>
      <c r="K21" s="3">
        <v>2</v>
      </c>
      <c r="L21" s="3">
        <v>12</v>
      </c>
      <c r="M21" s="3">
        <v>0</v>
      </c>
      <c r="N21" s="10">
        <f>+(K21+(0.5*M21))/(K21+L21+M21)</f>
        <v>0.14285714285714285</v>
      </c>
      <c r="O21" s="3">
        <v>153</v>
      </c>
      <c r="P21" s="3">
        <v>379</v>
      </c>
      <c r="Q21" s="3">
        <f>+O21-P21</f>
        <v>-226</v>
      </c>
      <c r="T21" s="25" t="s">
        <v>101</v>
      </c>
      <c r="U21" s="25"/>
      <c r="V21" s="25"/>
      <c r="W21" s="9"/>
    </row>
    <row r="23" spans="1:23">
      <c r="A23" t="s">
        <v>97</v>
      </c>
      <c r="J23" t="s">
        <v>105</v>
      </c>
    </row>
    <row r="24" spans="1:23">
      <c r="A24" t="s">
        <v>103</v>
      </c>
      <c r="J24" t="s">
        <v>108</v>
      </c>
    </row>
    <row r="41" spans="2:16">
      <c r="B41">
        <f>SUM(B5:B21)</f>
        <v>91</v>
      </c>
      <c r="C41">
        <f>SUM(C5:C21)</f>
        <v>87</v>
      </c>
      <c r="D41">
        <f>SUM(D5:D21)</f>
        <v>4</v>
      </c>
      <c r="F41">
        <f>SUM(F5:F21)</f>
        <v>3809</v>
      </c>
      <c r="G41">
        <f>SUM(G5:G21)</f>
        <v>3681</v>
      </c>
      <c r="K41">
        <f>SUM(K5:K21)</f>
        <v>88</v>
      </c>
      <c r="L41">
        <f>SUM(L5:L21)</f>
        <v>92</v>
      </c>
      <c r="M41">
        <f>SUM(M5:M21)</f>
        <v>2</v>
      </c>
      <c r="O41">
        <f>SUM(O5:O21)</f>
        <v>3371</v>
      </c>
      <c r="P41">
        <f>SUM(P5:P21)</f>
        <v>3499</v>
      </c>
    </row>
    <row r="43" spans="2:16">
      <c r="B43">
        <f>+B41+K41</f>
        <v>179</v>
      </c>
      <c r="C43">
        <f>+C41+L41</f>
        <v>179</v>
      </c>
      <c r="D43">
        <f>+D41+M41</f>
        <v>6</v>
      </c>
      <c r="E43">
        <f>SUM(B43:D43)/2</f>
        <v>182</v>
      </c>
      <c r="F43">
        <f>+F41+O41-G41-P41</f>
        <v>0</v>
      </c>
    </row>
  </sheetData>
  <sortState ref="A18:H21">
    <sortCondition descending="1" ref="E18:E21"/>
  </sortState>
  <mergeCells count="2">
    <mergeCell ref="S3:T3"/>
    <mergeCell ref="T21:V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50" zoomScaleNormal="150" zoomScalePageLayoutView="150" workbookViewId="0">
      <selection activeCell="G16" sqref="G16"/>
    </sheetView>
  </sheetViews>
  <sheetFormatPr baseColWidth="10" defaultRowHeight="15" x14ac:dyDescent="0"/>
  <cols>
    <col min="2" max="2" width="3.83203125" customWidth="1"/>
    <col min="3" max="3" width="14.1640625" customWidth="1"/>
    <col min="4" max="4" width="4" customWidth="1"/>
    <col min="5" max="5" width="14.1640625" customWidth="1"/>
    <col min="6" max="6" width="2.83203125" customWidth="1"/>
  </cols>
  <sheetData>
    <row r="1" spans="1:7">
      <c r="A1" s="1" t="s">
        <v>120</v>
      </c>
    </row>
    <row r="3" spans="1:7">
      <c r="B3" s="24" t="s">
        <v>109</v>
      </c>
      <c r="C3" s="24"/>
    </row>
    <row r="4" spans="1:7">
      <c r="C4" s="22" t="s">
        <v>110</v>
      </c>
      <c r="D4" s="3"/>
      <c r="E4" s="3"/>
      <c r="F4" s="21"/>
    </row>
    <row r="5" spans="1:7">
      <c r="C5" s="3" t="s">
        <v>41</v>
      </c>
      <c r="D5" s="3" t="s">
        <v>38</v>
      </c>
      <c r="E5" s="3" t="s">
        <v>16</v>
      </c>
      <c r="F5" s="9"/>
    </row>
    <row r="6" spans="1:7">
      <c r="C6" s="3" t="s">
        <v>26</v>
      </c>
      <c r="D6" s="3" t="s">
        <v>38</v>
      </c>
      <c r="E6" s="3" t="s">
        <v>35</v>
      </c>
      <c r="F6" s="9"/>
    </row>
    <row r="8" spans="1:7">
      <c r="C8" s="22" t="s">
        <v>111</v>
      </c>
    </row>
    <row r="9" spans="1:7">
      <c r="C9" s="3" t="s">
        <v>30</v>
      </c>
      <c r="D9" s="3" t="s">
        <v>38</v>
      </c>
      <c r="E9" s="3" t="s">
        <v>42</v>
      </c>
    </row>
    <row r="10" spans="1:7">
      <c r="C10" s="3" t="s">
        <v>22</v>
      </c>
      <c r="D10" s="3" t="s">
        <v>38</v>
      </c>
      <c r="E10" s="3" t="s">
        <v>3</v>
      </c>
    </row>
    <row r="13" spans="1:7">
      <c r="B13" s="1" t="s">
        <v>112</v>
      </c>
    </row>
    <row r="14" spans="1:7">
      <c r="C14" s="22" t="s">
        <v>113</v>
      </c>
    </row>
    <row r="15" spans="1:7">
      <c r="C15" s="3" t="s">
        <v>114</v>
      </c>
      <c r="D15" s="3" t="s">
        <v>38</v>
      </c>
      <c r="E15" s="3" t="s">
        <v>114</v>
      </c>
      <c r="G15" s="3" t="s">
        <v>116</v>
      </c>
    </row>
    <row r="16" spans="1:7">
      <c r="C16" s="3" t="s">
        <v>114</v>
      </c>
      <c r="D16" s="3" t="s">
        <v>38</v>
      </c>
      <c r="E16" s="3" t="s">
        <v>114</v>
      </c>
      <c r="G16" s="3" t="s">
        <v>117</v>
      </c>
    </row>
    <row r="18" spans="2:7">
      <c r="B18" s="1" t="s">
        <v>115</v>
      </c>
    </row>
    <row r="19" spans="2:7">
      <c r="C19" s="3" t="s">
        <v>116</v>
      </c>
      <c r="D19" s="3" t="s">
        <v>118</v>
      </c>
      <c r="E19" s="3" t="s">
        <v>117</v>
      </c>
      <c r="G19" t="s">
        <v>119</v>
      </c>
    </row>
  </sheetData>
  <mergeCells count="1">
    <mergeCell ref="B3:C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H1" zoomScale="150" zoomScaleNormal="150" zoomScalePageLayoutView="150" workbookViewId="0">
      <selection activeCell="T11" sqref="T11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46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44</v>
      </c>
      <c r="U4" s="3"/>
      <c r="V4" s="3"/>
      <c r="W4" s="2"/>
    </row>
    <row r="5" spans="1:23">
      <c r="A5" t="s">
        <v>3</v>
      </c>
      <c r="B5">
        <v>2</v>
      </c>
      <c r="C5">
        <v>0</v>
      </c>
      <c r="D5">
        <v>0</v>
      </c>
      <c r="E5" s="4">
        <f>+(B5+(0.5*D5))/(B5+C5+D5)</f>
        <v>1</v>
      </c>
      <c r="F5">
        <v>60</v>
      </c>
      <c r="G5">
        <v>13</v>
      </c>
      <c r="H5">
        <f>+F5-G5</f>
        <v>47</v>
      </c>
      <c r="J5" t="s">
        <v>27</v>
      </c>
      <c r="K5">
        <v>2</v>
      </c>
      <c r="L5">
        <v>0</v>
      </c>
      <c r="M5">
        <v>0</v>
      </c>
      <c r="N5" s="4">
        <f>+(K5+(0.5*M5))/(K5+L5+M5)</f>
        <v>1</v>
      </c>
      <c r="O5">
        <v>21</v>
      </c>
      <c r="P5">
        <v>13</v>
      </c>
      <c r="Q5">
        <f>+O5-P5</f>
        <v>8</v>
      </c>
      <c r="S5">
        <v>30</v>
      </c>
      <c r="T5" s="6" t="s">
        <v>35</v>
      </c>
      <c r="U5" s="3" t="s">
        <v>38</v>
      </c>
      <c r="V5" s="3" t="s">
        <v>7</v>
      </c>
      <c r="W5" s="9">
        <v>13</v>
      </c>
    </row>
    <row r="6" spans="1:23">
      <c r="A6" t="s">
        <v>5</v>
      </c>
      <c r="B6">
        <v>2</v>
      </c>
      <c r="C6">
        <v>0</v>
      </c>
      <c r="D6">
        <v>0</v>
      </c>
      <c r="E6" s="4">
        <f>+(B6+(0.5*D6))/(B6+C6+D6)</f>
        <v>1</v>
      </c>
      <c r="F6">
        <v>40</v>
      </c>
      <c r="G6">
        <v>13</v>
      </c>
      <c r="H6">
        <f>+F6-G6</f>
        <v>27</v>
      </c>
      <c r="J6" t="s">
        <v>26</v>
      </c>
      <c r="K6">
        <v>1</v>
      </c>
      <c r="L6">
        <v>1</v>
      </c>
      <c r="M6">
        <v>0</v>
      </c>
      <c r="N6" s="4">
        <f>+(K6+(0.5*M6))/(K6+L6+M6)</f>
        <v>0.5</v>
      </c>
      <c r="O6">
        <v>36</v>
      </c>
      <c r="P6">
        <v>36</v>
      </c>
      <c r="Q6">
        <f>+O6-P6</f>
        <v>0</v>
      </c>
      <c r="S6">
        <v>18</v>
      </c>
      <c r="T6" s="3" t="s">
        <v>17</v>
      </c>
      <c r="U6" s="3" t="s">
        <v>38</v>
      </c>
      <c r="V6" s="3" t="s">
        <v>29</v>
      </c>
      <c r="W6" s="9">
        <v>10</v>
      </c>
    </row>
    <row r="7" spans="1:23">
      <c r="A7" t="s">
        <v>6</v>
      </c>
      <c r="B7">
        <v>1</v>
      </c>
      <c r="C7">
        <v>1</v>
      </c>
      <c r="D7">
        <v>0</v>
      </c>
      <c r="E7" s="4">
        <f>+(B7+(0.5*D7))/(B7+C7+D7)</f>
        <v>0.5</v>
      </c>
      <c r="F7">
        <v>54</v>
      </c>
      <c r="G7">
        <v>41</v>
      </c>
      <c r="H7">
        <f>+F7-G7</f>
        <v>13</v>
      </c>
      <c r="J7" t="s">
        <v>29</v>
      </c>
      <c r="K7">
        <v>0</v>
      </c>
      <c r="L7">
        <v>2</v>
      </c>
      <c r="M7">
        <v>0</v>
      </c>
      <c r="N7" s="4">
        <f>+(K7+(0.5*M7))/(K7+L7+M7)</f>
        <v>0</v>
      </c>
      <c r="O7">
        <v>13</v>
      </c>
      <c r="P7">
        <v>25</v>
      </c>
      <c r="Q7">
        <f>+O7-P7</f>
        <v>-12</v>
      </c>
      <c r="S7">
        <v>14</v>
      </c>
      <c r="T7" s="3" t="s">
        <v>27</v>
      </c>
      <c r="U7" s="3" t="s">
        <v>38</v>
      </c>
      <c r="V7" s="3" t="s">
        <v>42</v>
      </c>
      <c r="W7" s="9">
        <v>10</v>
      </c>
    </row>
    <row r="8" spans="1:23">
      <c r="A8" t="s">
        <v>4</v>
      </c>
      <c r="B8">
        <v>1</v>
      </c>
      <c r="C8">
        <v>1</v>
      </c>
      <c r="D8">
        <v>0</v>
      </c>
      <c r="E8" s="4">
        <f>+(B8+(0.5*D8))/(B8+C8+D8)</f>
        <v>0.5</v>
      </c>
      <c r="F8">
        <v>48</v>
      </c>
      <c r="G8">
        <v>47</v>
      </c>
      <c r="H8">
        <f>+F8-G8</f>
        <v>1</v>
      </c>
      <c r="J8" t="s">
        <v>4</v>
      </c>
      <c r="K8">
        <v>0</v>
      </c>
      <c r="L8">
        <v>2</v>
      </c>
      <c r="M8">
        <v>0</v>
      </c>
      <c r="N8" s="4">
        <f>+(K8+(0.5*M8))/(K8+L8+M8)</f>
        <v>0</v>
      </c>
      <c r="O8">
        <v>19</v>
      </c>
      <c r="P8">
        <v>43</v>
      </c>
      <c r="Q8">
        <f>+O8-P8</f>
        <v>-24</v>
      </c>
      <c r="S8">
        <v>21</v>
      </c>
      <c r="T8" s="3" t="s">
        <v>23</v>
      </c>
      <c r="U8" s="3" t="s">
        <v>38</v>
      </c>
      <c r="V8" s="3" t="s">
        <v>24</v>
      </c>
      <c r="W8" s="9">
        <v>23</v>
      </c>
    </row>
    <row r="9" spans="1:23">
      <c r="A9" t="s">
        <v>7</v>
      </c>
      <c r="B9">
        <v>0</v>
      </c>
      <c r="C9">
        <v>2</v>
      </c>
      <c r="D9">
        <v>0</v>
      </c>
      <c r="E9" s="4">
        <f>+(B9+(0.5*D9))/(B9+C9+D9)</f>
        <v>0</v>
      </c>
      <c r="F9">
        <v>20</v>
      </c>
      <c r="G9">
        <v>44</v>
      </c>
      <c r="H9">
        <f>+F9-G9</f>
        <v>-24</v>
      </c>
      <c r="J9" t="s">
        <v>28</v>
      </c>
      <c r="K9">
        <v>0</v>
      </c>
      <c r="L9">
        <v>2</v>
      </c>
      <c r="M9">
        <v>0</v>
      </c>
      <c r="N9" s="4">
        <f>+(K9+(0.5*M9))/(K9+L9+M9)</f>
        <v>0</v>
      </c>
      <c r="O9">
        <v>15</v>
      </c>
      <c r="P9">
        <v>41</v>
      </c>
      <c r="Q9">
        <f>+O9-P9</f>
        <v>-26</v>
      </c>
      <c r="S9">
        <v>10</v>
      </c>
      <c r="T9" s="3" t="s">
        <v>19</v>
      </c>
      <c r="U9" s="3" t="s">
        <v>38</v>
      </c>
      <c r="V9" s="3" t="s">
        <v>3</v>
      </c>
      <c r="W9" s="9">
        <v>27</v>
      </c>
    </row>
    <row r="10" spans="1:23">
      <c r="S10">
        <v>34</v>
      </c>
      <c r="T10" s="3" t="s">
        <v>36</v>
      </c>
      <c r="U10" s="3" t="s">
        <v>38</v>
      </c>
      <c r="V10" s="3" t="s">
        <v>33</v>
      </c>
      <c r="W10" s="9">
        <v>32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13</v>
      </c>
      <c r="T11" s="6" t="s">
        <v>32</v>
      </c>
      <c r="U11" s="3" t="s">
        <v>38</v>
      </c>
      <c r="V11" s="3" t="s">
        <v>31</v>
      </c>
      <c r="W11" s="9">
        <v>30</v>
      </c>
    </row>
    <row r="12" spans="1:23">
      <c r="A12" t="s">
        <v>16</v>
      </c>
      <c r="B12">
        <v>2</v>
      </c>
      <c r="C12">
        <v>0</v>
      </c>
      <c r="D12">
        <v>0</v>
      </c>
      <c r="E12" s="4">
        <f>+(B12+(0.5*D12))/(B12+C12+D12)</f>
        <v>1</v>
      </c>
      <c r="F12">
        <v>67</v>
      </c>
      <c r="G12">
        <v>41</v>
      </c>
      <c r="H12">
        <f>+F12-G12</f>
        <v>26</v>
      </c>
      <c r="J12" t="s">
        <v>30</v>
      </c>
      <c r="K12">
        <v>2</v>
      </c>
      <c r="L12">
        <v>0</v>
      </c>
      <c r="M12">
        <v>0</v>
      </c>
      <c r="N12" s="4">
        <f>+(K12+(0.5*M12))/(K12+L12+M12)</f>
        <v>1</v>
      </c>
      <c r="O12">
        <v>51</v>
      </c>
      <c r="P12">
        <v>3</v>
      </c>
      <c r="Q12">
        <f>+O12-P12</f>
        <v>48</v>
      </c>
      <c r="S12">
        <v>13</v>
      </c>
      <c r="T12" s="3" t="s">
        <v>41</v>
      </c>
      <c r="U12" s="3" t="s">
        <v>38</v>
      </c>
      <c r="V12" s="3" t="s">
        <v>5</v>
      </c>
      <c r="W12" s="9">
        <v>19</v>
      </c>
    </row>
    <row r="13" spans="1:23">
      <c r="A13" t="s">
        <v>18</v>
      </c>
      <c r="B13">
        <v>1</v>
      </c>
      <c r="C13">
        <v>1</v>
      </c>
      <c r="D13">
        <v>0</v>
      </c>
      <c r="E13" s="4">
        <f>+(B13+(0.5*D13))/(B13+C13+D13)</f>
        <v>0.5</v>
      </c>
      <c r="F13">
        <v>45</v>
      </c>
      <c r="G13">
        <v>45</v>
      </c>
      <c r="H13">
        <f>+F13-G13</f>
        <v>0</v>
      </c>
      <c r="J13" t="s">
        <v>31</v>
      </c>
      <c r="K13">
        <v>2</v>
      </c>
      <c r="L13">
        <v>0</v>
      </c>
      <c r="M13">
        <v>0</v>
      </c>
      <c r="N13" s="4">
        <f>+(K13+(0.5*M13))/(K13+L13+M13)</f>
        <v>1</v>
      </c>
      <c r="O13">
        <v>59</v>
      </c>
      <c r="P13">
        <v>22</v>
      </c>
      <c r="Q13">
        <f>+O13-P13</f>
        <v>37</v>
      </c>
      <c r="S13">
        <v>3</v>
      </c>
      <c r="T13" s="3" t="s">
        <v>21</v>
      </c>
      <c r="U13" s="3" t="s">
        <v>38</v>
      </c>
      <c r="V13" s="3" t="s">
        <v>30</v>
      </c>
      <c r="W13" s="9">
        <v>31</v>
      </c>
    </row>
    <row r="14" spans="1:23">
      <c r="A14" t="s">
        <v>17</v>
      </c>
      <c r="B14">
        <v>1</v>
      </c>
      <c r="C14">
        <v>1</v>
      </c>
      <c r="D14">
        <v>0</v>
      </c>
      <c r="E14" s="4">
        <f>+(B14+(0.5*D14))/(B14+C14+D14)</f>
        <v>0.5</v>
      </c>
      <c r="F14">
        <v>18</v>
      </c>
      <c r="G14">
        <v>30</v>
      </c>
      <c r="H14">
        <f>+F14-G14</f>
        <v>-12</v>
      </c>
      <c r="J14" t="s">
        <v>32</v>
      </c>
      <c r="K14">
        <v>1</v>
      </c>
      <c r="L14">
        <v>1</v>
      </c>
      <c r="M14">
        <v>0</v>
      </c>
      <c r="N14" s="4">
        <f>+(K14+(0.5*M14))/(K14+L14+M14)</f>
        <v>0.5</v>
      </c>
      <c r="O14">
        <v>34</v>
      </c>
      <c r="P14">
        <v>46</v>
      </c>
      <c r="Q14">
        <f>+O14-P14</f>
        <v>-12</v>
      </c>
      <c r="S14">
        <v>38</v>
      </c>
      <c r="T14" s="3" t="s">
        <v>16</v>
      </c>
      <c r="U14" s="3" t="s">
        <v>38</v>
      </c>
      <c r="V14" s="3" t="s">
        <v>18</v>
      </c>
      <c r="W14" s="9">
        <v>31</v>
      </c>
    </row>
    <row r="15" spans="1:23">
      <c r="A15" t="s">
        <v>19</v>
      </c>
      <c r="B15">
        <v>0</v>
      </c>
      <c r="C15">
        <v>2</v>
      </c>
      <c r="D15">
        <v>0</v>
      </c>
      <c r="E15" s="4">
        <f>+(B15+(0.5*D15))/(B15+C15+D15)</f>
        <v>0</v>
      </c>
      <c r="F15">
        <v>31</v>
      </c>
      <c r="G15">
        <v>50</v>
      </c>
      <c r="H15">
        <f>+F15-G15</f>
        <v>-19</v>
      </c>
      <c r="J15" t="s">
        <v>33</v>
      </c>
      <c r="K15">
        <v>0</v>
      </c>
      <c r="L15">
        <v>2</v>
      </c>
      <c r="M15">
        <v>0</v>
      </c>
      <c r="N15" s="4">
        <f>+(K15+(0.5*M15))/(K15+L15+M15)</f>
        <v>0</v>
      </c>
      <c r="O15">
        <v>46</v>
      </c>
      <c r="P15">
        <v>58</v>
      </c>
      <c r="Q15">
        <f>+O15-P15</f>
        <v>-12</v>
      </c>
      <c r="S15">
        <v>15</v>
      </c>
      <c r="T15" s="3" t="s">
        <v>28</v>
      </c>
      <c r="U15" s="3" t="s">
        <v>38</v>
      </c>
      <c r="V15" s="3" t="s">
        <v>26</v>
      </c>
      <c r="W15" s="9">
        <v>20</v>
      </c>
    </row>
    <row r="16" spans="1:23">
      <c r="S16">
        <v>6</v>
      </c>
      <c r="T16" s="3" t="s">
        <v>34</v>
      </c>
      <c r="U16" s="3" t="s">
        <v>38</v>
      </c>
      <c r="V16" s="3" t="s">
        <v>6</v>
      </c>
      <c r="W16" s="9">
        <v>26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23</v>
      </c>
      <c r="B18">
        <v>1</v>
      </c>
      <c r="C18">
        <v>1</v>
      </c>
      <c r="D18">
        <v>0</v>
      </c>
      <c r="E18" s="4">
        <f>+(B18+(0.5*D18))/(B18+C18+D18)</f>
        <v>0.5</v>
      </c>
      <c r="F18">
        <v>44</v>
      </c>
      <c r="G18">
        <v>44</v>
      </c>
      <c r="H18">
        <f>+F18-G18</f>
        <v>0</v>
      </c>
      <c r="J18" t="s">
        <v>35</v>
      </c>
      <c r="K18">
        <v>2</v>
      </c>
      <c r="L18">
        <v>0</v>
      </c>
      <c r="M18">
        <v>0</v>
      </c>
      <c r="N18" s="4">
        <f>+(K18+(0.5*M18))/(K18+L18+M18)</f>
        <v>1</v>
      </c>
      <c r="O18">
        <v>54</v>
      </c>
      <c r="P18">
        <v>27</v>
      </c>
      <c r="Q18">
        <f>+O18-P18</f>
        <v>27</v>
      </c>
      <c r="T18" s="7" t="s">
        <v>45</v>
      </c>
      <c r="W18" s="9"/>
    </row>
    <row r="19" spans="1:23">
      <c r="A19" t="s">
        <v>22</v>
      </c>
      <c r="B19">
        <v>1</v>
      </c>
      <c r="C19">
        <v>1</v>
      </c>
      <c r="D19">
        <v>0</v>
      </c>
      <c r="E19" s="4">
        <f>+(B19+(0.5*D19))/(B19+C19+D19)</f>
        <v>0.5</v>
      </c>
      <c r="F19">
        <v>26</v>
      </c>
      <c r="G19">
        <v>40</v>
      </c>
      <c r="H19">
        <f>+F19-G19</f>
        <v>-14</v>
      </c>
      <c r="J19" t="s">
        <v>36</v>
      </c>
      <c r="K19">
        <v>2</v>
      </c>
      <c r="L19">
        <v>0</v>
      </c>
      <c r="M19">
        <v>0</v>
      </c>
      <c r="N19" s="4">
        <f>+(K19+(0.5*M19))/(K19+L19+M19)</f>
        <v>1</v>
      </c>
      <c r="O19">
        <v>51</v>
      </c>
      <c r="P19">
        <v>42</v>
      </c>
      <c r="Q19">
        <f>+O19-P19</f>
        <v>9</v>
      </c>
      <c r="S19">
        <v>23</v>
      </c>
      <c r="T19" s="3" t="s">
        <v>22</v>
      </c>
      <c r="U19" s="3" t="s">
        <v>38</v>
      </c>
      <c r="V19" s="3" t="s">
        <v>37</v>
      </c>
      <c r="W19" s="9">
        <v>7</v>
      </c>
    </row>
    <row r="20" spans="1:23">
      <c r="A20" t="s">
        <v>24</v>
      </c>
      <c r="B20">
        <v>1</v>
      </c>
      <c r="C20">
        <v>1</v>
      </c>
      <c r="D20">
        <v>0</v>
      </c>
      <c r="E20" s="4">
        <f>+(B20+(0.5*D20))/(B20+C20+D20)</f>
        <v>0.5</v>
      </c>
      <c r="F20">
        <v>33</v>
      </c>
      <c r="G20">
        <v>51</v>
      </c>
      <c r="H20">
        <f>+F20-G20</f>
        <v>-18</v>
      </c>
      <c r="J20" t="s">
        <v>34</v>
      </c>
      <c r="K20">
        <v>1</v>
      </c>
      <c r="L20">
        <v>1</v>
      </c>
      <c r="M20">
        <v>0</v>
      </c>
      <c r="N20" s="4">
        <f>+(K20+(0.5*M20))/(K20+L20+M20)</f>
        <v>0.5</v>
      </c>
      <c r="O20">
        <v>36</v>
      </c>
      <c r="P20">
        <v>36</v>
      </c>
      <c r="Q20">
        <f>+O20-P20</f>
        <v>0</v>
      </c>
    </row>
    <row r="21" spans="1:23">
      <c r="A21" t="s">
        <v>21</v>
      </c>
      <c r="B21">
        <v>0</v>
      </c>
      <c r="C21">
        <v>2</v>
      </c>
      <c r="D21">
        <v>0</v>
      </c>
      <c r="E21" s="4">
        <f>+(B21+(0.5*D21))/(B21+C21+D21)</f>
        <v>0</v>
      </c>
      <c r="F21">
        <v>13</v>
      </c>
      <c r="G21">
        <v>60</v>
      </c>
      <c r="H21">
        <f>+F21-G21</f>
        <v>-47</v>
      </c>
      <c r="J21" t="s">
        <v>37</v>
      </c>
      <c r="K21">
        <v>0</v>
      </c>
      <c r="L21">
        <v>2</v>
      </c>
      <c r="M21">
        <v>0</v>
      </c>
      <c r="N21" s="4">
        <f>+(K21+(0.5*M21))/(K21+L21+M21)</f>
        <v>0</v>
      </c>
      <c r="O21">
        <v>17</v>
      </c>
      <c r="P21">
        <v>40</v>
      </c>
      <c r="Q21">
        <f>+O21-P21</f>
        <v>-23</v>
      </c>
    </row>
  </sheetData>
  <sortState ref="A18:H21">
    <sortCondition descending="1" ref="E18:E21"/>
    <sortCondition descending="1" ref="H18:H2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H1" zoomScale="150" zoomScaleNormal="150" zoomScalePageLayoutView="150" workbookViewId="0">
      <selection activeCell="T11" sqref="T11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47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48</v>
      </c>
      <c r="U4" s="3"/>
      <c r="V4" s="3"/>
      <c r="W4" s="2"/>
    </row>
    <row r="5" spans="1:23">
      <c r="A5" t="s">
        <v>3</v>
      </c>
      <c r="B5" s="3">
        <v>3</v>
      </c>
      <c r="C5" s="3">
        <v>0</v>
      </c>
      <c r="D5" s="3">
        <v>0</v>
      </c>
      <c r="E5" s="10">
        <f>+(B5+(0.5*D5))/(B5+C5+D5)</f>
        <v>1</v>
      </c>
      <c r="F5" s="3">
        <v>80</v>
      </c>
      <c r="G5" s="3">
        <v>32</v>
      </c>
      <c r="H5" s="3">
        <f>+F5-G5</f>
        <v>48</v>
      </c>
      <c r="J5" t="s">
        <v>26</v>
      </c>
      <c r="K5" s="3">
        <v>2</v>
      </c>
      <c r="L5" s="3">
        <v>1</v>
      </c>
      <c r="M5" s="3">
        <v>0</v>
      </c>
      <c r="N5" s="10">
        <f>+(K5+(0.5*M5))/(K5+L5+M5)</f>
        <v>0.66666666666666663</v>
      </c>
      <c r="O5" s="3">
        <f>36+27</f>
        <v>63</v>
      </c>
      <c r="P5" s="3">
        <f>36+14</f>
        <v>50</v>
      </c>
      <c r="Q5" s="3">
        <f>+O5-P5</f>
        <v>13</v>
      </c>
      <c r="S5">
        <v>19</v>
      </c>
      <c r="T5" s="6" t="s">
        <v>5</v>
      </c>
      <c r="U5" s="3" t="s">
        <v>38</v>
      </c>
      <c r="V5" s="3" t="s">
        <v>6</v>
      </c>
      <c r="W5" s="9">
        <v>13</v>
      </c>
    </row>
    <row r="6" spans="1:23">
      <c r="A6" t="s">
        <v>5</v>
      </c>
      <c r="B6" s="3">
        <v>3</v>
      </c>
      <c r="C6" s="3">
        <v>0</v>
      </c>
      <c r="D6" s="3">
        <v>0</v>
      </c>
      <c r="E6" s="10">
        <f>+(B6+(0.5*D6))/(B6+C6+D6)</f>
        <v>1</v>
      </c>
      <c r="F6" s="3">
        <v>59</v>
      </c>
      <c r="G6" s="3">
        <v>26</v>
      </c>
      <c r="H6" s="3">
        <f>+F6-G6</f>
        <v>33</v>
      </c>
      <c r="J6" t="s">
        <v>27</v>
      </c>
      <c r="K6" s="3">
        <v>2</v>
      </c>
      <c r="L6" s="3">
        <v>1</v>
      </c>
      <c r="M6" s="3">
        <v>0</v>
      </c>
      <c r="N6" s="10">
        <f>+(K6+(0.5*M6))/(K6+L6+M6)</f>
        <v>0.66666666666666663</v>
      </c>
      <c r="O6" s="3">
        <v>31</v>
      </c>
      <c r="P6" s="3">
        <v>26</v>
      </c>
      <c r="Q6" s="3">
        <f>+O6-P6</f>
        <v>5</v>
      </c>
      <c r="S6">
        <v>20</v>
      </c>
      <c r="T6" s="3" t="s">
        <v>18</v>
      </c>
      <c r="U6" s="3" t="s">
        <v>38</v>
      </c>
      <c r="V6" s="3" t="s">
        <v>17</v>
      </c>
      <c r="W6" s="9">
        <v>13</v>
      </c>
    </row>
    <row r="7" spans="1:23">
      <c r="A7" t="s">
        <v>4</v>
      </c>
      <c r="B7" s="3">
        <v>2</v>
      </c>
      <c r="C7" s="3">
        <v>1</v>
      </c>
      <c r="D7" s="3">
        <v>0</v>
      </c>
      <c r="E7" s="10">
        <f>+(B7+(0.5*D7))/(B7+C7+D7)</f>
        <v>0.66666666666666663</v>
      </c>
      <c r="F7" s="3">
        <f>48+27</f>
        <v>75</v>
      </c>
      <c r="G7" s="3">
        <f>47+23</f>
        <v>70</v>
      </c>
      <c r="H7" s="3">
        <f>+F7-G7</f>
        <v>5</v>
      </c>
      <c r="J7" t="s">
        <v>4</v>
      </c>
      <c r="K7" s="3">
        <v>1</v>
      </c>
      <c r="L7" s="3">
        <v>2</v>
      </c>
      <c r="M7" s="3">
        <v>0</v>
      </c>
      <c r="N7" s="10">
        <f>+(K7+(0.5*M7))/(K7+L7+M7)</f>
        <v>0.33333333333333331</v>
      </c>
      <c r="O7" s="3">
        <v>39</v>
      </c>
      <c r="P7" s="3">
        <v>59</v>
      </c>
      <c r="Q7" s="3">
        <f>+O7-P7</f>
        <v>-20</v>
      </c>
      <c r="S7">
        <v>10</v>
      </c>
      <c r="T7" s="3" t="s">
        <v>27</v>
      </c>
      <c r="U7" s="3" t="s">
        <v>38</v>
      </c>
      <c r="V7" s="3" t="s">
        <v>30</v>
      </c>
      <c r="W7" s="9">
        <v>13</v>
      </c>
    </row>
    <row r="8" spans="1:23">
      <c r="A8" t="s">
        <v>6</v>
      </c>
      <c r="B8" s="3">
        <v>1</v>
      </c>
      <c r="C8" s="3">
        <v>2</v>
      </c>
      <c r="D8" s="3">
        <v>0</v>
      </c>
      <c r="E8" s="10">
        <f>+(B8+(0.5*D8))/(B8+C8+D8)</f>
        <v>0.33333333333333331</v>
      </c>
      <c r="F8" s="3">
        <v>67</v>
      </c>
      <c r="G8" s="3">
        <v>60</v>
      </c>
      <c r="H8" s="3">
        <f>+F8-G8</f>
        <v>7</v>
      </c>
      <c r="J8" t="s">
        <v>28</v>
      </c>
      <c r="K8" s="3">
        <v>0</v>
      </c>
      <c r="L8" s="3">
        <v>2</v>
      </c>
      <c r="M8" s="3">
        <v>1</v>
      </c>
      <c r="N8" s="10">
        <f>+(K8+(0.5*M8))/(K8+L8+M8)</f>
        <v>0.16666666666666666</v>
      </c>
      <c r="O8" s="3">
        <v>28</v>
      </c>
      <c r="P8" s="3">
        <v>54</v>
      </c>
      <c r="Q8" s="3">
        <f>+O8-P8</f>
        <v>-26</v>
      </c>
      <c r="S8">
        <v>22</v>
      </c>
      <c r="T8" s="3" t="s">
        <v>31</v>
      </c>
      <c r="U8" s="3" t="s">
        <v>38</v>
      </c>
      <c r="V8" s="3" t="s">
        <v>33</v>
      </c>
      <c r="W8" s="9">
        <v>25</v>
      </c>
    </row>
    <row r="9" spans="1:23">
      <c r="A9" t="s">
        <v>7</v>
      </c>
      <c r="B9" s="3">
        <v>0</v>
      </c>
      <c r="C9" s="3">
        <v>3</v>
      </c>
      <c r="D9" s="3">
        <v>0</v>
      </c>
      <c r="E9" s="10">
        <f>+(B9+(0.5*D9))/(B9+C9+D9)</f>
        <v>0</v>
      </c>
      <c r="F9" s="3">
        <v>34</v>
      </c>
      <c r="G9" s="3">
        <f>44+27</f>
        <v>71</v>
      </c>
      <c r="H9" s="3">
        <f>+F9-G9</f>
        <v>-37</v>
      </c>
      <c r="J9" t="s">
        <v>29</v>
      </c>
      <c r="K9" s="3">
        <v>0</v>
      </c>
      <c r="L9" s="3">
        <v>3</v>
      </c>
      <c r="M9" s="3">
        <v>0</v>
      </c>
      <c r="N9" s="10">
        <f>+(K9+(0.5*M9))/(K9+L9+M9)</f>
        <v>0</v>
      </c>
      <c r="O9" s="3">
        <v>29</v>
      </c>
      <c r="P9" s="3">
        <v>45</v>
      </c>
      <c r="Q9" s="3">
        <f>+O9-P9</f>
        <v>-16</v>
      </c>
      <c r="S9">
        <v>30</v>
      </c>
      <c r="T9" s="3" t="s">
        <v>22</v>
      </c>
      <c r="U9" s="3" t="s">
        <v>38</v>
      </c>
      <c r="V9" s="3" t="s">
        <v>23</v>
      </c>
      <c r="W9" s="9">
        <v>14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17</v>
      </c>
      <c r="T10" s="3" t="s">
        <v>36</v>
      </c>
      <c r="U10" s="3" t="s">
        <v>38</v>
      </c>
      <c r="V10" s="3" t="s">
        <v>35</v>
      </c>
      <c r="W10" s="9">
        <v>30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20</v>
      </c>
      <c r="T11" s="6" t="s">
        <v>3</v>
      </c>
      <c r="U11" s="3" t="s">
        <v>38</v>
      </c>
      <c r="V11" s="3" t="s">
        <v>32</v>
      </c>
      <c r="W11" s="9">
        <v>19</v>
      </c>
    </row>
    <row r="12" spans="1:23">
      <c r="A12" t="s">
        <v>16</v>
      </c>
      <c r="B12" s="3">
        <v>2</v>
      </c>
      <c r="C12" s="3">
        <v>0</v>
      </c>
      <c r="D12" s="3">
        <v>1</v>
      </c>
      <c r="E12" s="10">
        <f>+(B12+(0.5*D12))/(B12+C12+D12)</f>
        <v>0.83333333333333337</v>
      </c>
      <c r="F12" s="3">
        <v>80</v>
      </c>
      <c r="G12" s="3">
        <v>54</v>
      </c>
      <c r="H12" s="3">
        <f>+F12-G12</f>
        <v>26</v>
      </c>
      <c r="J12" t="s">
        <v>30</v>
      </c>
      <c r="K12" s="3">
        <v>3</v>
      </c>
      <c r="L12" s="3">
        <v>0</v>
      </c>
      <c r="M12" s="3">
        <v>0</v>
      </c>
      <c r="N12" s="10">
        <f>+(K12+(0.5*M12))/(K12+L12+M12)</f>
        <v>1</v>
      </c>
      <c r="O12" s="3">
        <v>64</v>
      </c>
      <c r="P12" s="3">
        <v>13</v>
      </c>
      <c r="Q12" s="3">
        <f>+O12-P12</f>
        <v>51</v>
      </c>
      <c r="S12">
        <v>27</v>
      </c>
      <c r="T12" s="3" t="s">
        <v>41</v>
      </c>
      <c r="U12" s="3" t="s">
        <v>38</v>
      </c>
      <c r="V12" s="3" t="s">
        <v>19</v>
      </c>
      <c r="W12" s="9">
        <v>23</v>
      </c>
    </row>
    <row r="13" spans="1:23">
      <c r="A13" t="s">
        <v>18</v>
      </c>
      <c r="B13" s="3">
        <v>2</v>
      </c>
      <c r="C13" s="3">
        <v>1</v>
      </c>
      <c r="D13" s="3">
        <v>0</v>
      </c>
      <c r="E13" s="10">
        <f>+(B13+(0.5*D13))/(B13+C13+D13)</f>
        <v>0.66666666666666663</v>
      </c>
      <c r="F13" s="3">
        <v>65</v>
      </c>
      <c r="G13" s="3">
        <v>58</v>
      </c>
      <c r="H13" s="3">
        <f>+F13-G13</f>
        <v>7</v>
      </c>
      <c r="J13" t="s">
        <v>31</v>
      </c>
      <c r="K13" s="3">
        <v>2</v>
      </c>
      <c r="L13" s="3">
        <v>1</v>
      </c>
      <c r="M13" s="3">
        <v>0</v>
      </c>
      <c r="N13" s="10">
        <f>+(K13+(0.5*M13))/(K13+L13+M13)</f>
        <v>0.66666666666666663</v>
      </c>
      <c r="O13" s="3">
        <f>59+22</f>
        <v>81</v>
      </c>
      <c r="P13" s="3">
        <f>22+25</f>
        <v>47</v>
      </c>
      <c r="Q13" s="3">
        <f>+O13-P13</f>
        <v>34</v>
      </c>
      <c r="S13">
        <v>13</v>
      </c>
      <c r="T13" s="3" t="s">
        <v>16</v>
      </c>
      <c r="U13" s="3" t="s">
        <v>38</v>
      </c>
      <c r="V13" s="3" t="s">
        <v>28</v>
      </c>
      <c r="W13" s="9">
        <v>13</v>
      </c>
    </row>
    <row r="14" spans="1:23">
      <c r="A14" t="s">
        <v>17</v>
      </c>
      <c r="B14" s="3">
        <v>1</v>
      </c>
      <c r="C14" s="3">
        <v>2</v>
      </c>
      <c r="D14" s="3">
        <v>0</v>
      </c>
      <c r="E14" s="10">
        <f>+(B14+(0.5*D14))/(B14+C14+D14)</f>
        <v>0.33333333333333331</v>
      </c>
      <c r="F14" s="3">
        <v>31</v>
      </c>
      <c r="G14" s="3">
        <v>50</v>
      </c>
      <c r="H14" s="3">
        <f>+F14-G14</f>
        <v>-19</v>
      </c>
      <c r="J14" t="s">
        <v>33</v>
      </c>
      <c r="K14" s="3">
        <v>1</v>
      </c>
      <c r="L14" s="3">
        <v>2</v>
      </c>
      <c r="M14" s="3">
        <v>0</v>
      </c>
      <c r="N14" s="10">
        <f>+(K14+(0.5*M14))/(K14+L14+M14)</f>
        <v>0.33333333333333331</v>
      </c>
      <c r="O14" s="3">
        <f>46+25</f>
        <v>71</v>
      </c>
      <c r="P14" s="3">
        <f>58+22</f>
        <v>80</v>
      </c>
      <c r="Q14" s="3">
        <f>+O14-P14</f>
        <v>-9</v>
      </c>
      <c r="S14">
        <v>10</v>
      </c>
      <c r="T14" s="3" t="s">
        <v>24</v>
      </c>
      <c r="U14" s="3" t="s">
        <v>38</v>
      </c>
      <c r="V14" s="3" t="s">
        <v>21</v>
      </c>
      <c r="W14" s="9">
        <v>26</v>
      </c>
    </row>
    <row r="15" spans="1:23">
      <c r="A15" t="s">
        <v>19</v>
      </c>
      <c r="B15" s="3">
        <v>0</v>
      </c>
      <c r="C15" s="3">
        <v>3</v>
      </c>
      <c r="D15" s="3">
        <v>0</v>
      </c>
      <c r="E15" s="10">
        <f>+(B15+(0.5*D15))/(B15+C15+D15)</f>
        <v>0</v>
      </c>
      <c r="F15" s="3">
        <f>31+23</f>
        <v>54</v>
      </c>
      <c r="G15" s="3">
        <f>50+27</f>
        <v>77</v>
      </c>
      <c r="H15" s="3">
        <f>+F15-G15</f>
        <v>-23</v>
      </c>
      <c r="J15" t="s">
        <v>32</v>
      </c>
      <c r="K15" s="3">
        <v>1</v>
      </c>
      <c r="L15" s="3">
        <v>2</v>
      </c>
      <c r="M15" s="3">
        <v>0</v>
      </c>
      <c r="N15" s="10">
        <f>+(K15+(0.5*M15))/(K15+L15+M15)</f>
        <v>0.33333333333333331</v>
      </c>
      <c r="O15" s="3">
        <v>53</v>
      </c>
      <c r="P15" s="3">
        <v>66</v>
      </c>
      <c r="Q15" s="3">
        <f>+O15-P15</f>
        <v>-13</v>
      </c>
      <c r="S15">
        <v>42</v>
      </c>
      <c r="T15" s="3" t="s">
        <v>34</v>
      </c>
      <c r="U15" s="3" t="s">
        <v>38</v>
      </c>
      <c r="V15" s="3" t="s">
        <v>37</v>
      </c>
      <c r="W15" s="9">
        <v>7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27</v>
      </c>
      <c r="T16" s="3" t="s">
        <v>26</v>
      </c>
      <c r="U16" s="3" t="s">
        <v>38</v>
      </c>
      <c r="V16" s="3" t="s">
        <v>7</v>
      </c>
      <c r="W16" s="9">
        <v>14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2</v>
      </c>
      <c r="C18" s="3">
        <v>1</v>
      </c>
      <c r="D18" s="3">
        <v>0</v>
      </c>
      <c r="E18" s="10">
        <f>+(B18+(0.5*D18))/(B18+C18+D18)</f>
        <v>0.66666666666666663</v>
      </c>
      <c r="F18" s="3">
        <f>26+30</f>
        <v>56</v>
      </c>
      <c r="G18" s="3">
        <f>40+14</f>
        <v>54</v>
      </c>
      <c r="H18" s="3">
        <f>+F18-G18</f>
        <v>2</v>
      </c>
      <c r="J18" t="s">
        <v>35</v>
      </c>
      <c r="K18" s="3">
        <v>3</v>
      </c>
      <c r="L18" s="3">
        <v>0</v>
      </c>
      <c r="M18" s="3">
        <v>0</v>
      </c>
      <c r="N18" s="10">
        <f>+(K18+(0.5*M18))/(K18+L18+M18)</f>
        <v>1</v>
      </c>
      <c r="O18" s="3">
        <v>84</v>
      </c>
      <c r="P18" s="3">
        <v>44</v>
      </c>
      <c r="Q18" s="3">
        <f>+O18-P18</f>
        <v>40</v>
      </c>
      <c r="T18" s="7" t="s">
        <v>49</v>
      </c>
      <c r="W18" s="9"/>
    </row>
    <row r="19" spans="1:23">
      <c r="A19" t="s">
        <v>23</v>
      </c>
      <c r="B19" s="3">
        <v>1</v>
      </c>
      <c r="C19" s="3">
        <v>2</v>
      </c>
      <c r="D19" s="3">
        <v>0</v>
      </c>
      <c r="E19" s="10">
        <f>+(B19+(0.5*D19))/(B19+C19+D19)</f>
        <v>0.33333333333333331</v>
      </c>
      <c r="F19" s="3">
        <f>44+14</f>
        <v>58</v>
      </c>
      <c r="G19" s="3">
        <f>44+30</f>
        <v>74</v>
      </c>
      <c r="H19" s="3">
        <f>+F19-G19</f>
        <v>-16</v>
      </c>
      <c r="J19" t="s">
        <v>34</v>
      </c>
      <c r="K19" s="3">
        <v>2</v>
      </c>
      <c r="L19" s="3">
        <v>1</v>
      </c>
      <c r="M19" s="3">
        <v>0</v>
      </c>
      <c r="N19" s="10">
        <f>+(K19+(0.5*M19))/(K19+L19+M19)</f>
        <v>0.66666666666666663</v>
      </c>
      <c r="O19" s="3">
        <v>78</v>
      </c>
      <c r="P19" s="3">
        <v>43</v>
      </c>
      <c r="Q19" s="3">
        <f>+O19-P19</f>
        <v>35</v>
      </c>
      <c r="S19">
        <v>20</v>
      </c>
      <c r="T19" s="3" t="s">
        <v>42</v>
      </c>
      <c r="U19" s="3" t="s">
        <v>38</v>
      </c>
      <c r="V19" s="3" t="s">
        <v>29</v>
      </c>
      <c r="W19" s="9">
        <v>16</v>
      </c>
    </row>
    <row r="20" spans="1:23">
      <c r="A20" t="s">
        <v>21</v>
      </c>
      <c r="B20" s="3">
        <v>1</v>
      </c>
      <c r="C20" s="3">
        <v>2</v>
      </c>
      <c r="D20" s="3">
        <v>0</v>
      </c>
      <c r="E20" s="10">
        <f>+(B20+(0.5*D20))/(B20+C20+D20)</f>
        <v>0.33333333333333331</v>
      </c>
      <c r="F20" s="3">
        <v>39</v>
      </c>
      <c r="G20" s="3">
        <v>70</v>
      </c>
      <c r="H20" s="3">
        <f>+F20-G20</f>
        <v>-31</v>
      </c>
      <c r="J20" t="s">
        <v>36</v>
      </c>
      <c r="K20" s="3">
        <v>2</v>
      </c>
      <c r="L20" s="3">
        <v>1</v>
      </c>
      <c r="M20" s="3">
        <v>0</v>
      </c>
      <c r="N20" s="10">
        <f>+(K20+(0.5*M20))/(K20+L20+M20)</f>
        <v>0.66666666666666663</v>
      </c>
      <c r="O20" s="3">
        <v>68</v>
      </c>
      <c r="P20" s="3">
        <v>72</v>
      </c>
      <c r="Q20" s="3">
        <f>+O20-P20</f>
        <v>-4</v>
      </c>
    </row>
    <row r="21" spans="1:23">
      <c r="A21" t="s">
        <v>24</v>
      </c>
      <c r="B21" s="3">
        <v>1</v>
      </c>
      <c r="C21" s="3">
        <v>2</v>
      </c>
      <c r="D21" s="3">
        <v>0</v>
      </c>
      <c r="E21" s="10">
        <f>+(B21+(0.5*D21))/(B21+C21+D21)</f>
        <v>0.33333333333333331</v>
      </c>
      <c r="F21" s="3">
        <v>43</v>
      </c>
      <c r="G21" s="3">
        <v>77</v>
      </c>
      <c r="H21" s="3">
        <f>+F21-G21</f>
        <v>-34</v>
      </c>
      <c r="J21" t="s">
        <v>37</v>
      </c>
      <c r="K21" s="3">
        <v>0</v>
      </c>
      <c r="L21" s="3">
        <v>3</v>
      </c>
      <c r="M21" s="3">
        <v>0</v>
      </c>
      <c r="N21" s="10">
        <f>+(K21+(0.5*M21))/(K21+L21+M21)</f>
        <v>0</v>
      </c>
      <c r="O21" s="3">
        <v>24</v>
      </c>
      <c r="P21" s="3">
        <v>82</v>
      </c>
      <c r="Q21" s="3">
        <f>+O21-P21</f>
        <v>-58</v>
      </c>
    </row>
  </sheetData>
  <sortState ref="J5:Q9">
    <sortCondition descending="1" ref="N5:N9"/>
    <sortCondition descending="1" ref="Q5:Q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L4" zoomScale="150" zoomScaleNormal="150" zoomScalePageLayoutView="150" workbookViewId="0">
      <selection activeCell="S13" sqref="S13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50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51</v>
      </c>
      <c r="U4" s="3"/>
      <c r="V4" s="3"/>
      <c r="W4" s="2"/>
    </row>
    <row r="5" spans="1:23">
      <c r="A5" t="s">
        <v>5</v>
      </c>
      <c r="B5" s="3">
        <v>4</v>
      </c>
      <c r="C5" s="3">
        <v>0</v>
      </c>
      <c r="D5" s="3">
        <v>0</v>
      </c>
      <c r="E5" s="10">
        <f>+(B5+(0.5*D5))/(B5+C5+D5)</f>
        <v>1</v>
      </c>
      <c r="F5" s="3">
        <f>59+17</f>
        <v>76</v>
      </c>
      <c r="G5" s="3">
        <v>35</v>
      </c>
      <c r="H5" s="3">
        <f>+F5-G5</f>
        <v>41</v>
      </c>
      <c r="J5" t="s">
        <v>26</v>
      </c>
      <c r="K5" s="3">
        <v>3</v>
      </c>
      <c r="L5" s="3">
        <v>1</v>
      </c>
      <c r="M5" s="3">
        <v>0</v>
      </c>
      <c r="N5" s="10">
        <f>+(K5+(0.5*M5))/(K5+L5+M5)</f>
        <v>0.75</v>
      </c>
      <c r="O5" s="3">
        <f>63+28</f>
        <v>91</v>
      </c>
      <c r="P5" s="3">
        <v>57</v>
      </c>
      <c r="Q5" s="3">
        <f>+O5-P5</f>
        <v>34</v>
      </c>
      <c r="S5">
        <v>24</v>
      </c>
      <c r="T5" s="6" t="s">
        <v>33</v>
      </c>
      <c r="U5" s="3" t="s">
        <v>38</v>
      </c>
      <c r="V5" s="3" t="s">
        <v>30</v>
      </c>
      <c r="W5" s="9">
        <v>38</v>
      </c>
    </row>
    <row r="6" spans="1:23">
      <c r="A6" t="s">
        <v>3</v>
      </c>
      <c r="B6" s="3">
        <v>3</v>
      </c>
      <c r="C6" s="3">
        <v>1</v>
      </c>
      <c r="D6" s="3">
        <v>0</v>
      </c>
      <c r="E6" s="10">
        <f>+(B6+(0.5*D6))/(B6+C6+D6)</f>
        <v>0.75</v>
      </c>
      <c r="F6" s="3">
        <v>94</v>
      </c>
      <c r="G6" s="3">
        <v>66</v>
      </c>
      <c r="H6" s="3">
        <f>+F6-G6</f>
        <v>28</v>
      </c>
      <c r="J6" t="s">
        <v>27</v>
      </c>
      <c r="K6" s="3">
        <v>2</v>
      </c>
      <c r="L6" s="3">
        <v>2</v>
      </c>
      <c r="M6" s="3">
        <v>0</v>
      </c>
      <c r="N6" s="10">
        <f>+(K6+(0.5*M6))/(K6+L6+M6)</f>
        <v>0.5</v>
      </c>
      <c r="O6" s="3">
        <v>34</v>
      </c>
      <c r="P6" s="3">
        <v>36</v>
      </c>
      <c r="Q6" s="3">
        <f>+O6-P6</f>
        <v>-2</v>
      </c>
      <c r="S6">
        <v>14</v>
      </c>
      <c r="T6" s="3" t="s">
        <v>23</v>
      </c>
      <c r="U6" s="3" t="s">
        <v>38</v>
      </c>
      <c r="V6" s="3" t="s">
        <v>18</v>
      </c>
      <c r="W6" s="9">
        <v>18</v>
      </c>
    </row>
    <row r="7" spans="1:23">
      <c r="A7" t="s">
        <v>4</v>
      </c>
      <c r="B7" s="3">
        <v>3</v>
      </c>
      <c r="C7" s="3">
        <v>1</v>
      </c>
      <c r="D7" s="3">
        <v>0</v>
      </c>
      <c r="E7" s="10">
        <f>+(B7+(0.5*D7))/(B7+C7+D7)</f>
        <v>0.75</v>
      </c>
      <c r="F7" s="3">
        <f>75+34</f>
        <v>109</v>
      </c>
      <c r="G7" s="3">
        <v>84</v>
      </c>
      <c r="H7" s="3">
        <f>+F7-G7</f>
        <v>25</v>
      </c>
      <c r="J7" t="s">
        <v>4</v>
      </c>
      <c r="K7" s="3">
        <v>2</v>
      </c>
      <c r="L7" s="3">
        <v>2</v>
      </c>
      <c r="M7" s="3">
        <v>0</v>
      </c>
      <c r="N7" s="10">
        <f>+(K7+(0.5*M7))/(K7+L7+M7)</f>
        <v>0.5</v>
      </c>
      <c r="O7" s="3">
        <f>39+12</f>
        <v>51</v>
      </c>
      <c r="P7" s="3">
        <v>59</v>
      </c>
      <c r="Q7" s="3">
        <f>+O7-P7</f>
        <v>-8</v>
      </c>
      <c r="S7">
        <v>20</v>
      </c>
      <c r="T7" s="6" t="s">
        <v>31</v>
      </c>
      <c r="U7" s="3" t="s">
        <v>38</v>
      </c>
      <c r="V7" s="3" t="s">
        <v>35</v>
      </c>
      <c r="W7" s="9">
        <v>17</v>
      </c>
    </row>
    <row r="8" spans="1:23">
      <c r="A8" t="s">
        <v>6</v>
      </c>
      <c r="B8" s="3">
        <v>2</v>
      </c>
      <c r="C8" s="3">
        <v>2</v>
      </c>
      <c r="D8" s="3">
        <v>0</v>
      </c>
      <c r="E8" s="10">
        <f>+(B8+(0.5*D8))/(B8+C8+D8)</f>
        <v>0.5</v>
      </c>
      <c r="F8" s="3">
        <f>67+42</f>
        <v>109</v>
      </c>
      <c r="G8" s="3">
        <f>60+24</f>
        <v>84</v>
      </c>
      <c r="H8" s="3">
        <f>+F8-G8</f>
        <v>25</v>
      </c>
      <c r="J8" t="s">
        <v>28</v>
      </c>
      <c r="K8" s="3">
        <v>0</v>
      </c>
      <c r="L8" s="3">
        <v>3</v>
      </c>
      <c r="M8" s="3">
        <v>1</v>
      </c>
      <c r="N8" s="10">
        <f>+(K8+(0.5*M8))/(K8+L8+M8)</f>
        <v>0.125</v>
      </c>
      <c r="O8" s="3">
        <v>34</v>
      </c>
      <c r="P8" s="3">
        <v>74</v>
      </c>
      <c r="Q8" s="3">
        <f>+O8-P8</f>
        <v>-40</v>
      </c>
      <c r="S8">
        <v>23</v>
      </c>
      <c r="T8" s="3" t="s">
        <v>22</v>
      </c>
      <c r="U8" s="3" t="s">
        <v>38</v>
      </c>
      <c r="V8" s="3" t="s">
        <v>17</v>
      </c>
      <c r="W8" s="9">
        <v>16</v>
      </c>
    </row>
    <row r="9" spans="1:23">
      <c r="A9" t="s">
        <v>7</v>
      </c>
      <c r="B9" s="3">
        <v>0</v>
      </c>
      <c r="C9" s="3">
        <v>4</v>
      </c>
      <c r="D9" s="3">
        <v>0</v>
      </c>
      <c r="E9" s="10">
        <f>+(B9+(0.5*D9))/(B9+C9+D9)</f>
        <v>0</v>
      </c>
      <c r="F9" s="3">
        <v>58</v>
      </c>
      <c r="G9" s="3">
        <f>71+42</f>
        <v>113</v>
      </c>
      <c r="H9" s="3">
        <f>+F9-G9</f>
        <v>-55</v>
      </c>
      <c r="J9" t="s">
        <v>29</v>
      </c>
      <c r="K9" s="3">
        <v>0</v>
      </c>
      <c r="L9" s="3">
        <v>4</v>
      </c>
      <c r="M9" s="3">
        <v>0</v>
      </c>
      <c r="N9" s="10">
        <f>+(K9+(0.5*M9))/(K9+L9+M9)</f>
        <v>0</v>
      </c>
      <c r="O9" s="3">
        <v>36</v>
      </c>
      <c r="P9" s="3">
        <f>45+28</f>
        <v>73</v>
      </c>
      <c r="Q9" s="3">
        <f>+O9-P9</f>
        <v>-37</v>
      </c>
      <c r="S9">
        <v>14</v>
      </c>
      <c r="T9" s="3" t="s">
        <v>3</v>
      </c>
      <c r="U9" s="3" t="s">
        <v>38</v>
      </c>
      <c r="V9" s="3" t="s">
        <v>41</v>
      </c>
      <c r="W9" s="9">
        <v>34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24</v>
      </c>
      <c r="T10" s="3" t="s">
        <v>7</v>
      </c>
      <c r="U10" s="3" t="s">
        <v>38</v>
      </c>
      <c r="V10" s="3" t="s">
        <v>6</v>
      </c>
      <c r="W10" s="9">
        <v>42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0</v>
      </c>
      <c r="T11" s="3" t="s">
        <v>37</v>
      </c>
      <c r="U11" s="3" t="s">
        <v>38</v>
      </c>
      <c r="V11" s="3" t="s">
        <v>42</v>
      </c>
      <c r="W11" s="9">
        <v>12</v>
      </c>
    </row>
    <row r="12" spans="1:23">
      <c r="A12" t="s">
        <v>16</v>
      </c>
      <c r="B12" s="3">
        <v>3</v>
      </c>
      <c r="C12" s="3">
        <v>0</v>
      </c>
      <c r="D12" s="3">
        <v>1</v>
      </c>
      <c r="E12" s="10">
        <f>+(B12+(0.5*D12))/(B12+C12+D12)</f>
        <v>0.875</v>
      </c>
      <c r="F12" s="3">
        <v>90</v>
      </c>
      <c r="G12" s="3">
        <v>57</v>
      </c>
      <c r="H12" s="3">
        <f>+F12-G12</f>
        <v>33</v>
      </c>
      <c r="J12" t="s">
        <v>30</v>
      </c>
      <c r="K12" s="3">
        <v>4</v>
      </c>
      <c r="L12" s="3">
        <v>0</v>
      </c>
      <c r="M12" s="3">
        <v>0</v>
      </c>
      <c r="N12" s="10">
        <f>+(K12+(0.5*M12))/(K12+L12+M12)</f>
        <v>1</v>
      </c>
      <c r="O12" s="3">
        <f>64+38</f>
        <v>102</v>
      </c>
      <c r="P12" s="3">
        <v>37</v>
      </c>
      <c r="Q12" s="3">
        <f>+O12-P12</f>
        <v>65</v>
      </c>
      <c r="S12">
        <v>7</v>
      </c>
      <c r="T12" s="3" t="s">
        <v>29</v>
      </c>
      <c r="U12" s="3" t="s">
        <v>38</v>
      </c>
      <c r="V12" s="3" t="s">
        <v>26</v>
      </c>
      <c r="W12" s="9">
        <v>28</v>
      </c>
    </row>
    <row r="13" spans="1:23">
      <c r="A13" t="s">
        <v>18</v>
      </c>
      <c r="B13" s="3">
        <v>3</v>
      </c>
      <c r="C13" s="3">
        <v>1</v>
      </c>
      <c r="D13" s="3">
        <v>0</v>
      </c>
      <c r="E13" s="10">
        <f>+(B13+(0.5*D13))/(B13+C13+D13)</f>
        <v>0.75</v>
      </c>
      <c r="F13" s="3">
        <f>65+18</f>
        <v>83</v>
      </c>
      <c r="G13" s="3">
        <f>58+14</f>
        <v>72</v>
      </c>
      <c r="H13" s="3">
        <f>+F13-G13</f>
        <v>11</v>
      </c>
      <c r="J13" t="s">
        <v>31</v>
      </c>
      <c r="K13" s="3">
        <v>3</v>
      </c>
      <c r="L13" s="3">
        <v>1</v>
      </c>
      <c r="M13" s="3">
        <v>0</v>
      </c>
      <c r="N13" s="10">
        <f>+(K13+(0.5*M13))/(K13+L13+M13)</f>
        <v>0.75</v>
      </c>
      <c r="O13" s="3">
        <v>101</v>
      </c>
      <c r="P13" s="3">
        <v>64</v>
      </c>
      <c r="Q13" s="3">
        <f>+O13-P13</f>
        <v>37</v>
      </c>
      <c r="S13">
        <v>10</v>
      </c>
      <c r="T13" s="3" t="s">
        <v>16</v>
      </c>
      <c r="U13" s="3" t="s">
        <v>38</v>
      </c>
      <c r="V13" s="3" t="s">
        <v>27</v>
      </c>
      <c r="W13" s="9">
        <v>3</v>
      </c>
    </row>
    <row r="14" spans="1:23">
      <c r="A14" t="s">
        <v>19</v>
      </c>
      <c r="B14" s="3">
        <v>1</v>
      </c>
      <c r="C14" s="3">
        <v>3</v>
      </c>
      <c r="D14" s="3">
        <v>0</v>
      </c>
      <c r="E14" s="10">
        <f>+(B14+(0.5*D14))/(B14+C14+D14)</f>
        <v>0.25</v>
      </c>
      <c r="F14" s="3">
        <v>70</v>
      </c>
      <c r="G14" s="3">
        <v>90</v>
      </c>
      <c r="H14" s="3">
        <f>+F14-G14</f>
        <v>-20</v>
      </c>
      <c r="J14" t="s">
        <v>32</v>
      </c>
      <c r="K14" s="3">
        <v>2</v>
      </c>
      <c r="L14" s="3">
        <v>2</v>
      </c>
      <c r="M14" s="3">
        <v>0</v>
      </c>
      <c r="N14" s="10">
        <f>+(K14+(0.5*M14))/(K14+L14+M14)</f>
        <v>0.5</v>
      </c>
      <c r="O14" s="3">
        <v>73</v>
      </c>
      <c r="P14" s="3">
        <v>72</v>
      </c>
      <c r="Q14" s="3">
        <f>+O14-P14</f>
        <v>1</v>
      </c>
      <c r="S14">
        <v>6</v>
      </c>
      <c r="T14" s="3" t="s">
        <v>28</v>
      </c>
      <c r="U14" s="3" t="s">
        <v>38</v>
      </c>
      <c r="V14" s="3" t="s">
        <v>32</v>
      </c>
      <c r="W14" s="9">
        <v>20</v>
      </c>
    </row>
    <row r="15" spans="1:23">
      <c r="A15" t="s">
        <v>17</v>
      </c>
      <c r="B15" s="3">
        <v>1</v>
      </c>
      <c r="C15" s="3">
        <v>3</v>
      </c>
      <c r="D15" s="3">
        <v>0</v>
      </c>
      <c r="E15" s="10">
        <f>+(B15+(0.5*D15))/(B15+C15+D15)</f>
        <v>0.25</v>
      </c>
      <c r="F15" s="3">
        <v>47</v>
      </c>
      <c r="G15" s="3">
        <v>73</v>
      </c>
      <c r="H15" s="3">
        <f>+F15-G15</f>
        <v>-26</v>
      </c>
      <c r="J15" t="s">
        <v>33</v>
      </c>
      <c r="K15" s="3">
        <v>1</v>
      </c>
      <c r="L15" s="3">
        <v>3</v>
      </c>
      <c r="M15" s="3">
        <v>0</v>
      </c>
      <c r="N15" s="10">
        <f>+(K15+(0.5*M15))/(K15+L15+M15)</f>
        <v>0.25</v>
      </c>
      <c r="O15" s="3">
        <v>95</v>
      </c>
      <c r="P15" s="3">
        <v>118</v>
      </c>
      <c r="Q15" s="3">
        <f>+O15-P15</f>
        <v>-23</v>
      </c>
      <c r="S15">
        <v>9</v>
      </c>
      <c r="T15" s="3" t="s">
        <v>24</v>
      </c>
      <c r="U15" s="3" t="s">
        <v>38</v>
      </c>
      <c r="V15" s="3" t="s">
        <v>5</v>
      </c>
      <c r="W15" s="9">
        <v>17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34</v>
      </c>
      <c r="T16" s="3" t="s">
        <v>53</v>
      </c>
      <c r="U16" s="3" t="s">
        <v>38</v>
      </c>
      <c r="V16" s="3" t="s">
        <v>36</v>
      </c>
      <c r="W16" s="9">
        <v>19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3</v>
      </c>
      <c r="C18" s="3">
        <v>1</v>
      </c>
      <c r="D18" s="3">
        <v>0</v>
      </c>
      <c r="E18" s="10">
        <f>+(B18+(0.5*D18))/(B18+C18+D18)</f>
        <v>0.75</v>
      </c>
      <c r="F18" s="3">
        <v>79</v>
      </c>
      <c r="G18" s="3">
        <f>54+16</f>
        <v>70</v>
      </c>
      <c r="H18" s="3">
        <f>+F18-G18</f>
        <v>9</v>
      </c>
      <c r="J18" t="s">
        <v>34</v>
      </c>
      <c r="K18" s="3">
        <v>3</v>
      </c>
      <c r="L18" s="3">
        <v>1</v>
      </c>
      <c r="M18" s="3">
        <v>0</v>
      </c>
      <c r="N18" s="10">
        <f>+(K18+(0.5*M18))/(K18+L18+M18)</f>
        <v>0.75</v>
      </c>
      <c r="O18" s="3">
        <f>78+34</f>
        <v>112</v>
      </c>
      <c r="P18" s="3">
        <f>43+19</f>
        <v>62</v>
      </c>
      <c r="Q18" s="3">
        <f>+O18-P18</f>
        <v>50</v>
      </c>
      <c r="T18" s="7" t="s">
        <v>52</v>
      </c>
      <c r="W18" s="9"/>
    </row>
    <row r="19" spans="1:23">
      <c r="A19" t="s">
        <v>23</v>
      </c>
      <c r="B19" s="3">
        <v>1</v>
      </c>
      <c r="C19" s="3">
        <v>3</v>
      </c>
      <c r="D19" s="3">
        <v>0</v>
      </c>
      <c r="E19" s="10">
        <f>+(B19+(0.5*D19))/(B19+C19+D19)</f>
        <v>0.25</v>
      </c>
      <c r="F19" s="3">
        <f>58+14</f>
        <v>72</v>
      </c>
      <c r="G19" s="3">
        <f>74+18</f>
        <v>92</v>
      </c>
      <c r="H19" s="3">
        <f>+F19-G19</f>
        <v>-20</v>
      </c>
      <c r="J19" t="s">
        <v>35</v>
      </c>
      <c r="K19" s="3">
        <v>3</v>
      </c>
      <c r="L19" s="3">
        <v>1</v>
      </c>
      <c r="M19" s="3">
        <v>0</v>
      </c>
      <c r="N19" s="10">
        <f>+(K19+(0.5*M19))/(K19+L19+M19)</f>
        <v>0.75</v>
      </c>
      <c r="O19" s="3">
        <v>101</v>
      </c>
      <c r="P19" s="3">
        <v>64</v>
      </c>
      <c r="Q19" s="3">
        <f>+O19-P19</f>
        <v>37</v>
      </c>
      <c r="S19">
        <v>13</v>
      </c>
      <c r="T19" s="3" t="s">
        <v>21</v>
      </c>
      <c r="U19" s="3" t="s">
        <v>38</v>
      </c>
      <c r="V19" s="3" t="s">
        <v>19</v>
      </c>
      <c r="W19" s="9">
        <v>16</v>
      </c>
    </row>
    <row r="20" spans="1:23">
      <c r="A20" t="s">
        <v>21</v>
      </c>
      <c r="B20" s="3">
        <v>1</v>
      </c>
      <c r="C20" s="3">
        <v>3</v>
      </c>
      <c r="D20" s="3">
        <v>0</v>
      </c>
      <c r="E20" s="10">
        <f>+(B20+(0.5*D20))/(B20+C20+D20)</f>
        <v>0.25</v>
      </c>
      <c r="F20" s="3">
        <v>55</v>
      </c>
      <c r="G20" s="3">
        <v>83</v>
      </c>
      <c r="H20" s="3">
        <f>+F20-G20</f>
        <v>-28</v>
      </c>
      <c r="J20" t="s">
        <v>36</v>
      </c>
      <c r="K20" s="3">
        <v>2</v>
      </c>
      <c r="L20" s="3">
        <v>2</v>
      </c>
      <c r="M20" s="3">
        <v>0</v>
      </c>
      <c r="N20" s="10">
        <f>+(K20+(0.5*M20))/(K20+L20+M20)</f>
        <v>0.5</v>
      </c>
      <c r="O20" s="3">
        <v>87</v>
      </c>
      <c r="P20" s="3">
        <v>106</v>
      </c>
      <c r="Q20" s="3">
        <f>+O20-P20</f>
        <v>-19</v>
      </c>
    </row>
    <row r="21" spans="1:23">
      <c r="A21" t="s">
        <v>24</v>
      </c>
      <c r="B21" s="3">
        <v>1</v>
      </c>
      <c r="C21" s="3">
        <v>3</v>
      </c>
      <c r="D21" s="3">
        <v>0</v>
      </c>
      <c r="E21" s="10">
        <f>+(B21+(0.5*D21))/(B21+C21+D21)</f>
        <v>0.25</v>
      </c>
      <c r="F21" s="3">
        <v>52</v>
      </c>
      <c r="G21" s="3">
        <v>94</v>
      </c>
      <c r="H21" s="3">
        <f>+F21-G21</f>
        <v>-42</v>
      </c>
      <c r="J21" t="s">
        <v>37</v>
      </c>
      <c r="K21" s="3">
        <v>0</v>
      </c>
      <c r="L21" s="3">
        <v>4</v>
      </c>
      <c r="M21" s="3">
        <v>0</v>
      </c>
      <c r="N21" s="10">
        <f>+(K21+(0.5*M21))/(K21+L21+M21)</f>
        <v>0</v>
      </c>
      <c r="O21" s="3">
        <v>24</v>
      </c>
      <c r="P21" s="3">
        <v>94</v>
      </c>
      <c r="Q21" s="3">
        <f>+O21-P21</f>
        <v>-70</v>
      </c>
    </row>
  </sheetData>
  <sortState ref="A12:H15">
    <sortCondition descending="1" ref="E12:E15"/>
    <sortCondition descending="1" ref="H12:H1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H1" zoomScale="150" zoomScaleNormal="150" zoomScalePageLayoutView="150" workbookViewId="0">
      <selection activeCell="T11" sqref="T11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57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54</v>
      </c>
      <c r="U4" s="3"/>
      <c r="V4" s="3"/>
      <c r="W4" s="2"/>
    </row>
    <row r="5" spans="1:23">
      <c r="A5" t="s">
        <v>5</v>
      </c>
      <c r="B5" s="3">
        <v>5</v>
      </c>
      <c r="C5" s="3">
        <v>0</v>
      </c>
      <c r="D5" s="3">
        <v>0</v>
      </c>
      <c r="E5" s="10">
        <f>+(B5+(0.5*D5))/(B5+C5+D5)</f>
        <v>1</v>
      </c>
      <c r="F5" s="3">
        <f>76+34</f>
        <v>110</v>
      </c>
      <c r="G5" s="3">
        <f>35+19</f>
        <v>54</v>
      </c>
      <c r="H5" s="3">
        <f>+F5-G5</f>
        <v>56</v>
      </c>
      <c r="J5" t="s">
        <v>26</v>
      </c>
      <c r="K5" s="3">
        <v>4</v>
      </c>
      <c r="L5" s="3">
        <v>1</v>
      </c>
      <c r="M5" s="3">
        <v>0</v>
      </c>
      <c r="N5" s="10">
        <f>+(K5+(0.5*M5))/(K5+L5+M5)</f>
        <v>0.8</v>
      </c>
      <c r="O5" s="3">
        <f>91+41</f>
        <v>132</v>
      </c>
      <c r="P5" s="3">
        <f>57+16</f>
        <v>73</v>
      </c>
      <c r="Q5" s="3">
        <f>+O5-P5</f>
        <v>59</v>
      </c>
      <c r="S5">
        <v>17</v>
      </c>
      <c r="T5" s="6" t="s">
        <v>56</v>
      </c>
      <c r="U5" s="3" t="s">
        <v>38</v>
      </c>
      <c r="V5" s="3" t="s">
        <v>37</v>
      </c>
      <c r="W5" s="9">
        <v>0</v>
      </c>
    </row>
    <row r="6" spans="1:23">
      <c r="A6" t="s">
        <v>3</v>
      </c>
      <c r="B6" s="3">
        <v>4</v>
      </c>
      <c r="C6" s="3">
        <v>1</v>
      </c>
      <c r="D6" s="3">
        <v>0</v>
      </c>
      <c r="E6" s="10">
        <f>+(B6+(0.5*D6))/(B6+C6+D6)</f>
        <v>0.8</v>
      </c>
      <c r="F6" s="3">
        <v>109</v>
      </c>
      <c r="G6" s="3">
        <v>76</v>
      </c>
      <c r="H6" s="3">
        <f>+F6-G6</f>
        <v>33</v>
      </c>
      <c r="J6" t="s">
        <v>4</v>
      </c>
      <c r="K6" s="3">
        <v>3</v>
      </c>
      <c r="L6" s="3">
        <v>2</v>
      </c>
      <c r="M6" s="3">
        <v>0</v>
      </c>
      <c r="N6" s="10">
        <f>+(K6+(0.5*M6))/(K6+L6+M6)</f>
        <v>0.6</v>
      </c>
      <c r="O6" s="3">
        <v>75</v>
      </c>
      <c r="P6" s="3">
        <f>59+23</f>
        <v>82</v>
      </c>
      <c r="Q6" s="3">
        <f>+O6-P6</f>
        <v>-7</v>
      </c>
      <c r="S6">
        <v>10</v>
      </c>
      <c r="T6" s="3" t="s">
        <v>6</v>
      </c>
      <c r="U6" s="3" t="s">
        <v>38</v>
      </c>
      <c r="V6" s="3" t="s">
        <v>21</v>
      </c>
      <c r="W6" s="9">
        <v>51</v>
      </c>
    </row>
    <row r="7" spans="1:23">
      <c r="A7" t="s">
        <v>4</v>
      </c>
      <c r="B7" s="3">
        <v>4</v>
      </c>
      <c r="C7" s="3">
        <v>1</v>
      </c>
      <c r="D7" s="3">
        <v>0</v>
      </c>
      <c r="E7" s="10">
        <f>+(B7+(0.5*D7))/(B7+C7+D7)</f>
        <v>0.8</v>
      </c>
      <c r="F7" s="3">
        <v>140</v>
      </c>
      <c r="G7" s="3">
        <f>84+27</f>
        <v>111</v>
      </c>
      <c r="H7" s="3">
        <f>+F7-G7</f>
        <v>29</v>
      </c>
      <c r="J7" t="s">
        <v>27</v>
      </c>
      <c r="K7" s="3">
        <v>2</v>
      </c>
      <c r="L7" s="3">
        <v>3</v>
      </c>
      <c r="M7" s="3">
        <v>0</v>
      </c>
      <c r="N7" s="10">
        <f>+(K7+(0.5*M7))/(K7+L7+M7)</f>
        <v>0.4</v>
      </c>
      <c r="O7" s="3">
        <v>43</v>
      </c>
      <c r="P7" s="3">
        <v>60</v>
      </c>
      <c r="Q7" s="3">
        <f>+O7-P7</f>
        <v>-17</v>
      </c>
      <c r="S7">
        <v>13</v>
      </c>
      <c r="T7" s="6" t="s">
        <v>33</v>
      </c>
      <c r="U7" s="3" t="s">
        <v>38</v>
      </c>
      <c r="V7" s="3" t="s">
        <v>17</v>
      </c>
      <c r="W7" s="9">
        <v>31</v>
      </c>
    </row>
    <row r="8" spans="1:23">
      <c r="A8" t="s">
        <v>6</v>
      </c>
      <c r="B8" s="3">
        <v>2</v>
      </c>
      <c r="C8" s="3">
        <v>3</v>
      </c>
      <c r="D8" s="3">
        <v>0</v>
      </c>
      <c r="E8" s="10">
        <f>+(B8+(0.5*D8))/(B8+C8+D8)</f>
        <v>0.4</v>
      </c>
      <c r="F8" s="3">
        <v>119</v>
      </c>
      <c r="G8" s="3">
        <v>135</v>
      </c>
      <c r="H8" s="3">
        <f>+F8-G8</f>
        <v>-16</v>
      </c>
      <c r="J8" t="s">
        <v>28</v>
      </c>
      <c r="K8" s="3">
        <v>0</v>
      </c>
      <c r="L8" s="3">
        <v>4</v>
      </c>
      <c r="M8" s="3">
        <v>1</v>
      </c>
      <c r="N8" s="10">
        <f>+(K8+(0.5*M8))/(K8+L8+M8)</f>
        <v>0.1</v>
      </c>
      <c r="O8" s="3">
        <v>50</v>
      </c>
      <c r="P8" s="3">
        <v>115</v>
      </c>
      <c r="Q8" s="3">
        <f>+O8-P8</f>
        <v>-65</v>
      </c>
      <c r="S8">
        <v>3</v>
      </c>
      <c r="T8" s="3" t="s">
        <v>18</v>
      </c>
      <c r="U8" s="3" t="s">
        <v>38</v>
      </c>
      <c r="V8" s="3" t="s">
        <v>22</v>
      </c>
      <c r="W8" s="9">
        <v>30</v>
      </c>
    </row>
    <row r="9" spans="1:23">
      <c r="A9" t="s">
        <v>7</v>
      </c>
      <c r="B9" s="3">
        <v>0</v>
      </c>
      <c r="C9" s="3">
        <v>5</v>
      </c>
      <c r="D9" s="3">
        <v>0</v>
      </c>
      <c r="E9" s="10">
        <f>+(B9+(0.5*D9))/(B9+C9+D9)</f>
        <v>0</v>
      </c>
      <c r="F9" s="3">
        <f>58+27</f>
        <v>85</v>
      </c>
      <c r="G9" s="3">
        <f>113+31</f>
        <v>144</v>
      </c>
      <c r="H9" s="3">
        <f>+F9-G9</f>
        <v>-59</v>
      </c>
      <c r="J9" t="s">
        <v>29</v>
      </c>
      <c r="K9" s="3">
        <v>0</v>
      </c>
      <c r="L9" s="3">
        <v>5</v>
      </c>
      <c r="M9" s="3">
        <v>0</v>
      </c>
      <c r="N9" s="10">
        <f>+(K9+(0.5*M9))/(K9+L9+M9)</f>
        <v>0</v>
      </c>
      <c r="O9" s="3">
        <v>49</v>
      </c>
      <c r="P9" s="3">
        <v>93</v>
      </c>
      <c r="Q9" s="3">
        <f>+O9-P9</f>
        <v>-44</v>
      </c>
      <c r="S9">
        <v>19</v>
      </c>
      <c r="T9" s="3" t="s">
        <v>27</v>
      </c>
      <c r="U9" s="3" t="s">
        <v>38</v>
      </c>
      <c r="V9" s="3" t="s">
        <v>5</v>
      </c>
      <c r="W9" s="9">
        <v>34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17</v>
      </c>
      <c r="T10" s="3" t="s">
        <v>19</v>
      </c>
      <c r="U10" s="3" t="s">
        <v>38</v>
      </c>
      <c r="V10" s="3" t="s">
        <v>16</v>
      </c>
      <c r="W10" s="9">
        <v>44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20</v>
      </c>
      <c r="T11" s="3" t="s">
        <v>36</v>
      </c>
      <c r="U11" s="3" t="s">
        <v>38</v>
      </c>
      <c r="V11" s="3" t="s">
        <v>29</v>
      </c>
      <c r="W11" s="9">
        <v>13</v>
      </c>
    </row>
    <row r="12" spans="1:23">
      <c r="A12" t="s">
        <v>16</v>
      </c>
      <c r="B12" s="3">
        <v>4</v>
      </c>
      <c r="C12" s="3">
        <v>0</v>
      </c>
      <c r="D12" s="3">
        <v>1</v>
      </c>
      <c r="E12" s="10">
        <f>+(B12+(0.5*D12))/(B12+C12+D12)</f>
        <v>0.9</v>
      </c>
      <c r="F12" s="3">
        <v>134</v>
      </c>
      <c r="G12" s="3">
        <v>74</v>
      </c>
      <c r="H12" s="3">
        <f>+F12-G12</f>
        <v>60</v>
      </c>
      <c r="J12" t="s">
        <v>30</v>
      </c>
      <c r="K12" s="3">
        <v>5</v>
      </c>
      <c r="L12" s="3">
        <v>0</v>
      </c>
      <c r="M12" s="3">
        <v>0</v>
      </c>
      <c r="N12" s="10">
        <f>+(K12+(0.5*M12))/(K12+L12+M12)</f>
        <v>1</v>
      </c>
      <c r="O12" s="3">
        <v>124</v>
      </c>
      <c r="P12" s="3">
        <v>54</v>
      </c>
      <c r="Q12" s="3">
        <f>+O12-P12</f>
        <v>70</v>
      </c>
      <c r="S12">
        <v>35</v>
      </c>
      <c r="T12" s="3" t="s">
        <v>32</v>
      </c>
      <c r="U12" s="3" t="s">
        <v>38</v>
      </c>
      <c r="V12" s="3" t="s">
        <v>23</v>
      </c>
      <c r="W12" s="9">
        <v>20</v>
      </c>
    </row>
    <row r="13" spans="1:23">
      <c r="A13" t="s">
        <v>18</v>
      </c>
      <c r="B13" s="3">
        <v>3</v>
      </c>
      <c r="C13" s="3">
        <v>2</v>
      </c>
      <c r="D13" s="3">
        <v>0</v>
      </c>
      <c r="E13" s="10">
        <f>+(B13+(0.5*D13))/(B13+C13+D13)</f>
        <v>0.6</v>
      </c>
      <c r="F13" s="3">
        <v>86</v>
      </c>
      <c r="G13" s="3">
        <v>102</v>
      </c>
      <c r="H13" s="3">
        <f>+F13-G13</f>
        <v>-16</v>
      </c>
      <c r="J13" t="s">
        <v>31</v>
      </c>
      <c r="K13" s="3">
        <v>3</v>
      </c>
      <c r="L13" s="3">
        <v>2</v>
      </c>
      <c r="M13" s="3">
        <v>0</v>
      </c>
      <c r="N13" s="10">
        <f>+(K13+(0.5*M13))/(K13+L13+M13)</f>
        <v>0.6</v>
      </c>
      <c r="O13" s="3">
        <v>118</v>
      </c>
      <c r="P13" s="3">
        <v>86</v>
      </c>
      <c r="Q13" s="3">
        <f>+O13-P13</f>
        <v>32</v>
      </c>
      <c r="S13">
        <v>24</v>
      </c>
      <c r="T13" s="3" t="s">
        <v>42</v>
      </c>
      <c r="U13" s="3" t="s">
        <v>38</v>
      </c>
      <c r="V13" s="3" t="s">
        <v>34</v>
      </c>
      <c r="W13" s="9">
        <v>23</v>
      </c>
    </row>
    <row r="14" spans="1:23">
      <c r="A14" t="s">
        <v>17</v>
      </c>
      <c r="B14" s="3">
        <v>2</v>
      </c>
      <c r="C14" s="3">
        <v>3</v>
      </c>
      <c r="D14" s="3">
        <v>0</v>
      </c>
      <c r="E14" s="10">
        <f>+(B14+(0.5*D14))/(B14+C14+D14)</f>
        <v>0.4</v>
      </c>
      <c r="F14" s="3">
        <v>78</v>
      </c>
      <c r="G14" s="3">
        <v>86</v>
      </c>
      <c r="H14" s="3">
        <f>+F14-G14</f>
        <v>-8</v>
      </c>
      <c r="J14" t="s">
        <v>32</v>
      </c>
      <c r="K14" s="3">
        <v>3</v>
      </c>
      <c r="L14" s="3">
        <v>2</v>
      </c>
      <c r="M14" s="3">
        <v>0</v>
      </c>
      <c r="N14" s="10">
        <f>+(K14+(0.5*M14))/(K14+L14+M14)</f>
        <v>0.6</v>
      </c>
      <c r="O14" s="3">
        <v>108</v>
      </c>
      <c r="P14" s="3">
        <v>92</v>
      </c>
      <c r="Q14" s="3">
        <f>+O14-P14</f>
        <v>16</v>
      </c>
      <c r="S14">
        <v>31</v>
      </c>
      <c r="T14" s="3" t="s">
        <v>41</v>
      </c>
      <c r="U14" s="3" t="s">
        <v>38</v>
      </c>
      <c r="V14" s="3" t="s">
        <v>7</v>
      </c>
      <c r="W14" s="9">
        <v>27</v>
      </c>
    </row>
    <row r="15" spans="1:23">
      <c r="A15" t="s">
        <v>19</v>
      </c>
      <c r="B15" s="3">
        <v>1</v>
      </c>
      <c r="C15" s="3">
        <v>4</v>
      </c>
      <c r="D15" s="3">
        <v>0</v>
      </c>
      <c r="E15" s="10">
        <f>+(B15+(0.5*D15))/(B15+C15+D15)</f>
        <v>0.2</v>
      </c>
      <c r="F15" s="3">
        <v>87</v>
      </c>
      <c r="G15" s="3">
        <v>134</v>
      </c>
      <c r="H15" s="3">
        <f>+F15-G15</f>
        <v>-47</v>
      </c>
      <c r="J15" t="s">
        <v>33</v>
      </c>
      <c r="K15" s="3">
        <v>1</v>
      </c>
      <c r="L15" s="3">
        <v>4</v>
      </c>
      <c r="M15" s="3">
        <v>0</v>
      </c>
      <c r="N15" s="10">
        <f>+(K15+(0.5*M15))/(K15+L15+M15)</f>
        <v>0.2</v>
      </c>
      <c r="O15" s="3">
        <v>108</v>
      </c>
      <c r="P15" s="3">
        <v>149</v>
      </c>
      <c r="Q15" s="3">
        <f>+O15-P15</f>
        <v>-41</v>
      </c>
      <c r="S15">
        <v>10</v>
      </c>
      <c r="T15" s="3" t="s">
        <v>24</v>
      </c>
      <c r="U15" s="3" t="s">
        <v>38</v>
      </c>
      <c r="V15" s="3" t="s">
        <v>3</v>
      </c>
      <c r="W15" s="9">
        <v>15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41</v>
      </c>
      <c r="T16" s="3" t="s">
        <v>26</v>
      </c>
      <c r="U16" s="3" t="s">
        <v>38</v>
      </c>
      <c r="V16" s="3" t="s">
        <v>28</v>
      </c>
      <c r="W16" s="9">
        <v>16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4</v>
      </c>
      <c r="C18" s="3">
        <v>1</v>
      </c>
      <c r="D18" s="3">
        <v>0</v>
      </c>
      <c r="E18" s="10">
        <f>+(B18+(0.5*D18))/(B18+C18+D18)</f>
        <v>0.8</v>
      </c>
      <c r="F18" s="3">
        <v>109</v>
      </c>
      <c r="G18" s="3">
        <v>73</v>
      </c>
      <c r="H18" s="3">
        <f>+F18-G18</f>
        <v>36</v>
      </c>
      <c r="J18" t="s">
        <v>35</v>
      </c>
      <c r="K18" s="3">
        <v>4</v>
      </c>
      <c r="L18" s="3">
        <v>1</v>
      </c>
      <c r="M18" s="3">
        <v>0</v>
      </c>
      <c r="N18" s="10">
        <f>+(K18+(0.5*M18))/(K18+L18+M18)</f>
        <v>0.8</v>
      </c>
      <c r="O18" s="3">
        <v>118</v>
      </c>
      <c r="P18" s="3">
        <v>64</v>
      </c>
      <c r="Q18" s="3">
        <f>+O18-P18</f>
        <v>54</v>
      </c>
      <c r="T18" s="7" t="s">
        <v>55</v>
      </c>
      <c r="W18" s="9"/>
    </row>
    <row r="19" spans="1:23">
      <c r="A19" t="s">
        <v>21</v>
      </c>
      <c r="B19" s="3">
        <v>2</v>
      </c>
      <c r="C19" s="3">
        <v>3</v>
      </c>
      <c r="D19" s="3">
        <v>0</v>
      </c>
      <c r="E19" s="10">
        <f>+(B19+(0.5*D19))/(B19+C19+D19)</f>
        <v>0.4</v>
      </c>
      <c r="F19" s="3">
        <v>106</v>
      </c>
      <c r="G19" s="3">
        <v>93</v>
      </c>
      <c r="H19" s="3">
        <f>+F19-G19</f>
        <v>13</v>
      </c>
      <c r="J19" t="s">
        <v>34</v>
      </c>
      <c r="K19" s="3">
        <v>3</v>
      </c>
      <c r="L19" s="3">
        <v>2</v>
      </c>
      <c r="M19" s="3">
        <v>0</v>
      </c>
      <c r="N19" s="10">
        <f>+(K19+(0.5*M19))/(K19+L19+M19)</f>
        <v>0.6</v>
      </c>
      <c r="O19" s="3">
        <v>135</v>
      </c>
      <c r="P19" s="3">
        <v>86</v>
      </c>
      <c r="Q19" s="3">
        <f>+O19-P19</f>
        <v>49</v>
      </c>
      <c r="S19">
        <v>22</v>
      </c>
      <c r="T19" s="3" t="s">
        <v>30</v>
      </c>
      <c r="U19" s="3" t="s">
        <v>38</v>
      </c>
      <c r="V19" s="3" t="s">
        <v>31</v>
      </c>
      <c r="W19" s="9">
        <v>17</v>
      </c>
    </row>
    <row r="20" spans="1:23">
      <c r="A20" t="s">
        <v>23</v>
      </c>
      <c r="B20" s="3">
        <v>1</v>
      </c>
      <c r="C20" s="3">
        <v>4</v>
      </c>
      <c r="D20" s="3">
        <v>0</v>
      </c>
      <c r="E20" s="10">
        <f>+(B20+(0.5*D20))/(B20+C20+D20)</f>
        <v>0.2</v>
      </c>
      <c r="F20" s="3">
        <v>92</v>
      </c>
      <c r="G20" s="3">
        <v>127</v>
      </c>
      <c r="H20" s="3">
        <f>+F20-G20</f>
        <v>-35</v>
      </c>
      <c r="J20" t="s">
        <v>36</v>
      </c>
      <c r="K20" s="3">
        <v>3</v>
      </c>
      <c r="L20" s="3">
        <v>2</v>
      </c>
      <c r="M20" s="3">
        <v>0</v>
      </c>
      <c r="N20" s="10">
        <f>+(K20+(0.5*M20))/(K20+L20+M20)</f>
        <v>0.6</v>
      </c>
      <c r="O20" s="3">
        <v>107</v>
      </c>
      <c r="P20" s="3">
        <v>119</v>
      </c>
      <c r="Q20" s="3">
        <f>+O20-P20</f>
        <v>-12</v>
      </c>
    </row>
    <row r="21" spans="1:23">
      <c r="A21" t="s">
        <v>24</v>
      </c>
      <c r="B21" s="3">
        <v>1</v>
      </c>
      <c r="C21" s="3">
        <v>4</v>
      </c>
      <c r="D21" s="3">
        <v>0</v>
      </c>
      <c r="E21" s="10">
        <f>+(B21+(0.5*D21))/(B21+C21+D21)</f>
        <v>0.2</v>
      </c>
      <c r="F21" s="3">
        <v>62</v>
      </c>
      <c r="G21" s="3">
        <v>109</v>
      </c>
      <c r="H21" s="3">
        <f>+F21-G21</f>
        <v>-47</v>
      </c>
      <c r="J21" t="s">
        <v>37</v>
      </c>
      <c r="K21" s="3">
        <v>0</v>
      </c>
      <c r="L21" s="3">
        <v>5</v>
      </c>
      <c r="M21" s="3">
        <v>0</v>
      </c>
      <c r="N21" s="10">
        <f>+(K21+(0.5*M21))/(K21+L21+M21)</f>
        <v>0</v>
      </c>
      <c r="O21" s="3">
        <v>24</v>
      </c>
      <c r="P21" s="3">
        <v>111</v>
      </c>
      <c r="Q21" s="3">
        <f>+O21-P21</f>
        <v>-87</v>
      </c>
    </row>
  </sheetData>
  <sortState ref="J5:Q9">
    <sortCondition descending="1" ref="N5:N9"/>
    <sortCondition descending="1" ref="Q5:Q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J1" zoomScale="150" zoomScaleNormal="150" zoomScalePageLayoutView="150" workbookViewId="0">
      <selection activeCell="Z18" sqref="Z18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5">
      <c r="A1" s="1" t="s">
        <v>62</v>
      </c>
    </row>
    <row r="3" spans="1:25">
      <c r="A3" s="1" t="s">
        <v>1</v>
      </c>
      <c r="J3" s="1" t="s">
        <v>25</v>
      </c>
      <c r="S3" s="8" t="s">
        <v>40</v>
      </c>
      <c r="T3" s="1"/>
    </row>
    <row r="4" spans="1:25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58</v>
      </c>
      <c r="U4" s="3"/>
      <c r="V4" s="3"/>
      <c r="W4" s="2"/>
    </row>
    <row r="5" spans="1:25">
      <c r="A5" t="s">
        <v>3</v>
      </c>
      <c r="B5" s="3">
        <v>5</v>
      </c>
      <c r="C5" s="3">
        <v>1</v>
      </c>
      <c r="D5" s="3">
        <v>0</v>
      </c>
      <c r="E5" s="10">
        <f>+(B5+(0.5*D5))/(B5+C5+D5)</f>
        <v>0.83333333333333337</v>
      </c>
      <c r="F5" s="3">
        <v>139</v>
      </c>
      <c r="G5" s="3">
        <v>89</v>
      </c>
      <c r="H5" s="3">
        <f>+F5-G5</f>
        <v>50</v>
      </c>
      <c r="J5" t="s">
        <v>26</v>
      </c>
      <c r="K5" s="3">
        <v>5</v>
      </c>
      <c r="L5" s="3">
        <v>1</v>
      </c>
      <c r="M5" s="3">
        <v>0</v>
      </c>
      <c r="N5" s="10">
        <f>+(K5+(0.5*M5))/(K5+L5+M5)</f>
        <v>0.83333333333333337</v>
      </c>
      <c r="O5" s="3">
        <v>156</v>
      </c>
      <c r="P5" s="3">
        <v>86</v>
      </c>
      <c r="Q5" s="3">
        <f>+O5-P5</f>
        <v>70</v>
      </c>
      <c r="S5">
        <v>17</v>
      </c>
      <c r="T5" s="6" t="s">
        <v>35</v>
      </c>
      <c r="U5" s="3" t="s">
        <v>38</v>
      </c>
      <c r="V5" s="3" t="s">
        <v>30</v>
      </c>
      <c r="W5" s="9">
        <v>16</v>
      </c>
      <c r="X5" s="23" t="s">
        <v>60</v>
      </c>
      <c r="Y5" s="23"/>
    </row>
    <row r="6" spans="1:25">
      <c r="A6" t="s">
        <v>4</v>
      </c>
      <c r="B6" s="3">
        <v>5</v>
      </c>
      <c r="C6" s="3">
        <v>1</v>
      </c>
      <c r="D6" s="3">
        <v>0</v>
      </c>
      <c r="E6" s="10">
        <f>+(B6+(0.5*D6))/(B6+C6+D6)</f>
        <v>0.83333333333333337</v>
      </c>
      <c r="F6" s="3">
        <v>181</v>
      </c>
      <c r="G6" s="3">
        <v>135</v>
      </c>
      <c r="H6" s="3">
        <f>+F6-G6</f>
        <v>46</v>
      </c>
      <c r="J6" t="s">
        <v>4</v>
      </c>
      <c r="K6" s="3">
        <v>4</v>
      </c>
      <c r="L6" s="3">
        <v>2</v>
      </c>
      <c r="M6" s="3">
        <v>0</v>
      </c>
      <c r="N6" s="10">
        <f>+(K6+(0.5*M6))/(K6+L6+M6)</f>
        <v>0.66666666666666663</v>
      </c>
      <c r="O6" s="3">
        <v>105</v>
      </c>
      <c r="P6" s="3">
        <v>88</v>
      </c>
      <c r="Q6" s="3">
        <f>+O6-P6</f>
        <v>17</v>
      </c>
      <c r="S6">
        <v>24</v>
      </c>
      <c r="T6" s="3" t="s">
        <v>5</v>
      </c>
      <c r="U6" s="3" t="s">
        <v>38</v>
      </c>
      <c r="V6" s="3" t="s">
        <v>41</v>
      </c>
      <c r="W6" s="9">
        <v>41</v>
      </c>
    </row>
    <row r="7" spans="1:25">
      <c r="A7" t="s">
        <v>5</v>
      </c>
      <c r="B7" s="3">
        <v>5</v>
      </c>
      <c r="C7" s="3">
        <v>1</v>
      </c>
      <c r="D7" s="3">
        <v>0</v>
      </c>
      <c r="E7" s="10">
        <f>+(B7+(0.5*D7))/(B7+C7+D7)</f>
        <v>0.83333333333333337</v>
      </c>
      <c r="F7" s="3">
        <v>134</v>
      </c>
      <c r="G7" s="3">
        <v>95</v>
      </c>
      <c r="H7" s="3">
        <f>+F7-G7</f>
        <v>39</v>
      </c>
      <c r="J7" t="s">
        <v>27</v>
      </c>
      <c r="K7" s="3">
        <v>2</v>
      </c>
      <c r="L7" s="3">
        <v>4</v>
      </c>
      <c r="M7" s="3">
        <v>0</v>
      </c>
      <c r="N7" s="10">
        <f>+(K7+(0.5*M7))/(K7+L7+M7)</f>
        <v>0.33333333333333331</v>
      </c>
      <c r="O7" s="3">
        <v>56</v>
      </c>
      <c r="P7" s="3">
        <v>84</v>
      </c>
      <c r="Q7" s="3">
        <f>+O7-P7</f>
        <v>-28</v>
      </c>
      <c r="S7">
        <v>13</v>
      </c>
      <c r="T7" s="6" t="s">
        <v>6</v>
      </c>
      <c r="U7" s="3" t="s">
        <v>38</v>
      </c>
      <c r="V7" s="3" t="s">
        <v>3</v>
      </c>
      <c r="W7" s="9">
        <v>30</v>
      </c>
    </row>
    <row r="8" spans="1:25">
      <c r="A8" t="s">
        <v>6</v>
      </c>
      <c r="B8" s="3">
        <v>2</v>
      </c>
      <c r="C8" s="3">
        <v>4</v>
      </c>
      <c r="D8" s="3">
        <v>0</v>
      </c>
      <c r="E8" s="10">
        <f>+(B8+(0.5*D8))/(B8+C8+D8)</f>
        <v>0.33333333333333331</v>
      </c>
      <c r="F8" s="3">
        <v>132</v>
      </c>
      <c r="G8" s="3">
        <v>165</v>
      </c>
      <c r="H8" s="3">
        <f>+F8-G8</f>
        <v>-33</v>
      </c>
      <c r="J8" t="s">
        <v>28</v>
      </c>
      <c r="K8" s="3">
        <v>0</v>
      </c>
      <c r="L8" s="3">
        <v>5</v>
      </c>
      <c r="M8" s="3">
        <v>1</v>
      </c>
      <c r="N8" s="10">
        <f>+(K8+(0.5*M8))/(K8+L8+M8)</f>
        <v>8.3333333333333329E-2</v>
      </c>
      <c r="O8" s="3">
        <v>56</v>
      </c>
      <c r="P8" s="3">
        <v>145</v>
      </c>
      <c r="Q8" s="3">
        <f>+O8-P8</f>
        <v>-89</v>
      </c>
      <c r="S8">
        <v>37</v>
      </c>
      <c r="T8" s="3" t="s">
        <v>18</v>
      </c>
      <c r="U8" s="3" t="s">
        <v>38</v>
      </c>
      <c r="V8" s="3" t="s">
        <v>36</v>
      </c>
      <c r="W8" s="9">
        <v>10</v>
      </c>
    </row>
    <row r="9" spans="1:25">
      <c r="A9" t="s">
        <v>7</v>
      </c>
      <c r="B9" s="3">
        <v>0</v>
      </c>
      <c r="C9" s="3">
        <v>6</v>
      </c>
      <c r="D9" s="3">
        <v>0</v>
      </c>
      <c r="E9" s="10">
        <f>+(B9+(0.5*D9))/(B9+C9+D9)</f>
        <v>0</v>
      </c>
      <c r="F9" s="3">
        <v>102</v>
      </c>
      <c r="G9" s="3">
        <v>166</v>
      </c>
      <c r="H9" s="3">
        <f>+F9-G9</f>
        <v>-64</v>
      </c>
      <c r="J9" t="s">
        <v>29</v>
      </c>
      <c r="K9" s="3">
        <v>0</v>
      </c>
      <c r="L9" s="3">
        <v>6</v>
      </c>
      <c r="M9" s="3">
        <v>0</v>
      </c>
      <c r="N9" s="10">
        <f>+(K9+(0.5*M9))/(K9+L9+M9)</f>
        <v>0</v>
      </c>
      <c r="O9" s="3">
        <f>49+20</f>
        <v>69</v>
      </c>
      <c r="P9" s="3">
        <f>93+27</f>
        <v>120</v>
      </c>
      <c r="Q9" s="3">
        <f>+O9-P9</f>
        <v>-51</v>
      </c>
      <c r="S9">
        <v>31</v>
      </c>
      <c r="T9" s="3" t="s">
        <v>61</v>
      </c>
      <c r="U9" s="3" t="s">
        <v>38</v>
      </c>
      <c r="V9" s="3" t="s">
        <v>19</v>
      </c>
      <c r="W9" s="9">
        <v>3</v>
      </c>
    </row>
    <row r="10" spans="1:25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13</v>
      </c>
      <c r="T10" s="3" t="s">
        <v>27</v>
      </c>
      <c r="U10" s="3" t="s">
        <v>38</v>
      </c>
      <c r="V10" s="3" t="s">
        <v>26</v>
      </c>
      <c r="W10" s="9">
        <v>24</v>
      </c>
    </row>
    <row r="11" spans="1:25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27</v>
      </c>
      <c r="T11" s="3" t="s">
        <v>23</v>
      </c>
      <c r="U11" s="3" t="s">
        <v>38</v>
      </c>
      <c r="V11" s="3" t="s">
        <v>21</v>
      </c>
      <c r="W11" s="9">
        <v>10</v>
      </c>
    </row>
    <row r="12" spans="1:25">
      <c r="A12" t="s">
        <v>16</v>
      </c>
      <c r="B12" s="3">
        <v>5</v>
      </c>
      <c r="C12" s="3">
        <v>0</v>
      </c>
      <c r="D12" s="3">
        <v>1</v>
      </c>
      <c r="E12" s="10">
        <f>+(B12+(0.5*D12))/(B12+C12+D12)</f>
        <v>0.91666666666666663</v>
      </c>
      <c r="F12" s="3">
        <v>156</v>
      </c>
      <c r="G12" s="3">
        <v>91</v>
      </c>
      <c r="H12" s="3">
        <f>+F12-G12</f>
        <v>65</v>
      </c>
      <c r="J12" t="s">
        <v>30</v>
      </c>
      <c r="K12" s="3">
        <v>5</v>
      </c>
      <c r="L12" s="3">
        <v>1</v>
      </c>
      <c r="M12" s="3">
        <v>0</v>
      </c>
      <c r="N12" s="10">
        <f>+(K12+(0.5*M12))/(K12+L12+M12)</f>
        <v>0.83333333333333337</v>
      </c>
      <c r="O12" s="3">
        <v>140</v>
      </c>
      <c r="P12" s="3">
        <v>71</v>
      </c>
      <c r="Q12" s="3">
        <f>+O12-P12</f>
        <v>69</v>
      </c>
      <c r="S12">
        <v>17</v>
      </c>
      <c r="T12" s="3" t="s">
        <v>7</v>
      </c>
      <c r="U12" s="3" t="s">
        <v>38</v>
      </c>
      <c r="V12" s="3" t="s">
        <v>16</v>
      </c>
      <c r="W12" s="9">
        <v>22</v>
      </c>
    </row>
    <row r="13" spans="1:25">
      <c r="A13" t="s">
        <v>18</v>
      </c>
      <c r="B13" s="3">
        <v>4</v>
      </c>
      <c r="C13" s="3">
        <v>2</v>
      </c>
      <c r="D13" s="3">
        <v>0</v>
      </c>
      <c r="E13" s="10">
        <f>+(B13+(0.5*D13))/(B13+C13+D13)</f>
        <v>0.66666666666666663</v>
      </c>
      <c r="F13" s="3">
        <f>86+37</f>
        <v>123</v>
      </c>
      <c r="G13" s="3">
        <v>112</v>
      </c>
      <c r="H13" s="3">
        <f>+F13-G13</f>
        <v>11</v>
      </c>
      <c r="J13" t="s">
        <v>31</v>
      </c>
      <c r="K13" s="3">
        <v>4</v>
      </c>
      <c r="L13" s="3">
        <v>2</v>
      </c>
      <c r="M13" s="3">
        <v>0</v>
      </c>
      <c r="N13" s="10">
        <f>+(K13+(0.5*M13))/(K13+L13+M13)</f>
        <v>0.66666666666666663</v>
      </c>
      <c r="O13" s="3">
        <f>118+26</f>
        <v>144</v>
      </c>
      <c r="P13" s="3">
        <v>100</v>
      </c>
      <c r="Q13" s="3">
        <f>+O13-P13</f>
        <v>44</v>
      </c>
      <c r="S13">
        <v>0</v>
      </c>
      <c r="T13" s="3" t="s">
        <v>37</v>
      </c>
      <c r="U13" s="3" t="s">
        <v>38</v>
      </c>
      <c r="V13" s="3" t="s">
        <v>34</v>
      </c>
      <c r="W13" s="9">
        <v>33</v>
      </c>
    </row>
    <row r="14" spans="1:25">
      <c r="A14" t="s">
        <v>17</v>
      </c>
      <c r="B14" s="3">
        <v>3</v>
      </c>
      <c r="C14" s="3">
        <v>3</v>
      </c>
      <c r="D14" s="3">
        <v>0</v>
      </c>
      <c r="E14" s="10">
        <f>+(B14+(0.5*D14))/(B14+C14+D14)</f>
        <v>0.5</v>
      </c>
      <c r="F14" s="3">
        <v>109</v>
      </c>
      <c r="G14" s="3">
        <v>89</v>
      </c>
      <c r="H14" s="3">
        <f>+F14-G14</f>
        <v>20</v>
      </c>
      <c r="J14" t="s">
        <v>32</v>
      </c>
      <c r="K14" s="3">
        <v>4</v>
      </c>
      <c r="L14" s="3">
        <v>2</v>
      </c>
      <c r="M14" s="3">
        <v>0</v>
      </c>
      <c r="N14" s="10">
        <f>+(K14+(0.5*M14))/(K14+L14+M14)</f>
        <v>0.66666666666666663</v>
      </c>
      <c r="O14" s="3">
        <v>118</v>
      </c>
      <c r="P14" s="3">
        <v>98</v>
      </c>
      <c r="Q14" s="3">
        <f>+O14-P14</f>
        <v>20</v>
      </c>
      <c r="S14">
        <v>20</v>
      </c>
      <c r="T14" s="3" t="s">
        <v>29</v>
      </c>
      <c r="U14" s="3" t="s">
        <v>38</v>
      </c>
      <c r="V14" s="3" t="s">
        <v>22</v>
      </c>
      <c r="W14" s="9">
        <v>27</v>
      </c>
    </row>
    <row r="15" spans="1:25">
      <c r="A15" t="s">
        <v>19</v>
      </c>
      <c r="B15" s="3">
        <v>1</v>
      </c>
      <c r="C15" s="3">
        <v>5</v>
      </c>
      <c r="D15" s="3">
        <v>0</v>
      </c>
      <c r="E15" s="10">
        <f>+(B15+(0.5*D15))/(B15+C15+D15)</f>
        <v>0.16666666666666666</v>
      </c>
      <c r="F15" s="3">
        <v>90</v>
      </c>
      <c r="G15" s="3">
        <v>165</v>
      </c>
      <c r="H15" s="3">
        <f>+F15-G15</f>
        <v>-75</v>
      </c>
      <c r="J15" t="s">
        <v>33</v>
      </c>
      <c r="K15" s="3">
        <v>1</v>
      </c>
      <c r="L15" s="3">
        <v>5</v>
      </c>
      <c r="M15" s="3">
        <v>0</v>
      </c>
      <c r="N15" s="10">
        <f>+(K15+(0.5*M15))/(K15+L15+M15)</f>
        <v>0.16666666666666666</v>
      </c>
      <c r="O15" s="3">
        <v>114</v>
      </c>
      <c r="P15" s="3">
        <v>159</v>
      </c>
      <c r="Q15" s="3">
        <f>+O15-P15</f>
        <v>-45</v>
      </c>
      <c r="S15">
        <v>6</v>
      </c>
      <c r="T15" s="3" t="s">
        <v>28</v>
      </c>
      <c r="U15" s="3" t="s">
        <v>38</v>
      </c>
      <c r="V15" s="3" t="s">
        <v>42</v>
      </c>
      <c r="W15" s="9">
        <v>30</v>
      </c>
    </row>
    <row r="16" spans="1:25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14</v>
      </c>
      <c r="T16" s="3" t="s">
        <v>24</v>
      </c>
      <c r="U16" s="3" t="s">
        <v>38</v>
      </c>
      <c r="V16" s="3" t="s">
        <v>31</v>
      </c>
      <c r="W16" s="9">
        <v>26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5</v>
      </c>
      <c r="C18" s="3">
        <v>1</v>
      </c>
      <c r="D18" s="3">
        <v>0</v>
      </c>
      <c r="E18" s="10">
        <f>+(B18+(0.5*D18))/(B18+C18+D18)</f>
        <v>0.83333333333333337</v>
      </c>
      <c r="F18" s="3">
        <v>136</v>
      </c>
      <c r="G18" s="3">
        <v>93</v>
      </c>
      <c r="H18" s="3">
        <f>+F18-G18</f>
        <v>43</v>
      </c>
      <c r="J18" t="s">
        <v>35</v>
      </c>
      <c r="K18" s="3">
        <v>5</v>
      </c>
      <c r="L18" s="3">
        <v>1</v>
      </c>
      <c r="M18" s="3">
        <v>0</v>
      </c>
      <c r="N18" s="10">
        <f>+(K18+(0.5*M18))/(K18+L18+M18)</f>
        <v>0.83333333333333337</v>
      </c>
      <c r="O18" s="3">
        <v>135</v>
      </c>
      <c r="P18" s="3">
        <v>80</v>
      </c>
      <c r="Q18" s="3">
        <f>+O18-P18</f>
        <v>55</v>
      </c>
      <c r="T18" s="7" t="s">
        <v>59</v>
      </c>
      <c r="W18" s="9"/>
    </row>
    <row r="19" spans="1:23">
      <c r="A19" t="s">
        <v>21</v>
      </c>
      <c r="B19" s="3">
        <v>2</v>
      </c>
      <c r="C19" s="3">
        <v>4</v>
      </c>
      <c r="D19" s="3">
        <v>0</v>
      </c>
      <c r="E19" s="10">
        <f>+(B19+(0.5*D19))/(B19+C19+D19)</f>
        <v>0.33333333333333331</v>
      </c>
      <c r="F19" s="3">
        <f>106+27</f>
        <v>133</v>
      </c>
      <c r="G19" s="3">
        <v>103</v>
      </c>
      <c r="H19" s="3">
        <f>+F19-G19</f>
        <v>30</v>
      </c>
      <c r="J19" t="s">
        <v>34</v>
      </c>
      <c r="K19" s="3">
        <v>4</v>
      </c>
      <c r="L19" s="3">
        <v>2</v>
      </c>
      <c r="M19" s="3">
        <v>0</v>
      </c>
      <c r="N19" s="10">
        <f>+(K19+(0.5*M19))/(K19+L19+M19)</f>
        <v>0.66666666666666663</v>
      </c>
      <c r="O19" s="3">
        <v>168</v>
      </c>
      <c r="P19" s="3">
        <v>86</v>
      </c>
      <c r="Q19" s="3">
        <f>+O19-P19</f>
        <v>82</v>
      </c>
      <c r="S19">
        <v>10</v>
      </c>
      <c r="T19" s="3" t="s">
        <v>32</v>
      </c>
      <c r="U19" s="3" t="s">
        <v>38</v>
      </c>
      <c r="V19" s="3" t="s">
        <v>33</v>
      </c>
      <c r="W19" s="9">
        <v>6</v>
      </c>
    </row>
    <row r="20" spans="1:23">
      <c r="A20" t="s">
        <v>23</v>
      </c>
      <c r="B20" s="3">
        <v>2</v>
      </c>
      <c r="C20" s="3">
        <v>4</v>
      </c>
      <c r="D20" s="3">
        <v>0</v>
      </c>
      <c r="E20" s="10">
        <f>+(B20+(0.5*D20))/(B20+C20+D20)</f>
        <v>0.33333333333333331</v>
      </c>
      <c r="F20" s="3">
        <f>92+27</f>
        <v>119</v>
      </c>
      <c r="G20" s="3">
        <v>137</v>
      </c>
      <c r="H20" s="3">
        <f>+F20-G20</f>
        <v>-18</v>
      </c>
      <c r="J20" t="s">
        <v>36</v>
      </c>
      <c r="K20" s="3">
        <v>3</v>
      </c>
      <c r="L20" s="3">
        <v>3</v>
      </c>
      <c r="M20" s="3">
        <v>0</v>
      </c>
      <c r="N20" s="10">
        <f>+(K20+(0.5*M20))/(K20+L20+M20)</f>
        <v>0.5</v>
      </c>
      <c r="O20" s="3">
        <v>117</v>
      </c>
      <c r="P20" s="3">
        <f>119+37</f>
        <v>156</v>
      </c>
      <c r="Q20" s="3">
        <f>+O20-P20</f>
        <v>-39</v>
      </c>
    </row>
    <row r="21" spans="1:23">
      <c r="A21" t="s">
        <v>24</v>
      </c>
      <c r="B21" s="3">
        <v>1</v>
      </c>
      <c r="C21" s="3">
        <v>5</v>
      </c>
      <c r="D21" s="3">
        <v>0</v>
      </c>
      <c r="E21" s="10">
        <f>+(B21+(0.5*D21))/(B21+C21+D21)</f>
        <v>0.16666666666666666</v>
      </c>
      <c r="F21" s="3">
        <v>76</v>
      </c>
      <c r="G21" s="3">
        <v>135</v>
      </c>
      <c r="H21" s="3">
        <f>+F21-G21</f>
        <v>-59</v>
      </c>
      <c r="J21" t="s">
        <v>37</v>
      </c>
      <c r="K21" s="3">
        <v>0</v>
      </c>
      <c r="L21" s="3">
        <v>6</v>
      </c>
      <c r="M21" s="3">
        <v>0</v>
      </c>
      <c r="N21" s="10">
        <f>+(K21+(0.5*M21))/(K21+L21+M21)</f>
        <v>0</v>
      </c>
      <c r="O21" s="3">
        <v>24</v>
      </c>
      <c r="P21" s="3">
        <v>144</v>
      </c>
      <c r="Q21" s="3">
        <f>+O21-P21</f>
        <v>-120</v>
      </c>
    </row>
  </sheetData>
  <sortState ref="A5:H9">
    <sortCondition descending="1" ref="E5:E9"/>
    <sortCondition descending="1" ref="H5:H9"/>
  </sortState>
  <mergeCells count="1">
    <mergeCell ref="X5:Y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F1" zoomScale="150" zoomScaleNormal="150" zoomScalePageLayoutView="150" workbookViewId="0">
      <selection activeCell="R23" sqref="R23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65</v>
      </c>
    </row>
    <row r="2" spans="1:23">
      <c r="A2" t="s">
        <v>66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63</v>
      </c>
      <c r="U4" s="3"/>
      <c r="V4" s="3"/>
      <c r="W4" s="11"/>
    </row>
    <row r="5" spans="1:23">
      <c r="A5" t="s">
        <v>3</v>
      </c>
      <c r="B5" s="3">
        <v>6</v>
      </c>
      <c r="C5" s="3">
        <v>1</v>
      </c>
      <c r="D5" s="3">
        <v>0</v>
      </c>
      <c r="E5" s="10">
        <f>+(B5+(0.5*D5))/(B5+C5+D5)</f>
        <v>0.8571428571428571</v>
      </c>
      <c r="F5" s="3">
        <f>139+23</f>
        <v>162</v>
      </c>
      <c r="G5" s="3">
        <v>96</v>
      </c>
      <c r="H5" s="3">
        <f>+F5-G5</f>
        <v>66</v>
      </c>
      <c r="J5" t="s">
        <v>26</v>
      </c>
      <c r="K5" s="3">
        <v>5</v>
      </c>
      <c r="L5" s="3">
        <v>2</v>
      </c>
      <c r="M5" s="3">
        <v>0</v>
      </c>
      <c r="N5" s="10">
        <f>+(K5+(0.5*M5))/(K5+L5+M5)</f>
        <v>0.7142857142857143</v>
      </c>
      <c r="O5" s="3">
        <v>165</v>
      </c>
      <c r="P5" s="3">
        <v>98</v>
      </c>
      <c r="Q5" s="3">
        <f>+O5-P5</f>
        <v>67</v>
      </c>
      <c r="S5">
        <v>24</v>
      </c>
      <c r="T5" s="6" t="s">
        <v>33</v>
      </c>
      <c r="U5" s="3" t="s">
        <v>38</v>
      </c>
      <c r="V5" s="3" t="s">
        <v>28</v>
      </c>
      <c r="W5" s="9">
        <v>3</v>
      </c>
    </row>
    <row r="6" spans="1:23">
      <c r="A6" t="s">
        <v>4</v>
      </c>
      <c r="B6" s="3">
        <v>6</v>
      </c>
      <c r="C6" s="3">
        <v>1</v>
      </c>
      <c r="D6" s="3">
        <v>0</v>
      </c>
      <c r="E6" s="10">
        <f>+(B6+(0.5*D6))/(B6+C6+D6)</f>
        <v>0.8571428571428571</v>
      </c>
      <c r="F6" s="3">
        <f>181+31</f>
        <v>212</v>
      </c>
      <c r="G6" s="3">
        <v>155</v>
      </c>
      <c r="H6" s="3">
        <f>+F6-G6</f>
        <v>57</v>
      </c>
      <c r="J6" t="s">
        <v>4</v>
      </c>
      <c r="K6" s="3">
        <v>5</v>
      </c>
      <c r="L6" s="3">
        <v>2</v>
      </c>
      <c r="M6" s="3">
        <v>0</v>
      </c>
      <c r="N6" s="10">
        <f>+(K6+(0.5*M6))/(K6+L6+M6)</f>
        <v>0.7142857142857143</v>
      </c>
      <c r="O6" s="3">
        <v>117</v>
      </c>
      <c r="P6" s="3">
        <f>88+9</f>
        <v>97</v>
      </c>
      <c r="Q6" s="3">
        <f>+O6-P6</f>
        <v>20</v>
      </c>
      <c r="S6">
        <v>29</v>
      </c>
      <c r="T6" s="3" t="s">
        <v>17</v>
      </c>
      <c r="U6" s="3" t="s">
        <v>38</v>
      </c>
      <c r="V6" s="3" t="s">
        <v>23</v>
      </c>
      <c r="W6" s="9">
        <v>17</v>
      </c>
    </row>
    <row r="7" spans="1:23">
      <c r="A7" t="s">
        <v>5</v>
      </c>
      <c r="B7" s="3">
        <v>5</v>
      </c>
      <c r="C7" s="3">
        <v>2</v>
      </c>
      <c r="D7" s="3">
        <v>0</v>
      </c>
      <c r="E7" s="10">
        <f>+(B7+(0.5*D7))/(B7+C7+D7)</f>
        <v>0.7142857142857143</v>
      </c>
      <c r="F7" s="3">
        <v>141</v>
      </c>
      <c r="G7" s="3">
        <f>95+23</f>
        <v>118</v>
      </c>
      <c r="H7" s="3">
        <f>+F7-G7</f>
        <v>23</v>
      </c>
      <c r="J7" t="s">
        <v>27</v>
      </c>
      <c r="K7" s="3">
        <v>2</v>
      </c>
      <c r="L7" s="3">
        <v>5</v>
      </c>
      <c r="M7" s="3">
        <v>0</v>
      </c>
      <c r="N7" s="10">
        <f>+(K7+(0.5*M7))/(K7+L7+M7)</f>
        <v>0.2857142857142857</v>
      </c>
      <c r="O7" s="3">
        <v>70</v>
      </c>
      <c r="P7" s="3">
        <v>105</v>
      </c>
      <c r="Q7" s="3">
        <f>+O7-P7</f>
        <v>-35</v>
      </c>
      <c r="S7">
        <v>3</v>
      </c>
      <c r="T7" s="6" t="s">
        <v>19</v>
      </c>
      <c r="U7" s="3" t="s">
        <v>38</v>
      </c>
      <c r="V7" s="3" t="s">
        <v>18</v>
      </c>
      <c r="W7" s="9">
        <v>37</v>
      </c>
    </row>
    <row r="8" spans="1:23">
      <c r="A8" t="s">
        <v>6</v>
      </c>
      <c r="B8" s="3">
        <v>2</v>
      </c>
      <c r="C8" s="3">
        <v>5</v>
      </c>
      <c r="D8" s="3">
        <v>0</v>
      </c>
      <c r="E8" s="10">
        <f>+(B8+(0.5*D8))/(B8+C8+D8)</f>
        <v>0.2857142857142857</v>
      </c>
      <c r="F8" s="3">
        <v>139</v>
      </c>
      <c r="G8" s="3">
        <v>188</v>
      </c>
      <c r="H8" s="3">
        <f>+F8-G8</f>
        <v>-49</v>
      </c>
      <c r="J8" t="s">
        <v>28</v>
      </c>
      <c r="K8" s="3">
        <v>0</v>
      </c>
      <c r="L8" s="3">
        <v>6</v>
      </c>
      <c r="M8" s="3">
        <v>1</v>
      </c>
      <c r="N8" s="10">
        <f>+(K8+(0.5*M8))/(K8+L8+M8)</f>
        <v>7.1428571428571425E-2</v>
      </c>
      <c r="O8" s="3">
        <v>59</v>
      </c>
      <c r="P8" s="3">
        <v>169</v>
      </c>
      <c r="Q8" s="3">
        <f>+O8-P8</f>
        <v>-110</v>
      </c>
      <c r="S8">
        <v>12</v>
      </c>
      <c r="T8" s="3" t="s">
        <v>22</v>
      </c>
      <c r="U8" s="3" t="s">
        <v>38</v>
      </c>
      <c r="V8" s="3" t="s">
        <v>24</v>
      </c>
      <c r="W8" s="9">
        <v>19</v>
      </c>
    </row>
    <row r="9" spans="1:23">
      <c r="A9" t="s">
        <v>7</v>
      </c>
      <c r="B9" s="3">
        <v>0</v>
      </c>
      <c r="C9" s="3">
        <v>7</v>
      </c>
      <c r="D9" s="3">
        <v>0</v>
      </c>
      <c r="E9" s="10">
        <f>+(B9+(0.5*D9))/(B9+C9+D9)</f>
        <v>0</v>
      </c>
      <c r="F9" s="3">
        <v>122</v>
      </c>
      <c r="G9" s="3">
        <v>197</v>
      </c>
      <c r="H9" s="3">
        <f>+F9-G9</f>
        <v>-75</v>
      </c>
      <c r="J9" t="s">
        <v>29</v>
      </c>
      <c r="K9" s="3">
        <v>0</v>
      </c>
      <c r="L9" s="3">
        <v>7</v>
      </c>
      <c r="M9" s="3">
        <v>0</v>
      </c>
      <c r="N9" s="10">
        <f>+(K9+(0.5*M9))/(K9+L9+M9)</f>
        <v>0</v>
      </c>
      <c r="O9" s="3">
        <f>69+17</f>
        <v>86</v>
      </c>
      <c r="P9" s="3">
        <v>140</v>
      </c>
      <c r="Q9" s="3">
        <f>+O9-P9</f>
        <v>-54</v>
      </c>
      <c r="S9">
        <v>0</v>
      </c>
      <c r="T9" s="3" t="s">
        <v>36</v>
      </c>
      <c r="U9" s="3" t="s">
        <v>38</v>
      </c>
      <c r="V9" s="3" t="s">
        <v>21</v>
      </c>
      <c r="W9" s="9">
        <v>34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23</v>
      </c>
      <c r="T10" s="3" t="s">
        <v>3</v>
      </c>
      <c r="U10" s="3" t="s">
        <v>38</v>
      </c>
      <c r="V10" s="3" t="s">
        <v>5</v>
      </c>
      <c r="W10" s="9">
        <v>7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19</v>
      </c>
      <c r="T11" s="3" t="s">
        <v>32</v>
      </c>
      <c r="U11" s="3" t="s">
        <v>38</v>
      </c>
      <c r="V11" s="3" t="s">
        <v>30</v>
      </c>
      <c r="W11" s="9">
        <v>26</v>
      </c>
    </row>
    <row r="12" spans="1:23">
      <c r="A12" t="s">
        <v>16</v>
      </c>
      <c r="B12" s="3">
        <v>6</v>
      </c>
      <c r="C12" s="3">
        <v>0</v>
      </c>
      <c r="D12" s="3">
        <v>1</v>
      </c>
      <c r="E12" s="10">
        <f>+(B12+(0.5*D12))/(B12+C12+D12)</f>
        <v>0.9285714285714286</v>
      </c>
      <c r="F12" s="3">
        <v>179</v>
      </c>
      <c r="G12" s="3">
        <v>98</v>
      </c>
      <c r="H12" s="3">
        <f>+F12-G12</f>
        <v>81</v>
      </c>
      <c r="J12" t="s">
        <v>30</v>
      </c>
      <c r="K12" s="3">
        <v>6</v>
      </c>
      <c r="L12" s="3">
        <v>1</v>
      </c>
      <c r="M12" s="3">
        <v>0</v>
      </c>
      <c r="N12" s="10">
        <f>+(K12+(0.5*M12))/(K12+L12+M12)</f>
        <v>0.8571428571428571</v>
      </c>
      <c r="O12" s="3">
        <v>166</v>
      </c>
      <c r="P12" s="3">
        <f>71+19</f>
        <v>90</v>
      </c>
      <c r="Q12" s="3">
        <f>+O12-P12</f>
        <v>76</v>
      </c>
      <c r="S12">
        <v>20</v>
      </c>
      <c r="T12" s="3" t="s">
        <v>7</v>
      </c>
      <c r="U12" s="3" t="s">
        <v>38</v>
      </c>
      <c r="V12" s="3" t="s">
        <v>41</v>
      </c>
      <c r="W12" s="9">
        <v>31</v>
      </c>
    </row>
    <row r="13" spans="1:23">
      <c r="A13" t="s">
        <v>18</v>
      </c>
      <c r="B13" s="3">
        <v>5</v>
      </c>
      <c r="C13" s="3">
        <v>2</v>
      </c>
      <c r="D13" s="3">
        <v>0</v>
      </c>
      <c r="E13" s="10">
        <f>+(B13+(0.5*D13))/(B13+C13+D13)</f>
        <v>0.7142857142857143</v>
      </c>
      <c r="F13" s="3">
        <f>123+37</f>
        <v>160</v>
      </c>
      <c r="G13" s="3">
        <v>115</v>
      </c>
      <c r="H13" s="3">
        <f>+F13-G13</f>
        <v>45</v>
      </c>
      <c r="J13" t="s">
        <v>31</v>
      </c>
      <c r="K13" s="3">
        <v>5</v>
      </c>
      <c r="L13" s="3">
        <v>2</v>
      </c>
      <c r="M13" s="3">
        <v>0</v>
      </c>
      <c r="N13" s="10">
        <f>+(K13+(0.5*M13))/(K13+L13+M13)</f>
        <v>0.7142857142857143</v>
      </c>
      <c r="O13" s="3">
        <v>165</v>
      </c>
      <c r="P13" s="3">
        <v>114</v>
      </c>
      <c r="Q13" s="3">
        <f>+O13-P13</f>
        <v>51</v>
      </c>
      <c r="S13">
        <v>17</v>
      </c>
      <c r="T13" s="3" t="s">
        <v>29</v>
      </c>
      <c r="U13" s="3" t="s">
        <v>38</v>
      </c>
      <c r="V13" s="3" t="s">
        <v>37</v>
      </c>
      <c r="W13" s="9">
        <v>20</v>
      </c>
    </row>
    <row r="14" spans="1:23">
      <c r="A14" t="s">
        <v>17</v>
      </c>
      <c r="B14" s="3">
        <v>4</v>
      </c>
      <c r="C14" s="3">
        <v>3</v>
      </c>
      <c r="D14" s="3">
        <v>0</v>
      </c>
      <c r="E14" s="10">
        <f>+(B14+(0.5*D14))/(B14+C14+D14)</f>
        <v>0.5714285714285714</v>
      </c>
      <c r="F14" s="3">
        <v>138</v>
      </c>
      <c r="G14" s="3">
        <v>106</v>
      </c>
      <c r="H14" s="3">
        <f>+F14-G14</f>
        <v>32</v>
      </c>
      <c r="J14" t="s">
        <v>32</v>
      </c>
      <c r="K14" s="3">
        <v>4</v>
      </c>
      <c r="L14" s="3">
        <v>3</v>
      </c>
      <c r="M14" s="3">
        <v>0</v>
      </c>
      <c r="N14" s="10">
        <f>+(K14+(0.5*M14))/(K14+L14+M14)</f>
        <v>0.5714285714285714</v>
      </c>
      <c r="O14" s="3">
        <f>118+19</f>
        <v>137</v>
      </c>
      <c r="P14" s="3">
        <f>98+26</f>
        <v>124</v>
      </c>
      <c r="Q14" s="3">
        <f>+O14-P14</f>
        <v>13</v>
      </c>
      <c r="S14">
        <v>23</v>
      </c>
      <c r="T14" s="3" t="s">
        <v>16</v>
      </c>
      <c r="U14" s="3" t="s">
        <v>38</v>
      </c>
      <c r="V14" s="3" t="s">
        <v>6</v>
      </c>
      <c r="W14" s="9">
        <v>7</v>
      </c>
    </row>
    <row r="15" spans="1:23">
      <c r="A15" t="s">
        <v>19</v>
      </c>
      <c r="B15" s="3">
        <v>1</v>
      </c>
      <c r="C15" s="3">
        <v>6</v>
      </c>
      <c r="D15" s="3">
        <v>0</v>
      </c>
      <c r="E15" s="10">
        <f>+(B15+(0.5*D15))/(B15+C15+D15)</f>
        <v>0.14285714285714285</v>
      </c>
      <c r="F15" s="3">
        <v>93</v>
      </c>
      <c r="G15" s="3">
        <f>165+37</f>
        <v>202</v>
      </c>
      <c r="H15" s="3">
        <f>+F15-G15</f>
        <v>-109</v>
      </c>
      <c r="J15" t="s">
        <v>33</v>
      </c>
      <c r="K15" s="3">
        <v>2</v>
      </c>
      <c r="L15" s="3">
        <v>5</v>
      </c>
      <c r="M15" s="3">
        <v>0</v>
      </c>
      <c r="N15" s="10">
        <f>+(K15+(0.5*M15))/(K15+L15+M15)</f>
        <v>0.2857142857142857</v>
      </c>
      <c r="O15" s="3">
        <v>138</v>
      </c>
      <c r="P15" s="3">
        <v>162</v>
      </c>
      <c r="Q15" s="3">
        <f>+O15-P15</f>
        <v>-24</v>
      </c>
      <c r="S15">
        <v>13</v>
      </c>
      <c r="T15" s="3" t="s">
        <v>34</v>
      </c>
      <c r="U15" s="3" t="s">
        <v>38</v>
      </c>
      <c r="V15" s="3" t="s">
        <v>35</v>
      </c>
      <c r="W15" s="9">
        <v>10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9</v>
      </c>
      <c r="T16" s="3" t="s">
        <v>26</v>
      </c>
      <c r="U16" s="3" t="s">
        <v>38</v>
      </c>
      <c r="V16" s="3" t="s">
        <v>42</v>
      </c>
      <c r="W16" s="9">
        <v>12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5</v>
      </c>
      <c r="C18" s="3">
        <v>2</v>
      </c>
      <c r="D18" s="3">
        <v>0</v>
      </c>
      <c r="E18" s="10">
        <f>+(B18+(0.5*D18))/(B18+C18+D18)</f>
        <v>0.7142857142857143</v>
      </c>
      <c r="F18" s="3">
        <v>148</v>
      </c>
      <c r="G18" s="3">
        <v>112</v>
      </c>
      <c r="H18" s="3">
        <f>+F18-G18</f>
        <v>36</v>
      </c>
      <c r="J18" t="s">
        <v>34</v>
      </c>
      <c r="K18" s="3">
        <v>5</v>
      </c>
      <c r="L18" s="3">
        <v>2</v>
      </c>
      <c r="M18" s="3">
        <v>0</v>
      </c>
      <c r="N18" s="10">
        <f>+(K18+(0.5*M18))/(K18+L18+M18)</f>
        <v>0.7142857142857143</v>
      </c>
      <c r="O18" s="3">
        <f>168+13</f>
        <v>181</v>
      </c>
      <c r="P18" s="3">
        <v>96</v>
      </c>
      <c r="Q18" s="3">
        <f>+O18-P18</f>
        <v>85</v>
      </c>
      <c r="T18" s="7" t="s">
        <v>64</v>
      </c>
      <c r="W18" s="9"/>
    </row>
    <row r="19" spans="1:23">
      <c r="A19" t="s">
        <v>21</v>
      </c>
      <c r="B19" s="3">
        <v>3</v>
      </c>
      <c r="C19" s="3">
        <v>4</v>
      </c>
      <c r="D19" s="3">
        <v>0</v>
      </c>
      <c r="E19" s="10">
        <f>+(B19+(0.5*D19))/(B19+C19+D19)</f>
        <v>0.42857142857142855</v>
      </c>
      <c r="F19" s="3">
        <f>133+34</f>
        <v>167</v>
      </c>
      <c r="G19" s="3">
        <v>103</v>
      </c>
      <c r="H19" s="3">
        <f>+F19-G19</f>
        <v>64</v>
      </c>
      <c r="J19" t="s">
        <v>35</v>
      </c>
      <c r="K19" s="3">
        <v>5</v>
      </c>
      <c r="L19" s="3">
        <v>2</v>
      </c>
      <c r="M19" s="3">
        <v>0</v>
      </c>
      <c r="N19" s="10">
        <f>+(K19+(0.5*M19))/(K19+L19+M19)</f>
        <v>0.7142857142857143</v>
      </c>
      <c r="O19" s="3">
        <v>145</v>
      </c>
      <c r="P19" s="3">
        <v>93</v>
      </c>
      <c r="Q19" s="3">
        <f>+O19-P19</f>
        <v>52</v>
      </c>
      <c r="S19">
        <v>21</v>
      </c>
      <c r="T19" s="3" t="s">
        <v>31</v>
      </c>
      <c r="U19" s="3" t="s">
        <v>38</v>
      </c>
      <c r="V19" s="3" t="s">
        <v>27</v>
      </c>
      <c r="W19" s="9">
        <v>14</v>
      </c>
    </row>
    <row r="20" spans="1:23">
      <c r="A20" t="s">
        <v>23</v>
      </c>
      <c r="B20" s="3">
        <v>2</v>
      </c>
      <c r="C20" s="3">
        <v>5</v>
      </c>
      <c r="D20" s="3">
        <v>0</v>
      </c>
      <c r="E20" s="10">
        <f>+(B20+(0.5*D20))/(B20+C20+D20)</f>
        <v>0.2857142857142857</v>
      </c>
      <c r="F20" s="3">
        <f>119+17</f>
        <v>136</v>
      </c>
      <c r="G20" s="3">
        <f>137+29</f>
        <v>166</v>
      </c>
      <c r="H20" s="3">
        <f>+F20-G20</f>
        <v>-30</v>
      </c>
      <c r="J20" t="s">
        <v>36</v>
      </c>
      <c r="K20" s="3">
        <v>3</v>
      </c>
      <c r="L20" s="3">
        <v>4</v>
      </c>
      <c r="M20" s="3">
        <v>0</v>
      </c>
      <c r="N20" s="10">
        <f>+(K20+(0.5*M20))/(K20+L20+M20)</f>
        <v>0.42857142857142855</v>
      </c>
      <c r="O20" s="3">
        <v>117</v>
      </c>
      <c r="P20" s="3">
        <f>156+34</f>
        <v>190</v>
      </c>
      <c r="Q20" s="3">
        <f>+O20-P20</f>
        <v>-73</v>
      </c>
    </row>
    <row r="21" spans="1:23">
      <c r="A21" t="s">
        <v>24</v>
      </c>
      <c r="B21" s="3">
        <v>2</v>
      </c>
      <c r="C21" s="3">
        <v>5</v>
      </c>
      <c r="D21" s="3">
        <v>0</v>
      </c>
      <c r="E21" s="10">
        <f>+(B21+(0.5*D21))/(B21+C21+D21)</f>
        <v>0.2857142857142857</v>
      </c>
      <c r="F21" s="3">
        <v>95</v>
      </c>
      <c r="G21" s="3">
        <v>147</v>
      </c>
      <c r="H21" s="3">
        <f>+F21-G21</f>
        <v>-52</v>
      </c>
      <c r="J21" t="s">
        <v>37</v>
      </c>
      <c r="K21" s="3">
        <v>1</v>
      </c>
      <c r="L21" s="3">
        <v>6</v>
      </c>
      <c r="M21" s="3">
        <v>0</v>
      </c>
      <c r="N21" s="10">
        <f>+(K21+(0.5*M21))/(K21+L21+M21)</f>
        <v>0.14285714285714285</v>
      </c>
      <c r="O21" s="3">
        <v>44</v>
      </c>
      <c r="P21" s="3">
        <f>144+17</f>
        <v>161</v>
      </c>
      <c r="Q21" s="3">
        <f>+O21-P21</f>
        <v>-117</v>
      </c>
    </row>
    <row r="24" spans="1:23">
      <c r="B24">
        <f>SUM(B5:B21)</f>
        <v>47</v>
      </c>
      <c r="C24">
        <f>SUM(C5:C21)</f>
        <v>43</v>
      </c>
      <c r="D24">
        <f>SUM(D5:D21)</f>
        <v>1</v>
      </c>
      <c r="K24">
        <f>SUM(K5:K21)</f>
        <v>43</v>
      </c>
      <c r="L24">
        <f>SUM(L5:L21)</f>
        <v>47</v>
      </c>
      <c r="M24">
        <f>SUM(M5:M21)</f>
        <v>1</v>
      </c>
    </row>
    <row r="26" spans="1:23">
      <c r="B26">
        <f>+B24+K24</f>
        <v>90</v>
      </c>
      <c r="C26">
        <f>+C24+L24</f>
        <v>90</v>
      </c>
      <c r="D26">
        <f>+D24+M24</f>
        <v>2</v>
      </c>
      <c r="E26">
        <f>SUM(B26:D26)/2</f>
        <v>91</v>
      </c>
    </row>
  </sheetData>
  <sortState ref="J18:Q21">
    <sortCondition descending="1" ref="N18:N21"/>
    <sortCondition descending="1" ref="Q18:Q2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J1" zoomScale="150" zoomScaleNormal="150" zoomScalePageLayoutView="150" workbookViewId="0">
      <selection activeCell="T23" sqref="T23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  <col min="24" max="24" width="15.33203125" customWidth="1"/>
  </cols>
  <sheetData>
    <row r="1" spans="1:24">
      <c r="A1" s="1" t="s">
        <v>67</v>
      </c>
    </row>
    <row r="2" spans="1:24">
      <c r="A2" t="s">
        <v>66</v>
      </c>
    </row>
    <row r="3" spans="1:24">
      <c r="A3" s="1" t="s">
        <v>1</v>
      </c>
      <c r="J3" s="1" t="s">
        <v>25</v>
      </c>
      <c r="S3" s="8" t="s">
        <v>40</v>
      </c>
      <c r="T3" s="1"/>
    </row>
    <row r="4" spans="1:24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68</v>
      </c>
      <c r="U4" s="3"/>
      <c r="V4" s="3"/>
      <c r="W4" s="12"/>
    </row>
    <row r="5" spans="1:24">
      <c r="A5" t="s">
        <v>3</v>
      </c>
      <c r="B5" s="3">
        <v>7</v>
      </c>
      <c r="C5" s="3">
        <v>1</v>
      </c>
      <c r="D5" s="3">
        <v>0</v>
      </c>
      <c r="E5" s="10">
        <f>+(B5+(0.5*D5))/(B5+C5+D5)</f>
        <v>0.875</v>
      </c>
      <c r="F5" s="3">
        <f>162+48</f>
        <v>210</v>
      </c>
      <c r="G5" s="3">
        <v>96</v>
      </c>
      <c r="H5" s="3">
        <f>+F5-G5</f>
        <v>114</v>
      </c>
      <c r="J5" t="s">
        <v>26</v>
      </c>
      <c r="K5" s="3">
        <v>5</v>
      </c>
      <c r="L5" s="3">
        <v>3</v>
      </c>
      <c r="M5" s="3">
        <v>0</v>
      </c>
      <c r="N5" s="10">
        <f>+(K5+(0.5*M5))/(K5+L5+M5)</f>
        <v>0.625</v>
      </c>
      <c r="O5" s="3">
        <v>187</v>
      </c>
      <c r="P5" s="3">
        <f>98+21</f>
        <v>119</v>
      </c>
      <c r="Q5" s="3">
        <f>+O5-P5</f>
        <v>68</v>
      </c>
      <c r="S5">
        <v>10</v>
      </c>
      <c r="T5" s="6" t="s">
        <v>35</v>
      </c>
      <c r="U5" s="3" t="s">
        <v>38</v>
      </c>
      <c r="V5" s="3" t="s">
        <v>36</v>
      </c>
      <c r="W5" s="9">
        <v>20</v>
      </c>
    </row>
    <row r="6" spans="1:24">
      <c r="A6" t="s">
        <v>4</v>
      </c>
      <c r="B6" s="3">
        <v>7</v>
      </c>
      <c r="C6" s="3">
        <v>1</v>
      </c>
      <c r="D6" s="3">
        <v>0</v>
      </c>
      <c r="E6" s="10">
        <f>+(B6+(0.5*D6))/(B6+C6+D6)</f>
        <v>0.875</v>
      </c>
      <c r="F6" s="3">
        <f>212+33</f>
        <v>245</v>
      </c>
      <c r="G6" s="3">
        <f>155+21</f>
        <v>176</v>
      </c>
      <c r="H6" s="3">
        <f>+F6-G6</f>
        <v>69</v>
      </c>
      <c r="J6" t="s">
        <v>4</v>
      </c>
      <c r="K6" s="3">
        <v>5</v>
      </c>
      <c r="L6" s="3">
        <v>3</v>
      </c>
      <c r="M6" s="3">
        <v>0</v>
      </c>
      <c r="N6" s="10">
        <f>+(K6+(0.5*M6))/(K6+L6+M6)</f>
        <v>0.625</v>
      </c>
      <c r="O6" s="3">
        <v>120</v>
      </c>
      <c r="P6" s="3">
        <v>126</v>
      </c>
      <c r="Q6" s="3">
        <f>+O6-P6</f>
        <v>-6</v>
      </c>
      <c r="S6">
        <v>17</v>
      </c>
      <c r="T6" s="3" t="s">
        <v>33</v>
      </c>
      <c r="U6" s="3" t="s">
        <v>38</v>
      </c>
      <c r="V6" s="3" t="s">
        <v>31</v>
      </c>
      <c r="W6" s="9">
        <v>30</v>
      </c>
    </row>
    <row r="7" spans="1:24">
      <c r="A7" t="s">
        <v>5</v>
      </c>
      <c r="B7" s="3">
        <v>6</v>
      </c>
      <c r="C7" s="3">
        <v>2</v>
      </c>
      <c r="D7" s="3">
        <v>0</v>
      </c>
      <c r="E7" s="10">
        <f>+(B7+(0.5*D7))/(B7+C7+D7)</f>
        <v>0.75</v>
      </c>
      <c r="F7" s="3">
        <f>141+49</f>
        <v>190</v>
      </c>
      <c r="G7" s="3">
        <f>118+24</f>
        <v>142</v>
      </c>
      <c r="H7" s="3">
        <f>+F7-G7</f>
        <v>48</v>
      </c>
      <c r="J7" t="s">
        <v>27</v>
      </c>
      <c r="K7" s="3">
        <v>3</v>
      </c>
      <c r="L7" s="3">
        <v>5</v>
      </c>
      <c r="M7" s="3">
        <v>0</v>
      </c>
      <c r="N7" s="10">
        <f>+(K7+(0.5*M7))/(K7+L7+M7)</f>
        <v>0.375</v>
      </c>
      <c r="O7" s="3">
        <v>86</v>
      </c>
      <c r="P7" s="3">
        <v>111</v>
      </c>
      <c r="Q7" s="3">
        <f>+O7-P7</f>
        <v>-25</v>
      </c>
      <c r="S7">
        <v>14</v>
      </c>
      <c r="T7" s="6" t="s">
        <v>70</v>
      </c>
      <c r="U7" s="3" t="s">
        <v>38</v>
      </c>
      <c r="V7" s="3" t="s">
        <v>16</v>
      </c>
      <c r="W7" s="9">
        <v>20</v>
      </c>
    </row>
    <row r="8" spans="1:24">
      <c r="A8" t="s">
        <v>6</v>
      </c>
      <c r="B8" s="3">
        <v>2</v>
      </c>
      <c r="C8" s="3">
        <v>6</v>
      </c>
      <c r="D8" s="3">
        <v>0</v>
      </c>
      <c r="E8" s="10">
        <f>+(B8+(0.5*D8))/(B8+C8+D8)</f>
        <v>0.25</v>
      </c>
      <c r="F8" s="3">
        <v>139</v>
      </c>
      <c r="G8" s="3">
        <f>188+48</f>
        <v>236</v>
      </c>
      <c r="H8" s="3">
        <f>+F8-G8</f>
        <v>-97</v>
      </c>
      <c r="J8" t="s">
        <v>29</v>
      </c>
      <c r="K8" s="3">
        <v>1</v>
      </c>
      <c r="L8" s="3">
        <v>7</v>
      </c>
      <c r="M8" s="3">
        <v>0</v>
      </c>
      <c r="N8" s="10">
        <f>+(K8+(0.5*M8))/(K8+L8+M8)</f>
        <v>0.125</v>
      </c>
      <c r="O8" s="3">
        <f>86+34</f>
        <v>120</v>
      </c>
      <c r="P8" s="3">
        <v>149</v>
      </c>
      <c r="Q8" s="3">
        <f>+O8-P8</f>
        <v>-29</v>
      </c>
      <c r="S8">
        <v>16</v>
      </c>
      <c r="T8" s="3" t="s">
        <v>27</v>
      </c>
      <c r="U8" s="3" t="s">
        <v>38</v>
      </c>
      <c r="V8" s="3" t="s">
        <v>24</v>
      </c>
      <c r="W8" s="9">
        <v>6</v>
      </c>
    </row>
    <row r="9" spans="1:24">
      <c r="A9" t="s">
        <v>7</v>
      </c>
      <c r="B9" s="3">
        <v>0</v>
      </c>
      <c r="C9" s="3">
        <v>8</v>
      </c>
      <c r="D9" s="3">
        <v>0</v>
      </c>
      <c r="E9" s="10">
        <f>+(B9+(0.5*D9))/(B9+C9+D9)</f>
        <v>0</v>
      </c>
      <c r="F9" s="3">
        <v>146</v>
      </c>
      <c r="G9" s="3">
        <f>197+49</f>
        <v>246</v>
      </c>
      <c r="H9" s="3">
        <f>+F9-G9</f>
        <v>-100</v>
      </c>
      <c r="J9" t="s">
        <v>28</v>
      </c>
      <c r="K9" s="3">
        <v>0</v>
      </c>
      <c r="L9" s="3">
        <v>7</v>
      </c>
      <c r="M9" s="3">
        <v>1</v>
      </c>
      <c r="N9" s="10">
        <f>+(K9+(0.5*M9))/(K9+L9+M9)</f>
        <v>6.25E-2</v>
      </c>
      <c r="O9" s="3">
        <v>68</v>
      </c>
      <c r="P9" s="3">
        <f>169+34</f>
        <v>203</v>
      </c>
      <c r="Q9" s="3">
        <f>+O9-P9</f>
        <v>-135</v>
      </c>
      <c r="S9">
        <v>29</v>
      </c>
      <c r="T9" s="3" t="s">
        <v>23</v>
      </c>
      <c r="U9" s="3" t="s">
        <v>38</v>
      </c>
      <c r="V9" s="3" t="s">
        <v>42</v>
      </c>
      <c r="W9" s="9">
        <v>3</v>
      </c>
    </row>
    <row r="10" spans="1:24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10</v>
      </c>
      <c r="T10" s="3" t="s">
        <v>19</v>
      </c>
      <c r="U10" s="3" t="s">
        <v>38</v>
      </c>
      <c r="V10" s="3" t="s">
        <v>17</v>
      </c>
      <c r="W10" s="9">
        <v>35</v>
      </c>
    </row>
    <row r="11" spans="1:24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48</v>
      </c>
      <c r="T11" s="3" t="s">
        <v>3</v>
      </c>
      <c r="U11" s="3" t="s">
        <v>38</v>
      </c>
      <c r="V11" s="3" t="s">
        <v>6</v>
      </c>
      <c r="W11" s="9">
        <v>0</v>
      </c>
    </row>
    <row r="12" spans="1:24">
      <c r="A12" t="s">
        <v>16</v>
      </c>
      <c r="B12" s="3">
        <v>7</v>
      </c>
      <c r="C12" s="3">
        <v>0</v>
      </c>
      <c r="D12" s="3">
        <v>1</v>
      </c>
      <c r="E12" s="10">
        <f>+(B12+(0.5*D12))/(B12+C12+D12)</f>
        <v>0.9375</v>
      </c>
      <c r="F12" s="3">
        <v>199</v>
      </c>
      <c r="G12" s="3">
        <v>112</v>
      </c>
      <c r="H12" s="3">
        <f>+F12-G12</f>
        <v>87</v>
      </c>
      <c r="J12" t="s">
        <v>30</v>
      </c>
      <c r="K12" s="3">
        <v>7</v>
      </c>
      <c r="L12" s="3">
        <v>1</v>
      </c>
      <c r="M12" s="3">
        <v>0</v>
      </c>
      <c r="N12" s="10">
        <f>+(K12+(0.5*M12))/(K12+L12+M12)</f>
        <v>0.875</v>
      </c>
      <c r="O12" s="3">
        <f>166+61</f>
        <v>227</v>
      </c>
      <c r="P12" s="3">
        <f>90+21</f>
        <v>111</v>
      </c>
      <c r="Q12" s="3">
        <f>+O12-P12</f>
        <v>116</v>
      </c>
      <c r="S12">
        <v>0</v>
      </c>
      <c r="T12" s="3" t="s">
        <v>37</v>
      </c>
      <c r="U12" s="3" t="s">
        <v>38</v>
      </c>
      <c r="V12" s="3" t="s">
        <v>32</v>
      </c>
      <c r="W12" s="9">
        <v>34</v>
      </c>
    </row>
    <row r="13" spans="1:24">
      <c r="A13" t="s">
        <v>17</v>
      </c>
      <c r="B13" s="3">
        <v>5</v>
      </c>
      <c r="C13" s="3">
        <v>3</v>
      </c>
      <c r="D13" s="3">
        <v>0</v>
      </c>
      <c r="E13" s="10">
        <f>+(B13+(0.5*D13))/(B13+C13+D13)</f>
        <v>0.625</v>
      </c>
      <c r="F13" s="3">
        <f>138+35</f>
        <v>173</v>
      </c>
      <c r="G13" s="3">
        <v>116</v>
      </c>
      <c r="H13" s="3">
        <f>+F13-G13</f>
        <v>57</v>
      </c>
      <c r="J13" t="s">
        <v>31</v>
      </c>
      <c r="K13" s="3">
        <v>6</v>
      </c>
      <c r="L13" s="3">
        <v>2</v>
      </c>
      <c r="M13" s="3">
        <v>0</v>
      </c>
      <c r="N13" s="10">
        <f>+(K13+(0.5*M13))/(K13+L13+M13)</f>
        <v>0.75</v>
      </c>
      <c r="O13" s="3">
        <v>195</v>
      </c>
      <c r="P13" s="3">
        <v>131</v>
      </c>
      <c r="Q13" s="3">
        <f>+O13-P13</f>
        <v>64</v>
      </c>
      <c r="S13">
        <v>7</v>
      </c>
      <c r="T13" s="3" t="s">
        <v>71</v>
      </c>
      <c r="U13" s="3" t="s">
        <v>38</v>
      </c>
      <c r="V13" s="3" t="s">
        <v>22</v>
      </c>
      <c r="W13" s="9">
        <v>27</v>
      </c>
    </row>
    <row r="14" spans="1:24">
      <c r="A14" t="s">
        <v>18</v>
      </c>
      <c r="B14" s="3">
        <v>5</v>
      </c>
      <c r="C14" s="3">
        <v>3</v>
      </c>
      <c r="D14" s="3">
        <v>0</v>
      </c>
      <c r="E14" s="10">
        <f>+(B14+(0.5*D14))/(B14+C14+D14)</f>
        <v>0.625</v>
      </c>
      <c r="F14" s="3">
        <v>174</v>
      </c>
      <c r="G14" s="3">
        <v>135</v>
      </c>
      <c r="H14" s="3">
        <f>+F14-G14</f>
        <v>39</v>
      </c>
      <c r="J14" t="s">
        <v>32</v>
      </c>
      <c r="K14" s="3">
        <v>5</v>
      </c>
      <c r="L14" s="3">
        <v>3</v>
      </c>
      <c r="M14" s="3">
        <v>0</v>
      </c>
      <c r="N14" s="10">
        <f>+(K14+(0.5*M14))/(K14+L14+M14)</f>
        <v>0.625</v>
      </c>
      <c r="O14" s="3">
        <f>137+34</f>
        <v>171</v>
      </c>
      <c r="P14" s="3">
        <f>98+26</f>
        <v>124</v>
      </c>
      <c r="Q14" s="3">
        <f>+O14-P14</f>
        <v>47</v>
      </c>
      <c r="S14">
        <v>9</v>
      </c>
      <c r="T14" s="3" t="s">
        <v>72</v>
      </c>
      <c r="U14" s="3" t="s">
        <v>38</v>
      </c>
      <c r="V14" s="3" t="s">
        <v>29</v>
      </c>
      <c r="W14" s="9">
        <v>34</v>
      </c>
    </row>
    <row r="15" spans="1:24">
      <c r="A15" t="s">
        <v>19</v>
      </c>
      <c r="B15" s="3">
        <v>1</v>
      </c>
      <c r="C15" s="3">
        <v>7</v>
      </c>
      <c r="D15" s="3">
        <v>0</v>
      </c>
      <c r="E15" s="10">
        <f>+(B15+(0.5*D15))/(B15+C15+D15)</f>
        <v>0.125</v>
      </c>
      <c r="F15" s="3">
        <v>103</v>
      </c>
      <c r="G15" s="3">
        <v>237</v>
      </c>
      <c r="H15" s="3">
        <f>+F15-G15</f>
        <v>-134</v>
      </c>
      <c r="J15" t="s">
        <v>33</v>
      </c>
      <c r="K15" s="3">
        <v>2</v>
      </c>
      <c r="L15" s="3">
        <v>6</v>
      </c>
      <c r="M15" s="3">
        <v>0</v>
      </c>
      <c r="N15" s="10">
        <f>+(K15+(0.5*M15))/(K15+L15+M15)</f>
        <v>0.25</v>
      </c>
      <c r="O15" s="3">
        <v>155</v>
      </c>
      <c r="P15" s="3">
        <v>192</v>
      </c>
      <c r="Q15" s="3">
        <f>+O15-P15</f>
        <v>-37</v>
      </c>
      <c r="S15">
        <v>21</v>
      </c>
      <c r="T15" s="3" t="s">
        <v>34</v>
      </c>
      <c r="U15" s="3" t="s">
        <v>38</v>
      </c>
      <c r="V15" s="3" t="s">
        <v>30</v>
      </c>
      <c r="W15" s="9">
        <v>61</v>
      </c>
      <c r="X15" s="3" t="s">
        <v>73</v>
      </c>
    </row>
    <row r="16" spans="1:24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21</v>
      </c>
      <c r="T16" s="3" t="s">
        <v>26</v>
      </c>
      <c r="U16" s="3" t="s">
        <v>38</v>
      </c>
      <c r="V16" s="3" t="s">
        <v>41</v>
      </c>
      <c r="W16" s="9">
        <v>33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6</v>
      </c>
      <c r="C18" s="3">
        <v>2</v>
      </c>
      <c r="D18" s="3">
        <v>0</v>
      </c>
      <c r="E18" s="10">
        <f>+(B18+(0.5*D18))/(B18+C18+D18)</f>
        <v>0.75</v>
      </c>
      <c r="F18" s="3">
        <f>148+27</f>
        <v>175</v>
      </c>
      <c r="G18" s="3">
        <v>119</v>
      </c>
      <c r="H18" s="3">
        <f>+F18-G18</f>
        <v>56</v>
      </c>
      <c r="J18" t="s">
        <v>34</v>
      </c>
      <c r="K18" s="3">
        <v>5</v>
      </c>
      <c r="L18" s="3">
        <v>3</v>
      </c>
      <c r="M18" s="3">
        <v>0</v>
      </c>
      <c r="N18" s="10">
        <f>+(K18+(0.5*M18))/(K18+L18+M18)</f>
        <v>0.625</v>
      </c>
      <c r="O18" s="3">
        <f>181+21</f>
        <v>202</v>
      </c>
      <c r="P18" s="3">
        <f>96+61</f>
        <v>157</v>
      </c>
      <c r="Q18" s="3">
        <f>+O18-P18</f>
        <v>45</v>
      </c>
      <c r="T18" s="7" t="s">
        <v>69</v>
      </c>
      <c r="W18" s="9"/>
    </row>
    <row r="19" spans="1:23">
      <c r="A19" t="s">
        <v>21</v>
      </c>
      <c r="B19" s="3">
        <v>3</v>
      </c>
      <c r="C19" s="3">
        <v>5</v>
      </c>
      <c r="D19" s="3">
        <v>0</v>
      </c>
      <c r="E19" s="10">
        <f>+(B19+(0.5*D19))/(B19+C19+D19)</f>
        <v>0.375</v>
      </c>
      <c r="F19" s="3">
        <v>174</v>
      </c>
      <c r="G19" s="3">
        <v>130</v>
      </c>
      <c r="H19" s="3">
        <f>+F19-G19</f>
        <v>44</v>
      </c>
      <c r="J19" t="s">
        <v>35</v>
      </c>
      <c r="K19" s="3">
        <v>5</v>
      </c>
      <c r="L19" s="3">
        <v>3</v>
      </c>
      <c r="M19" s="3">
        <v>0</v>
      </c>
      <c r="N19" s="10">
        <f>+(K19+(0.5*M19))/(K19+L19+M19)</f>
        <v>0.625</v>
      </c>
      <c r="O19" s="3">
        <v>155</v>
      </c>
      <c r="P19" s="3">
        <v>113</v>
      </c>
      <c r="Q19" s="3">
        <f>+O19-P19</f>
        <v>42</v>
      </c>
      <c r="S19">
        <v>49</v>
      </c>
      <c r="T19" s="3" t="s">
        <v>5</v>
      </c>
      <c r="U19" s="3" t="s">
        <v>38</v>
      </c>
      <c r="V19" s="3" t="s">
        <v>7</v>
      </c>
      <c r="W19" s="9">
        <v>24</v>
      </c>
    </row>
    <row r="20" spans="1:23">
      <c r="A20" t="s">
        <v>23</v>
      </c>
      <c r="B20" s="3">
        <v>3</v>
      </c>
      <c r="C20" s="3">
        <v>5</v>
      </c>
      <c r="D20" s="3">
        <v>0</v>
      </c>
      <c r="E20" s="10">
        <f>+(B20+(0.5*D20))/(B20+C20+D20)</f>
        <v>0.375</v>
      </c>
      <c r="F20" s="3">
        <v>165</v>
      </c>
      <c r="G20" s="3">
        <v>169</v>
      </c>
      <c r="H20" s="3">
        <f>+F20-G20</f>
        <v>-4</v>
      </c>
      <c r="J20" t="s">
        <v>36</v>
      </c>
      <c r="K20" s="3">
        <v>4</v>
      </c>
      <c r="L20" s="3">
        <v>4</v>
      </c>
      <c r="M20" s="3">
        <v>0</v>
      </c>
      <c r="N20" s="10">
        <f>+(K20+(0.5*M20))/(K20+L20+M20)</f>
        <v>0.5</v>
      </c>
      <c r="O20" s="3">
        <v>137</v>
      </c>
      <c r="P20" s="3">
        <v>200</v>
      </c>
      <c r="Q20" s="3">
        <f>+O20-P20</f>
        <v>-63</v>
      </c>
    </row>
    <row r="21" spans="1:23">
      <c r="A21" t="s">
        <v>24</v>
      </c>
      <c r="B21" s="3">
        <v>2</v>
      </c>
      <c r="C21" s="3">
        <v>6</v>
      </c>
      <c r="D21" s="3">
        <v>0</v>
      </c>
      <c r="E21" s="10">
        <f>+(B21+(0.5*D21))/(B21+C21+D21)</f>
        <v>0.25</v>
      </c>
      <c r="F21" s="3">
        <v>101</v>
      </c>
      <c r="G21" s="3">
        <f>147+16</f>
        <v>163</v>
      </c>
      <c r="H21" s="3">
        <f>+F21-G21</f>
        <v>-62</v>
      </c>
      <c r="J21" t="s">
        <v>37</v>
      </c>
      <c r="K21" s="3">
        <v>1</v>
      </c>
      <c r="L21" s="3">
        <v>7</v>
      </c>
      <c r="M21" s="3">
        <v>0</v>
      </c>
      <c r="N21" s="10">
        <f>+(K21+(0.5*M21))/(K21+L21+M21)</f>
        <v>0.125</v>
      </c>
      <c r="O21" s="3">
        <v>44</v>
      </c>
      <c r="P21" s="3">
        <v>195</v>
      </c>
      <c r="Q21" s="3">
        <f>+O21-P21</f>
        <v>-151</v>
      </c>
    </row>
    <row r="24" spans="1:23">
      <c r="B24">
        <f>SUM(B5:B21)</f>
        <v>54</v>
      </c>
      <c r="C24">
        <f>SUM(C5:C21)</f>
        <v>49</v>
      </c>
      <c r="D24">
        <f>SUM(D5:D21)</f>
        <v>1</v>
      </c>
      <c r="K24">
        <f>SUM(K5:K21)</f>
        <v>49</v>
      </c>
      <c r="L24">
        <f>SUM(L5:L21)</f>
        <v>54</v>
      </c>
      <c r="M24">
        <f>SUM(M5:M21)</f>
        <v>1</v>
      </c>
    </row>
    <row r="26" spans="1:23">
      <c r="B26">
        <f>+B24+K24</f>
        <v>103</v>
      </c>
      <c r="C26">
        <f>+C24+L24</f>
        <v>103</v>
      </c>
      <c r="D26">
        <f>+D24+M24</f>
        <v>2</v>
      </c>
      <c r="E26">
        <f>SUM(B26:D26)/2</f>
        <v>104</v>
      </c>
    </row>
  </sheetData>
  <sortState ref="J5:Q9">
    <sortCondition descending="1" ref="N5:N9"/>
    <sortCondition descending="1" ref="Q5:Q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H1" zoomScale="150" zoomScaleNormal="150" zoomScalePageLayoutView="150" workbookViewId="0">
      <selection activeCell="R19" sqref="R19"/>
    </sheetView>
  </sheetViews>
  <sheetFormatPr baseColWidth="10" defaultRowHeight="15" x14ac:dyDescent="0"/>
  <cols>
    <col min="1" max="1" width="11.5" customWidth="1"/>
    <col min="2" max="2" width="5" customWidth="1"/>
    <col min="3" max="4" width="4.5" customWidth="1"/>
    <col min="5" max="7" width="5.6640625" customWidth="1"/>
    <col min="8" max="8" width="5.83203125" customWidth="1"/>
    <col min="10" max="10" width="11.5" customWidth="1"/>
    <col min="11" max="11" width="5" customWidth="1"/>
    <col min="12" max="13" width="4.5" customWidth="1"/>
    <col min="14" max="16" width="5.6640625" customWidth="1"/>
    <col min="17" max="17" width="5.83203125" customWidth="1"/>
    <col min="20" max="20" width="14.1640625" customWidth="1"/>
    <col min="21" max="21" width="4" customWidth="1"/>
    <col min="22" max="22" width="14.1640625" customWidth="1"/>
    <col min="23" max="23" width="2.83203125" customWidth="1"/>
  </cols>
  <sheetData>
    <row r="1" spans="1:23">
      <c r="A1" s="1" t="s">
        <v>76</v>
      </c>
    </row>
    <row r="2" spans="1:23">
      <c r="A2" t="s">
        <v>66</v>
      </c>
    </row>
    <row r="3" spans="1:23">
      <c r="A3" s="1" t="s">
        <v>1</v>
      </c>
      <c r="J3" s="1" t="s">
        <v>25</v>
      </c>
      <c r="S3" s="8" t="s">
        <v>40</v>
      </c>
      <c r="T3" s="1"/>
    </row>
    <row r="4" spans="1:23">
      <c r="A4" s="1" t="s">
        <v>2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J4" s="1" t="s">
        <v>2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T4" s="7" t="s">
        <v>74</v>
      </c>
      <c r="U4" s="3"/>
      <c r="V4" s="3"/>
      <c r="W4" s="13"/>
    </row>
    <row r="5" spans="1:23">
      <c r="A5" t="s">
        <v>3</v>
      </c>
      <c r="B5" s="3">
        <v>8</v>
      </c>
      <c r="C5" s="3">
        <v>1</v>
      </c>
      <c r="D5" s="3">
        <v>0</v>
      </c>
      <c r="E5" s="10">
        <f>+(B5+(0.5*D5))/(B5+C5+D5)</f>
        <v>0.88888888888888884</v>
      </c>
      <c r="F5" s="3">
        <v>263</v>
      </c>
      <c r="G5" s="3">
        <v>96</v>
      </c>
      <c r="H5" s="3">
        <f>+F5-G5</f>
        <v>167</v>
      </c>
      <c r="J5" t="s">
        <v>4</v>
      </c>
      <c r="K5" s="3">
        <v>6</v>
      </c>
      <c r="L5" s="3">
        <v>3</v>
      </c>
      <c r="M5" s="3">
        <v>0</v>
      </c>
      <c r="N5" s="10">
        <f>+(K5+(0.5*M5))/(K5+L5+M5)</f>
        <v>0.66666666666666663</v>
      </c>
      <c r="O5" s="3">
        <v>130</v>
      </c>
      <c r="P5" s="3">
        <v>129</v>
      </c>
      <c r="Q5" s="3">
        <f>+O5-P5</f>
        <v>1</v>
      </c>
      <c r="S5">
        <v>17</v>
      </c>
      <c r="T5" s="6" t="s">
        <v>5</v>
      </c>
      <c r="U5" s="3" t="s">
        <v>38</v>
      </c>
      <c r="V5" s="3" t="s">
        <v>34</v>
      </c>
      <c r="W5" s="9">
        <v>19</v>
      </c>
    </row>
    <row r="6" spans="1:23">
      <c r="A6" t="s">
        <v>4</v>
      </c>
      <c r="B6" s="3">
        <v>7</v>
      </c>
      <c r="C6" s="3">
        <v>2</v>
      </c>
      <c r="D6" s="3">
        <v>0</v>
      </c>
      <c r="E6" s="10">
        <f>+(B6+(0.5*D6))/(B6+C6+D6)</f>
        <v>0.77777777777777779</v>
      </c>
      <c r="F6" s="3">
        <v>248</v>
      </c>
      <c r="G6" s="3">
        <f>176+44</f>
        <v>220</v>
      </c>
      <c r="H6" s="3">
        <f>+F6-G6</f>
        <v>28</v>
      </c>
      <c r="J6" t="s">
        <v>26</v>
      </c>
      <c r="K6" s="3">
        <v>5</v>
      </c>
      <c r="L6" s="3">
        <v>4</v>
      </c>
      <c r="M6" s="3">
        <v>0</v>
      </c>
      <c r="N6" s="10">
        <f>+(K6+(0.5*M6))/(K6+L6+M6)</f>
        <v>0.55555555555555558</v>
      </c>
      <c r="O6" s="3">
        <v>190</v>
      </c>
      <c r="P6" s="3">
        <v>129</v>
      </c>
      <c r="Q6" s="3">
        <f>+O6-P6</f>
        <v>61</v>
      </c>
      <c r="S6">
        <v>44</v>
      </c>
      <c r="T6" s="3" t="s">
        <v>6</v>
      </c>
      <c r="U6" s="3" t="s">
        <v>38</v>
      </c>
      <c r="V6" s="3" t="s">
        <v>41</v>
      </c>
      <c r="W6" s="9">
        <v>3</v>
      </c>
    </row>
    <row r="7" spans="1:23">
      <c r="A7" t="s">
        <v>5</v>
      </c>
      <c r="B7" s="3">
        <v>6</v>
      </c>
      <c r="C7" s="3">
        <v>3</v>
      </c>
      <c r="D7" s="3">
        <v>0</v>
      </c>
      <c r="E7" s="10">
        <f>+(B7+(0.5*D7))/(B7+C7+D7)</f>
        <v>0.66666666666666663</v>
      </c>
      <c r="F7" s="3">
        <v>207</v>
      </c>
      <c r="G7" s="3">
        <v>161</v>
      </c>
      <c r="H7" s="3">
        <f>+F7-G7</f>
        <v>46</v>
      </c>
      <c r="J7" t="s">
        <v>27</v>
      </c>
      <c r="K7" s="3">
        <v>3</v>
      </c>
      <c r="L7" s="3">
        <v>6</v>
      </c>
      <c r="M7" s="3">
        <v>0</v>
      </c>
      <c r="N7" s="10">
        <f>+(K7+(0.5*M7))/(K7+L7+M7)</f>
        <v>0.33333333333333331</v>
      </c>
      <c r="O7" s="3">
        <f>86+16</f>
        <v>102</v>
      </c>
      <c r="P7" s="3">
        <v>133</v>
      </c>
      <c r="Q7" s="3">
        <f>+O7-P7</f>
        <v>-31</v>
      </c>
      <c r="S7">
        <v>30</v>
      </c>
      <c r="T7" s="6" t="s">
        <v>23</v>
      </c>
      <c r="U7" s="3" t="s">
        <v>38</v>
      </c>
      <c r="V7" s="3" t="s">
        <v>36</v>
      </c>
      <c r="W7" s="9">
        <v>17</v>
      </c>
    </row>
    <row r="8" spans="1:23">
      <c r="A8" t="s">
        <v>6</v>
      </c>
      <c r="B8" s="3">
        <v>3</v>
      </c>
      <c r="C8" s="3">
        <v>6</v>
      </c>
      <c r="D8" s="3">
        <v>0</v>
      </c>
      <c r="E8" s="10">
        <f>+(B8+(0.5*D8))/(B8+C8+D8)</f>
        <v>0.33333333333333331</v>
      </c>
      <c r="F8" s="3">
        <f>139+44</f>
        <v>183</v>
      </c>
      <c r="G8" s="3">
        <v>239</v>
      </c>
      <c r="H8" s="3">
        <f>+F8-G8</f>
        <v>-56</v>
      </c>
      <c r="J8" t="s">
        <v>28</v>
      </c>
      <c r="K8" s="3">
        <v>1</v>
      </c>
      <c r="L8" s="3">
        <v>7</v>
      </c>
      <c r="M8" s="3">
        <v>1</v>
      </c>
      <c r="N8" s="10">
        <f>+(K8+(0.5*M8))/(K8+L8+M8)</f>
        <v>0.16666666666666666</v>
      </c>
      <c r="O8" s="3">
        <f>68+22</f>
        <v>90</v>
      </c>
      <c r="P8" s="3">
        <v>219</v>
      </c>
      <c r="Q8" s="3">
        <f>+O8-P8</f>
        <v>-129</v>
      </c>
      <c r="S8">
        <v>13</v>
      </c>
      <c r="T8" s="3" t="s">
        <v>31</v>
      </c>
      <c r="U8" s="3" t="s">
        <v>38</v>
      </c>
      <c r="V8" s="3" t="s">
        <v>32</v>
      </c>
      <c r="W8" s="9">
        <v>16</v>
      </c>
    </row>
    <row r="9" spans="1:23">
      <c r="A9" t="s">
        <v>7</v>
      </c>
      <c r="B9" s="3">
        <v>0</v>
      </c>
      <c r="C9" s="3">
        <v>9</v>
      </c>
      <c r="D9" s="3">
        <v>0</v>
      </c>
      <c r="E9" s="10">
        <f>+(B9+(0.5*D9))/(B9+C9+D9)</f>
        <v>0</v>
      </c>
      <c r="F9" s="3">
        <v>146</v>
      </c>
      <c r="G9" s="3">
        <f>246+53</f>
        <v>299</v>
      </c>
      <c r="H9" s="3">
        <f>+F9-G9</f>
        <v>-153</v>
      </c>
      <c r="J9" t="s">
        <v>29</v>
      </c>
      <c r="K9" s="3">
        <v>1</v>
      </c>
      <c r="L9" s="3">
        <v>8</v>
      </c>
      <c r="M9" s="3">
        <v>0</v>
      </c>
      <c r="N9" s="10">
        <f>+(K9+(0.5*M9))/(K9+L9+M9)</f>
        <v>0.1111111111111111</v>
      </c>
      <c r="O9" s="3">
        <v>145</v>
      </c>
      <c r="P9" s="3">
        <f>149+34</f>
        <v>183</v>
      </c>
      <c r="Q9" s="3">
        <f>+O9-P9</f>
        <v>-38</v>
      </c>
      <c r="S9">
        <v>38</v>
      </c>
      <c r="T9" s="3" t="s">
        <v>30</v>
      </c>
      <c r="U9" s="3" t="s">
        <v>38</v>
      </c>
      <c r="V9" s="3" t="s">
        <v>33</v>
      </c>
      <c r="W9" s="9">
        <v>0</v>
      </c>
    </row>
    <row r="10" spans="1:23">
      <c r="B10" s="3"/>
      <c r="C10" s="3"/>
      <c r="D10" s="3"/>
      <c r="E10" s="3"/>
      <c r="F10" s="3"/>
      <c r="G10" s="3"/>
      <c r="H10" s="3"/>
      <c r="K10" s="3"/>
      <c r="L10" s="3"/>
      <c r="M10" s="3"/>
      <c r="N10" s="3"/>
      <c r="O10" s="3"/>
      <c r="P10" s="3"/>
      <c r="Q10" s="3"/>
      <c r="S10">
        <v>7</v>
      </c>
      <c r="T10" s="3" t="s">
        <v>22</v>
      </c>
      <c r="U10" s="3" t="s">
        <v>38</v>
      </c>
      <c r="V10" s="3" t="s">
        <v>16</v>
      </c>
      <c r="W10" s="9">
        <v>29</v>
      </c>
    </row>
    <row r="11" spans="1:23">
      <c r="A11" s="1" t="s">
        <v>15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J11" s="1" t="s">
        <v>15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S11">
        <v>0</v>
      </c>
      <c r="T11" s="3" t="s">
        <v>7</v>
      </c>
      <c r="U11" s="3" t="s">
        <v>38</v>
      </c>
      <c r="V11" s="3" t="s">
        <v>3</v>
      </c>
      <c r="W11" s="9">
        <v>53</v>
      </c>
    </row>
    <row r="12" spans="1:23">
      <c r="A12" t="s">
        <v>16</v>
      </c>
      <c r="B12" s="3">
        <v>8</v>
      </c>
      <c r="C12" s="3">
        <v>0</v>
      </c>
      <c r="D12" s="3">
        <v>1</v>
      </c>
      <c r="E12" s="10">
        <f>+(B12+(0.5*D12))/(B12+C12+D12)</f>
        <v>0.94444444444444442</v>
      </c>
      <c r="F12" s="3">
        <v>228</v>
      </c>
      <c r="G12" s="3">
        <v>119</v>
      </c>
      <c r="H12" s="3">
        <f>+F12-G12</f>
        <v>109</v>
      </c>
      <c r="J12" t="s">
        <v>30</v>
      </c>
      <c r="K12" s="3">
        <v>8</v>
      </c>
      <c r="L12" s="3">
        <v>1</v>
      </c>
      <c r="M12" s="3">
        <v>0</v>
      </c>
      <c r="N12" s="10">
        <f>+(K12+(0.5*M12))/(K12+L12+M12)</f>
        <v>0.88888888888888884</v>
      </c>
      <c r="O12" s="3">
        <v>265</v>
      </c>
      <c r="P12" s="3">
        <f>90+21</f>
        <v>111</v>
      </c>
      <c r="Q12" s="3">
        <f>+O12-P12</f>
        <v>154</v>
      </c>
      <c r="S12">
        <v>20</v>
      </c>
      <c r="T12" s="3" t="s">
        <v>37</v>
      </c>
      <c r="U12" s="3" t="s">
        <v>38</v>
      </c>
      <c r="V12" s="3" t="s">
        <v>35</v>
      </c>
      <c r="W12" s="9">
        <v>34</v>
      </c>
    </row>
    <row r="13" spans="1:23">
      <c r="A13" t="s">
        <v>18</v>
      </c>
      <c r="B13" s="3">
        <v>6</v>
      </c>
      <c r="C13" s="3">
        <v>3</v>
      </c>
      <c r="D13" s="3">
        <v>0</v>
      </c>
      <c r="E13" s="10">
        <f>+(B13+(0.5*D13))/(B13+C13+D13)</f>
        <v>0.66666666666666663</v>
      </c>
      <c r="F13" s="3">
        <v>194</v>
      </c>
      <c r="G13" s="3">
        <v>148</v>
      </c>
      <c r="H13" s="3">
        <f>+F13-G13</f>
        <v>46</v>
      </c>
      <c r="J13" t="s">
        <v>31</v>
      </c>
      <c r="K13" s="3">
        <v>6</v>
      </c>
      <c r="L13" s="3">
        <v>3</v>
      </c>
      <c r="M13" s="3">
        <v>0</v>
      </c>
      <c r="N13" s="10">
        <f>+(K13+(0.5*M13))/(K13+L13+M13)</f>
        <v>0.66666666666666663</v>
      </c>
      <c r="O13" s="3">
        <v>208</v>
      </c>
      <c r="P13" s="3">
        <v>147</v>
      </c>
      <c r="Q13" s="3">
        <f>+O13-P13</f>
        <v>61</v>
      </c>
      <c r="S13">
        <v>10</v>
      </c>
      <c r="T13" s="3" t="s">
        <v>42</v>
      </c>
      <c r="U13" s="3" t="s">
        <v>38</v>
      </c>
      <c r="V13" s="3" t="s">
        <v>26</v>
      </c>
      <c r="W13" s="9">
        <v>3</v>
      </c>
    </row>
    <row r="14" spans="1:23">
      <c r="A14" t="s">
        <v>17</v>
      </c>
      <c r="B14" s="3">
        <v>5</v>
      </c>
      <c r="C14" s="3">
        <v>4</v>
      </c>
      <c r="D14" s="3">
        <v>0</v>
      </c>
      <c r="E14" s="10">
        <f>+(B14+(0.5*D14))/(B14+C14+D14)</f>
        <v>0.55555555555555558</v>
      </c>
      <c r="F14" s="3">
        <v>193</v>
      </c>
      <c r="G14" s="3">
        <v>146</v>
      </c>
      <c r="H14" s="3">
        <f>+F14-G14</f>
        <v>47</v>
      </c>
      <c r="J14" t="s">
        <v>32</v>
      </c>
      <c r="K14" s="3">
        <v>6</v>
      </c>
      <c r="L14" s="3">
        <v>3</v>
      </c>
      <c r="M14" s="3">
        <v>0</v>
      </c>
      <c r="N14" s="10">
        <f>+(K14+(0.5*M14))/(K14+L14+M14)</f>
        <v>0.66666666666666663</v>
      </c>
      <c r="O14" s="3">
        <v>187</v>
      </c>
      <c r="P14" s="3">
        <v>137</v>
      </c>
      <c r="Q14" s="3">
        <f>+O14-P14</f>
        <v>50</v>
      </c>
      <c r="S14">
        <v>13</v>
      </c>
      <c r="T14" s="3" t="s">
        <v>21</v>
      </c>
      <c r="U14" s="3" t="s">
        <v>38</v>
      </c>
      <c r="V14" s="3" t="s">
        <v>18</v>
      </c>
      <c r="W14" s="9">
        <v>20</v>
      </c>
    </row>
    <row r="15" spans="1:23">
      <c r="A15" t="s">
        <v>19</v>
      </c>
      <c r="B15" s="3">
        <v>2</v>
      </c>
      <c r="C15" s="3">
        <v>7</v>
      </c>
      <c r="D15" s="3">
        <v>0</v>
      </c>
      <c r="E15" s="10">
        <f>+(B15+(0.5*D15))/(B15+C15+D15)</f>
        <v>0.22222222222222221</v>
      </c>
      <c r="F15" s="3">
        <v>137</v>
      </c>
      <c r="G15" s="3">
        <f>237+25</f>
        <v>262</v>
      </c>
      <c r="H15" s="3">
        <f>+F15-G15</f>
        <v>-125</v>
      </c>
      <c r="J15" t="s">
        <v>33</v>
      </c>
      <c r="K15" s="3">
        <v>2</v>
      </c>
      <c r="L15" s="3">
        <v>7</v>
      </c>
      <c r="M15" s="3">
        <v>0</v>
      </c>
      <c r="N15" s="10">
        <f>+(K15+(0.5*M15))/(K15+L15+M15)</f>
        <v>0.22222222222222221</v>
      </c>
      <c r="O15" s="3">
        <v>155</v>
      </c>
      <c r="P15" s="3">
        <f>192+38</f>
        <v>230</v>
      </c>
      <c r="Q15" s="3">
        <f>+O15-P15</f>
        <v>-75</v>
      </c>
      <c r="S15">
        <v>25</v>
      </c>
      <c r="T15" s="3" t="s">
        <v>29</v>
      </c>
      <c r="U15" s="3" t="s">
        <v>38</v>
      </c>
      <c r="V15" s="3" t="s">
        <v>19</v>
      </c>
      <c r="W15" s="9">
        <v>34</v>
      </c>
    </row>
    <row r="16" spans="1:23">
      <c r="B16" s="3"/>
      <c r="C16" s="3"/>
      <c r="D16" s="3"/>
      <c r="E16" s="3"/>
      <c r="F16" s="3"/>
      <c r="G16" s="3"/>
      <c r="H16" s="3"/>
      <c r="K16" s="3"/>
      <c r="L16" s="3"/>
      <c r="M16" s="3"/>
      <c r="N16" s="3"/>
      <c r="O16" s="3"/>
      <c r="P16" s="3"/>
      <c r="Q16" s="3"/>
      <c r="S16">
        <v>22</v>
      </c>
      <c r="T16" s="3" t="s">
        <v>28</v>
      </c>
      <c r="U16" s="3" t="s">
        <v>38</v>
      </c>
      <c r="V16" s="3" t="s">
        <v>27</v>
      </c>
      <c r="W16" s="9">
        <v>16</v>
      </c>
    </row>
    <row r="17" spans="1:23">
      <c r="A17" s="1" t="s">
        <v>20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  <c r="J17" s="1" t="s">
        <v>20</v>
      </c>
      <c r="K17" s="5" t="s">
        <v>8</v>
      </c>
      <c r="L17" s="5" t="s">
        <v>9</v>
      </c>
      <c r="M17" s="5" t="s">
        <v>10</v>
      </c>
      <c r="N17" s="5" t="s">
        <v>11</v>
      </c>
      <c r="O17" s="5" t="s">
        <v>12</v>
      </c>
      <c r="P17" s="5" t="s">
        <v>13</v>
      </c>
      <c r="Q17" s="5" t="s">
        <v>14</v>
      </c>
      <c r="T17" s="7"/>
      <c r="W17" s="9"/>
    </row>
    <row r="18" spans="1:23">
      <c r="A18" t="s">
        <v>22</v>
      </c>
      <c r="B18" s="3">
        <v>6</v>
      </c>
      <c r="C18" s="3">
        <v>3</v>
      </c>
      <c r="D18" s="3">
        <v>0</v>
      </c>
      <c r="E18" s="10">
        <f>+(B18+(0.5*D18))/(B18+C18+D18)</f>
        <v>0.66666666666666663</v>
      </c>
      <c r="F18" s="3">
        <v>182</v>
      </c>
      <c r="G18" s="3">
        <v>148</v>
      </c>
      <c r="H18" s="3">
        <f>+F18-G18</f>
        <v>34</v>
      </c>
      <c r="J18" t="s">
        <v>35</v>
      </c>
      <c r="K18" s="3">
        <v>6</v>
      </c>
      <c r="L18" s="3">
        <v>3</v>
      </c>
      <c r="M18" s="3">
        <v>0</v>
      </c>
      <c r="N18" s="10">
        <f>+(K18+(0.5*M18))/(K18+L18+M18)</f>
        <v>0.66666666666666663</v>
      </c>
      <c r="O18" s="3">
        <f>155+34</f>
        <v>189</v>
      </c>
      <c r="P18" s="3">
        <v>133</v>
      </c>
      <c r="Q18" s="3">
        <f>+O18-P18</f>
        <v>56</v>
      </c>
      <c r="T18" s="7" t="s">
        <v>75</v>
      </c>
      <c r="W18" s="9"/>
    </row>
    <row r="19" spans="1:23">
      <c r="A19" t="s">
        <v>23</v>
      </c>
      <c r="B19" s="3">
        <v>4</v>
      </c>
      <c r="C19" s="3">
        <v>5</v>
      </c>
      <c r="D19" s="3">
        <v>0</v>
      </c>
      <c r="E19" s="10">
        <f>+(B19+(0.5*D19))/(B19+C19+D19)</f>
        <v>0.44444444444444442</v>
      </c>
      <c r="F19" s="3">
        <v>195</v>
      </c>
      <c r="G19" s="3">
        <f>169+17</f>
        <v>186</v>
      </c>
      <c r="H19" s="3">
        <f>+F19-G19</f>
        <v>9</v>
      </c>
      <c r="J19" t="s">
        <v>34</v>
      </c>
      <c r="K19" s="3">
        <v>6</v>
      </c>
      <c r="L19" s="3">
        <v>3</v>
      </c>
      <c r="M19" s="3">
        <v>0</v>
      </c>
      <c r="N19" s="10">
        <f>+(K19+(0.5*M19))/(K19+L19+M19)</f>
        <v>0.66666666666666663</v>
      </c>
      <c r="O19" s="3">
        <v>221</v>
      </c>
      <c r="P19" s="3">
        <f>157+17</f>
        <v>174</v>
      </c>
      <c r="Q19" s="3">
        <f>+O19-P19</f>
        <v>47</v>
      </c>
      <c r="S19">
        <v>20</v>
      </c>
      <c r="T19" s="3" t="s">
        <v>17</v>
      </c>
      <c r="U19" s="3" t="s">
        <v>38</v>
      </c>
      <c r="V19" s="3" t="s">
        <v>24</v>
      </c>
      <c r="W19" s="9">
        <v>30</v>
      </c>
    </row>
    <row r="20" spans="1:23">
      <c r="A20" t="s">
        <v>21</v>
      </c>
      <c r="B20" s="3">
        <v>3</v>
      </c>
      <c r="C20" s="3">
        <v>6</v>
      </c>
      <c r="D20" s="3">
        <v>0</v>
      </c>
      <c r="E20" s="10">
        <f>+(B20+(0.5*D20))/(B20+C20+D20)</f>
        <v>0.33333333333333331</v>
      </c>
      <c r="F20" s="3">
        <v>187</v>
      </c>
      <c r="G20" s="3">
        <v>150</v>
      </c>
      <c r="H20" s="3">
        <f>+F20-G20</f>
        <v>37</v>
      </c>
      <c r="J20" t="s">
        <v>36</v>
      </c>
      <c r="K20" s="3">
        <v>4</v>
      </c>
      <c r="L20" s="3">
        <v>5</v>
      </c>
      <c r="M20" s="3">
        <v>0</v>
      </c>
      <c r="N20" s="10">
        <f>+(K20+(0.5*M20))/(K20+L20+M20)</f>
        <v>0.44444444444444442</v>
      </c>
      <c r="O20" s="3">
        <f>137+17</f>
        <v>154</v>
      </c>
      <c r="P20" s="3">
        <v>230</v>
      </c>
      <c r="Q20" s="3">
        <f>+O20-P20</f>
        <v>-76</v>
      </c>
    </row>
    <row r="21" spans="1:23">
      <c r="A21" t="s">
        <v>24</v>
      </c>
      <c r="B21" s="3">
        <v>3</v>
      </c>
      <c r="C21" s="3">
        <v>6</v>
      </c>
      <c r="D21" s="3">
        <v>0</v>
      </c>
      <c r="E21" s="10">
        <f>+(B21+(0.5*D21))/(B21+C21+D21)</f>
        <v>0.33333333333333331</v>
      </c>
      <c r="F21" s="3">
        <v>131</v>
      </c>
      <c r="G21" s="3">
        <v>183</v>
      </c>
      <c r="H21" s="3">
        <f>+F21-G21</f>
        <v>-52</v>
      </c>
      <c r="J21" t="s">
        <v>37</v>
      </c>
      <c r="K21" s="3">
        <v>1</v>
      </c>
      <c r="L21" s="3">
        <v>8</v>
      </c>
      <c r="M21" s="3">
        <v>0</v>
      </c>
      <c r="N21" s="10">
        <f>+(K21+(0.5*M21))/(K21+L21+M21)</f>
        <v>0.1111111111111111</v>
      </c>
      <c r="O21" s="3">
        <v>64</v>
      </c>
      <c r="P21" s="3">
        <f>195+34</f>
        <v>229</v>
      </c>
      <c r="Q21" s="3">
        <f>+O21-P21</f>
        <v>-165</v>
      </c>
    </row>
    <row r="24" spans="1:23">
      <c r="B24">
        <f>SUM(B5:B21)</f>
        <v>61</v>
      </c>
      <c r="C24">
        <f>SUM(C5:C21)</f>
        <v>55</v>
      </c>
      <c r="D24">
        <f>SUM(D5:D21)</f>
        <v>1</v>
      </c>
      <c r="K24">
        <f>SUM(K5:K21)</f>
        <v>55</v>
      </c>
      <c r="L24">
        <f>SUM(L5:L21)</f>
        <v>61</v>
      </c>
      <c r="M24">
        <f>SUM(M5:M21)</f>
        <v>1</v>
      </c>
    </row>
    <row r="26" spans="1:23">
      <c r="B26">
        <f>+B24+K24</f>
        <v>116</v>
      </c>
      <c r="C26">
        <f>+C24+L24</f>
        <v>116</v>
      </c>
      <c r="D26">
        <f>+D24+M24</f>
        <v>2</v>
      </c>
      <c r="E26">
        <f>SUM(B26:D26)/2</f>
        <v>117</v>
      </c>
    </row>
  </sheetData>
  <sortState ref="A12:H15">
    <sortCondition descending="1" ref="E12:E1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 </vt:lpstr>
      <vt:lpstr>Week 14</vt:lpstr>
      <vt:lpstr>Post Season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Zarb</dc:creator>
  <cp:lastModifiedBy>Mark Zarb</cp:lastModifiedBy>
  <dcterms:created xsi:type="dcterms:W3CDTF">2015-03-03T19:06:57Z</dcterms:created>
  <dcterms:modified xsi:type="dcterms:W3CDTF">2015-11-21T13:32:39Z</dcterms:modified>
</cp:coreProperties>
</file>