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38400" windowHeight="17640" activeTab="0"/>
  </bookViews>
  <sheets>
    <sheet name="Cumulative Stats" sheetId="1" r:id="rId1"/>
    <sheet name="gm 1 at NE" sheetId="2" r:id="rId2"/>
    <sheet name="gm 2 vs Pit" sheetId="3" r:id="rId3"/>
    <sheet name="gm 3 at Cle" sheetId="4" r:id="rId4"/>
    <sheet name="gm 4 vs Den" sheetId="5" r:id="rId5"/>
    <sheet name="gm 5 at KC" sheetId="6" r:id="rId6"/>
    <sheet name="gm 6 at LA" sheetId="7" r:id="rId7"/>
    <sheet name="gm 7 vs Hou" sheetId="8" r:id="rId8"/>
    <sheet name="gm 8 at Pit" sheetId="9" r:id="rId9"/>
    <sheet name="gm 9 vs Oak" sheetId="10" r:id="rId10"/>
    <sheet name="gm 10 vs Bal" sheetId="11" r:id="rId11"/>
    <sheet name="gm 11 at Chi" sheetId="12" r:id="rId12"/>
    <sheet name="gm 12 vs NYG" sheetId="13" r:id="rId13"/>
    <sheet name="gm 13 vs Cle" sheetId="14" r:id="rId14"/>
    <sheet name="gm 14 at Hou" sheetId="15" r:id="rId15"/>
  </sheets>
  <definedNames/>
  <calcPr fullCalcOnLoad="1"/>
</workbook>
</file>

<file path=xl/sharedStrings.xml><?xml version="1.0" encoding="utf-8"?>
<sst xmlns="http://schemas.openxmlformats.org/spreadsheetml/2006/main" count="4869" uniqueCount="160">
  <si>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</si>
  <si>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</si>
  <si>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</si>
  <si>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</si>
  <si>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</si>
  <si>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</si>
  <si>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</si>
  <si>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</si>
  <si>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</si>
  <si>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</si>
  <si>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</si>
  <si>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</si>
  <si>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</si>
  <si>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</si>
  <si>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</si>
  <si>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</si>
  <si>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</si>
  <si>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</si>
  <si>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</si>
  <si>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</si>
  <si>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</si>
  <si>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</si>
  <si>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</si>
  <si>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</si>
  <si>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</si>
  <si>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</si>
  <si>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</si>
  <si>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</si>
  <si>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</si>
  <si>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</si>
  <si>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</si>
  <si>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</si>
  <si>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</si>
  <si>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</si>
  <si>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 xml:space="preserve"> Own Recovered</t>
  </si>
  <si>
    <t xml:space="preserve"> TD's on Own Recovery</t>
  </si>
  <si>
    <t xml:space="preserve"> Opponents Recovered</t>
  </si>
  <si>
    <t xml:space="preserve"> Opponents Recovered for TD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</si>
  <si>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</si>
  <si>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</si>
  <si>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</si>
  <si>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</si>
  <si>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</si>
  <si>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</si>
  <si>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</si>
  <si>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</si>
  <si>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</si>
  <si>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</si>
  <si>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</si>
  <si>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</si>
  <si>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</si>
  <si>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</si>
  <si>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</si>
  <si>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</si>
  <si>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</si>
  <si>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</si>
  <si>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</si>
  <si>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</si>
  <si>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</si>
  <si>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</si>
  <si>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</si>
  <si>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</si>
  <si>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</si>
  <si>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</si>
  <si>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</si>
  <si>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</si>
  <si>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</si>
  <si>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</si>
  <si>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</si>
  <si>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</si>
  <si>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</si>
  <si>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</si>
  <si>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</si>
  <si>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</si>
  <si>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</si>
  <si>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</si>
  <si>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</si>
  <si>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</si>
  <si>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</si>
  <si>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</si>
  <si>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</si>
  <si>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</si>
  <si>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</si>
  <si>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</si>
  <si>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</si>
  <si>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</si>
  <si>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</si>
  <si>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</si>
  <si>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</si>
  <si>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</si>
  <si>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</si>
  <si>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</si>
  <si>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</si>
  <si>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</si>
  <si>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Fumble Recoveries:</t>
  </si>
  <si>
    <t>Rushing</t>
  </si>
  <si>
    <t>Passing</t>
  </si>
  <si>
    <t>Penalty</t>
  </si>
  <si>
    <t>Sacks:</t>
  </si>
  <si>
    <t>1972 Cincinnati Bengals</t>
  </si>
  <si>
    <t>Anderson</t>
  </si>
  <si>
    <t>Carter</t>
  </si>
  <si>
    <t>Conley</t>
  </si>
  <si>
    <t>Dressler</t>
  </si>
  <si>
    <t>Johnson,E</t>
  </si>
  <si>
    <t>Joiner</t>
  </si>
  <si>
    <t>Lewis</t>
  </si>
  <si>
    <t>Morrison</t>
  </si>
  <si>
    <t>Phillips</t>
  </si>
  <si>
    <t>Robinson</t>
  </si>
  <si>
    <t>Willis</t>
  </si>
  <si>
    <t>Buie</t>
  </si>
  <si>
    <t>Coslet</t>
  </si>
  <si>
    <t>Myers</t>
  </si>
  <si>
    <t>Thomas</t>
  </si>
  <si>
    <t>Trumpy</t>
  </si>
  <si>
    <t>Casanova</t>
  </si>
  <si>
    <t>Parrish</t>
  </si>
  <si>
    <t>Dennis</t>
  </si>
  <si>
    <t>Jackson</t>
  </si>
  <si>
    <t>Kelly</t>
  </si>
  <si>
    <t>Muhlmann</t>
  </si>
  <si>
    <t>Adams</t>
  </si>
  <si>
    <t>Beauchamp</t>
  </si>
  <si>
    <t>Craig</t>
  </si>
  <si>
    <t>Riley</t>
  </si>
  <si>
    <t>Avery</t>
  </si>
  <si>
    <t>Bergey</t>
  </si>
  <si>
    <t>Berry</t>
  </si>
  <si>
    <t>Carpenter</t>
  </si>
  <si>
    <t>Chomyszak</t>
  </si>
  <si>
    <t>Johnson,K</t>
  </si>
  <si>
    <t>Reid</t>
  </si>
  <si>
    <t>White</t>
  </si>
  <si>
    <t>DeLeone</t>
  </si>
  <si>
    <t>Fest</t>
  </si>
  <si>
    <t>Holland</t>
  </si>
  <si>
    <t>Johnson,B</t>
  </si>
  <si>
    <t>Kearney</t>
  </si>
  <si>
    <t>Kellermann</t>
  </si>
  <si>
    <t>Lawson</t>
  </si>
  <si>
    <t>LeClair</t>
  </si>
  <si>
    <t>Matson</t>
  </si>
  <si>
    <t>Mayes</t>
  </si>
  <si>
    <t>Peterson</t>
  </si>
  <si>
    <t>Pritchard</t>
  </si>
  <si>
    <t>Randolph</t>
  </si>
  <si>
    <t>Walters</t>
  </si>
  <si>
    <t>Watson</t>
  </si>
  <si>
    <t>Cin</t>
  </si>
  <si>
    <t>0-19</t>
  </si>
  <si>
    <t>20-29</t>
  </si>
  <si>
    <t>30-39</t>
  </si>
  <si>
    <t>40-49</t>
  </si>
  <si>
    <t>50+</t>
  </si>
  <si>
    <t>Sacks</t>
  </si>
  <si>
    <t>Actual:</t>
  </si>
  <si>
    <t>Projected:</t>
  </si>
  <si>
    <t>Sack</t>
  </si>
  <si>
    <t>YPC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</si>
</sst>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0"/>
    <numFmt numFmtId="175" formatCode="[$-409]h:mm:ss\ AM/PM"/>
    <numFmt numFmtId="176" formatCode="h:mm;@"/>
    <numFmt numFmtId="177" formatCode="mm:ss.0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8"/>
  <sheetViews>
    <sheetView tabSelected="1" zoomScale="125" zoomScaleNormal="125" workbookViewId="0" topLeftCell="A1">
      <selection activeCell="B59" sqref="B5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8515625" style="0" customWidth="1"/>
    <col min="15" max="15" width="7.00390625" style="0" customWidth="1"/>
  </cols>
  <sheetData>
    <row r="1" ht="12">
      <c r="A1" s="2" t="s">
        <v>99</v>
      </c>
    </row>
    <row r="2" spans="1:2" ht="12">
      <c r="A2" t="s">
        <v>87</v>
      </c>
      <c r="B2" s="2">
        <v>14</v>
      </c>
    </row>
    <row r="3" spans="1:8" ht="12">
      <c r="A3" s="2" t="s">
        <v>0</v>
      </c>
      <c r="H3" s="2" t="s">
        <v>48</v>
      </c>
    </row>
    <row r="4" spans="5:15" ht="12">
      <c r="E4" s="3" t="s">
        <v>88</v>
      </c>
      <c r="F4" s="3" t="s">
        <v>89</v>
      </c>
      <c r="N4" s="3" t="s">
        <v>88</v>
      </c>
      <c r="O4" s="3" t="s">
        <v>89</v>
      </c>
    </row>
    <row r="6" spans="1:15" ht="12">
      <c r="A6" s="1" t="s">
        <v>29</v>
      </c>
      <c r="D6" s="2">
        <f>+'gm 1 at NE'!D6+'gm 2 vs Pit'!D6+'gm 3 at Cle'!D6+'gm 4 vs Den'!D6+'gm 5 at KC'!D6+'gm 6 at LA'!D6+'gm 7 vs Hou'!D6+'gm 8 at Pit'!D6+'gm 9 vs Oak'!D6+'gm 10 vs Bal'!D6+'gm 11 at Chi'!D6+'gm 12 vs NYG'!D6+'gm 13 vs Cle'!D6+'gm 14 at Hou'!D6</f>
        <v>242</v>
      </c>
      <c r="E6" s="8">
        <f>+D6/$B$2</f>
        <v>17.285714285714285</v>
      </c>
      <c r="F6" s="8">
        <v>18.214285714285715</v>
      </c>
      <c r="H6" s="1" t="s">
        <v>29</v>
      </c>
      <c r="M6" s="2">
        <f>+'gm 1 at NE'!M6+'gm 2 vs Pit'!M6+'gm 3 at Cle'!M6+'gm 4 vs Den'!M6+'gm 5 at KC'!M6+'gm 6 at LA'!M6+'gm 7 vs Hou'!M6+'gm 8 at Pit'!M6+'gm 9 vs Oak'!M6+'gm 10 vs Bal'!M6+'gm 11 at Chi'!M6+'gm 12 vs NYG'!M6+'gm 13 vs Cle'!M6+'gm 14 at Hou'!M6</f>
        <v>213</v>
      </c>
      <c r="N6" s="8">
        <f>+M6/$B$2</f>
        <v>15.214285714285714</v>
      </c>
      <c r="O6" s="8">
        <v>14.785714285714286</v>
      </c>
    </row>
    <row r="7" spans="1:15" ht="12">
      <c r="A7" s="9" t="s">
        <v>95</v>
      </c>
      <c r="D7" s="2">
        <f>+'gm 1 at NE'!D7+'gm 2 vs Pit'!D7+'gm 3 at Cle'!D7+'gm 4 vs Den'!D7+'gm 5 at KC'!D7+'gm 6 at LA'!D7+'gm 7 vs Hou'!D7+'gm 8 at Pit'!D7+'gm 9 vs Oak'!D7+'gm 10 vs Bal'!D7+'gm 11 at Chi'!D7+'gm 12 vs NYG'!D7+'gm 13 vs Cle'!D7+'gm 14 at Hou'!D7</f>
        <v>114</v>
      </c>
      <c r="E7" s="8">
        <f>+D7/$B$2</f>
        <v>8.142857142857142</v>
      </c>
      <c r="F7" s="8">
        <v>8</v>
      </c>
      <c r="H7" s="9" t="s">
        <v>95</v>
      </c>
      <c r="M7" s="2">
        <f>+'gm 1 at NE'!M7+'gm 2 vs Pit'!M7+'gm 3 at Cle'!M7+'gm 4 vs Den'!M7+'gm 5 at KC'!M7+'gm 6 at LA'!M7+'gm 7 vs Hou'!M7+'gm 8 at Pit'!M7+'gm 9 vs Oak'!M7+'gm 10 vs Bal'!M7+'gm 11 at Chi'!M7+'gm 12 vs NYG'!M7+'gm 13 vs Cle'!M7+'gm 14 at Hou'!M7</f>
        <v>100</v>
      </c>
      <c r="N7" s="8">
        <f>+M7/$B$2</f>
        <v>7.142857142857143</v>
      </c>
      <c r="O7" s="8">
        <v>7</v>
      </c>
    </row>
    <row r="8" spans="1:15" ht="12">
      <c r="A8" s="9" t="s">
        <v>96</v>
      </c>
      <c r="D8" s="2">
        <f>+'gm 1 at NE'!D8+'gm 2 vs Pit'!D8+'gm 3 at Cle'!D8+'gm 4 vs Den'!D8+'gm 5 at KC'!D8+'gm 6 at LA'!D8+'gm 7 vs Hou'!D8+'gm 8 at Pit'!D8+'gm 9 vs Oak'!D8+'gm 10 vs Bal'!D8+'gm 11 at Chi'!D8+'gm 12 vs NYG'!D8+'gm 13 vs Cle'!D8+'gm 14 at Hou'!D8</f>
        <v>104</v>
      </c>
      <c r="E8" s="8">
        <f>+D8/$B$2</f>
        <v>7.428571428571429</v>
      </c>
      <c r="F8" s="8">
        <v>8.714285714285714</v>
      </c>
      <c r="H8" s="9" t="s">
        <v>96</v>
      </c>
      <c r="M8" s="2">
        <f>+'gm 1 at NE'!M8+'gm 2 vs Pit'!M8+'gm 3 at Cle'!M8+'gm 4 vs Den'!M8+'gm 5 at KC'!M8+'gm 6 at LA'!M8+'gm 7 vs Hou'!M8+'gm 8 at Pit'!M8+'gm 9 vs Oak'!M8+'gm 10 vs Bal'!M8+'gm 11 at Chi'!M8+'gm 12 vs NYG'!M8+'gm 13 vs Cle'!M8+'gm 14 at Hou'!M8</f>
        <v>99</v>
      </c>
      <c r="N8" s="8">
        <f>+M8/$B$2</f>
        <v>7.071428571428571</v>
      </c>
      <c r="O8" s="8">
        <v>6.571428571428571</v>
      </c>
    </row>
    <row r="9" spans="1:15" ht="12">
      <c r="A9" s="9" t="s">
        <v>97</v>
      </c>
      <c r="D9" s="2">
        <f>+'gm 1 at NE'!D9+'gm 2 vs Pit'!D9+'gm 3 at Cle'!D9+'gm 4 vs Den'!D9+'gm 5 at KC'!D9+'gm 6 at LA'!D9+'gm 7 vs Hou'!D9+'gm 8 at Pit'!D9+'gm 9 vs Oak'!D9+'gm 10 vs Bal'!D9+'gm 11 at Chi'!D9+'gm 12 vs NYG'!D9+'gm 13 vs Cle'!D9+'gm 14 at Hou'!D9</f>
        <v>24</v>
      </c>
      <c r="E9" s="8">
        <f>+D9/$B$2</f>
        <v>1.7142857142857142</v>
      </c>
      <c r="F9" s="8">
        <f>+F6-F7-F8</f>
        <v>1.5000000000000018</v>
      </c>
      <c r="H9" s="9" t="s">
        <v>97</v>
      </c>
      <c r="M9" s="2">
        <f>+'gm 1 at NE'!M9+'gm 2 vs Pit'!M9+'gm 3 at Cle'!M9+'gm 4 vs Den'!M9+'gm 5 at KC'!M9+'gm 6 at LA'!M9+'gm 7 vs Hou'!M9+'gm 8 at Pit'!M9+'gm 9 vs Oak'!M9+'gm 10 vs Bal'!M9+'gm 11 at Chi'!M9+'gm 12 vs NYG'!M9+'gm 13 vs Cle'!M9+'gm 14 at Hou'!M9</f>
        <v>14</v>
      </c>
      <c r="N9" s="8">
        <f>+M9/$B$2</f>
        <v>1</v>
      </c>
      <c r="O9" s="8">
        <f>+O6-O7-O8</f>
        <v>1.2142857142857153</v>
      </c>
    </row>
    <row r="10" spans="5:15" ht="12">
      <c r="E10" s="8"/>
      <c r="F10" s="8"/>
      <c r="N10" s="8"/>
      <c r="O10" s="8"/>
    </row>
    <row r="11" spans="1:24" ht="12">
      <c r="A11" t="s">
        <v>1</v>
      </c>
      <c r="D11" s="2">
        <f>+'gm 1 at NE'!D11+'gm 2 vs Pit'!D11+'gm 3 at Cle'!D11+'gm 4 vs Den'!D11+'gm 5 at KC'!D11+'gm 6 at LA'!D11+'gm 7 vs Hou'!D11+'gm 8 at Pit'!D11+'gm 9 vs Oak'!D11+'gm 10 vs Bal'!D11+'gm 11 at Chi'!D11+'gm 12 vs NYG'!D11+'gm 13 vs Cle'!D11+'gm 14 at Hou'!D11</f>
        <v>460</v>
      </c>
      <c r="E11" s="8">
        <f>+D11/$B$2</f>
        <v>32.857142857142854</v>
      </c>
      <c r="F11" s="8">
        <v>35.07142857142857</v>
      </c>
      <c r="G11" t="str">
        <f>IF(D11=SUM(C75:C86),"ok","ERR")</f>
        <v>ok</v>
      </c>
      <c r="H11" t="s">
        <v>1</v>
      </c>
      <c r="M11" s="2">
        <f>+'gm 1 at NE'!M11+'gm 2 vs Pit'!M11+'gm 3 at Cle'!M11+'gm 4 vs Den'!M11+'gm 5 at KC'!M11+'gm 6 at LA'!M11+'gm 7 vs Hou'!M11+'gm 8 at Pit'!M11+'gm 9 vs Oak'!M11+'gm 10 vs Bal'!M11+'gm 11 at Chi'!M11+'gm 12 vs NYG'!M11+'gm 13 vs Cle'!M11+'gm 14 at Hou'!M11</f>
        <v>449</v>
      </c>
      <c r="N11" s="8">
        <f>+M11/$B$2</f>
        <v>32.07142857142857</v>
      </c>
      <c r="O11" s="8">
        <v>29</v>
      </c>
      <c r="W11">
        <f>+D11</f>
        <v>460</v>
      </c>
      <c r="X11">
        <f>+M11</f>
        <v>449</v>
      </c>
    </row>
    <row r="12" spans="1:24" ht="12">
      <c r="A12" t="s">
        <v>2</v>
      </c>
      <c r="D12" s="2">
        <f>+'gm 1 at NE'!D12+'gm 2 vs Pit'!D12+'gm 3 at Cle'!D12+'gm 4 vs Den'!D12+'gm 5 at KC'!D12+'gm 6 at LA'!D12+'gm 7 vs Hou'!D12+'gm 8 at Pit'!D12+'gm 9 vs Oak'!D12+'gm 10 vs Bal'!D12+'gm 11 at Chi'!D12+'gm 12 vs NYG'!D12+'gm 13 vs Cle'!D12+'gm 14 at Hou'!D12</f>
        <v>2036</v>
      </c>
      <c r="E12" s="8">
        <f>+D12/$B$2</f>
        <v>145.42857142857142</v>
      </c>
      <c r="F12" s="8">
        <v>142.57142857142858</v>
      </c>
      <c r="G12" t="str">
        <f>IF(D12=SUM(D75:D86),"ok","ERR")</f>
        <v>ok</v>
      </c>
      <c r="H12" t="s">
        <v>2</v>
      </c>
      <c r="M12" s="2">
        <f>+'gm 1 at NE'!M12+'gm 2 vs Pit'!M12+'gm 3 at Cle'!M12+'gm 4 vs Den'!M12+'gm 5 at KC'!M12+'gm 6 at LA'!M12+'gm 7 vs Hou'!M12+'gm 8 at Pit'!M12+'gm 9 vs Oak'!M12+'gm 10 vs Bal'!M12+'gm 11 at Chi'!M12+'gm 12 vs NYG'!M12+'gm 13 vs Cle'!M12+'gm 14 at Hou'!M12</f>
        <v>1874</v>
      </c>
      <c r="N12" s="8">
        <f>+M12/$B$2</f>
        <v>133.85714285714286</v>
      </c>
      <c r="O12" s="8">
        <v>129.64285714285714</v>
      </c>
      <c r="V12" s="13"/>
      <c r="W12">
        <f>+D16</f>
        <v>206</v>
      </c>
      <c r="X12">
        <f>+M16</f>
        <v>179</v>
      </c>
    </row>
    <row r="13" spans="1:24" ht="12">
      <c r="A13" s="1" t="s">
        <v>3</v>
      </c>
      <c r="D13" s="8">
        <f>+D12/D11</f>
        <v>4.426086956521739</v>
      </c>
      <c r="E13" s="8"/>
      <c r="F13" s="8">
        <f>+F12/F11</f>
        <v>4.065173116089613</v>
      </c>
      <c r="H13" s="1" t="s">
        <v>3</v>
      </c>
      <c r="M13" s="8">
        <f>+M12/M11</f>
        <v>4.173719376391982</v>
      </c>
      <c r="N13" s="8"/>
      <c r="O13" s="8">
        <f>+O12/O11</f>
        <v>4.470443349753695</v>
      </c>
      <c r="W13">
        <f>+(D15-D16)/2</f>
        <v>85.5</v>
      </c>
      <c r="X13">
        <f>+(M15-M16)/2</f>
        <v>97.5</v>
      </c>
    </row>
    <row r="14" spans="5:24" ht="12">
      <c r="E14" s="8"/>
      <c r="F14" s="8"/>
      <c r="N14" s="8"/>
      <c r="O14" s="8"/>
      <c r="W14">
        <f>+D38/2</f>
        <v>33</v>
      </c>
      <c r="X14">
        <f>+M38/2</f>
        <v>43</v>
      </c>
    </row>
    <row r="15" spans="1:24" ht="12">
      <c r="A15" t="s">
        <v>4</v>
      </c>
      <c r="D15" s="2">
        <f>+'gm 1 at NE'!D15+'gm 2 vs Pit'!D15+'gm 3 at Cle'!D15+'gm 4 vs Den'!D15+'gm 5 at KC'!D15+'gm 6 at LA'!D15+'gm 7 vs Hou'!D15+'gm 8 at Pit'!D15+'gm 9 vs Oak'!D15+'gm 10 vs Bal'!D15+'gm 11 at Chi'!D15+'gm 12 vs NYG'!D15+'gm 13 vs Cle'!D15+'gm 14 at Hou'!D15</f>
        <v>377</v>
      </c>
      <c r="E15" s="8">
        <f>+D15/$B$2</f>
        <v>26.928571428571427</v>
      </c>
      <c r="F15" s="8">
        <v>27.428571428571427</v>
      </c>
      <c r="G15" t="str">
        <f>IF(D15=SUM(C106:C110),"ok","err")</f>
        <v>ok</v>
      </c>
      <c r="H15" t="s">
        <v>4</v>
      </c>
      <c r="M15" s="2">
        <f>+'gm 1 at NE'!M15+'gm 2 vs Pit'!M15+'gm 3 at Cle'!M15+'gm 4 vs Den'!M15+'gm 5 at KC'!M15+'gm 6 at LA'!M15+'gm 7 vs Hou'!M15+'gm 8 at Pit'!M15+'gm 9 vs Oak'!M15+'gm 10 vs Bal'!M15+'gm 11 at Chi'!M15+'gm 12 vs NYG'!M15+'gm 13 vs Cle'!M15+'gm 14 at Hou'!M15</f>
        <v>374</v>
      </c>
      <c r="N15" s="8">
        <f>+M15/$B$2</f>
        <v>26.714285714285715</v>
      </c>
      <c r="O15" s="8">
        <v>25</v>
      </c>
      <c r="W15">
        <f>+D42/2</f>
        <v>27</v>
      </c>
      <c r="X15">
        <f>+M42/2</f>
        <v>16.5</v>
      </c>
    </row>
    <row r="16" spans="1:24" ht="12">
      <c r="A16" t="s">
        <v>5</v>
      </c>
      <c r="C16" t="str">
        <f>IF(D16=SUM(C89:C102),"ok","ERR")</f>
        <v>ok</v>
      </c>
      <c r="D16" s="2">
        <f>+'gm 1 at NE'!D16+'gm 2 vs Pit'!D16+'gm 3 at Cle'!D16+'gm 4 vs Den'!D16+'gm 5 at KC'!D16+'gm 6 at LA'!D16+'gm 7 vs Hou'!D16+'gm 8 at Pit'!D16+'gm 9 vs Oak'!D16+'gm 10 vs Bal'!D16+'gm 11 at Chi'!D16+'gm 12 vs NYG'!D16+'gm 13 vs Cle'!D16+'gm 14 at Hou'!D16</f>
        <v>206</v>
      </c>
      <c r="E16" s="8">
        <f>+D16/$B$2</f>
        <v>14.714285714285714</v>
      </c>
      <c r="F16" s="8">
        <v>15.642857142857142</v>
      </c>
      <c r="G16" t="str">
        <f>IF(D16=SUM(D106:D110),"ok","ERR")</f>
        <v>ok</v>
      </c>
      <c r="H16" t="s">
        <v>5</v>
      </c>
      <c r="M16" s="2">
        <f>+'gm 1 at NE'!M16+'gm 2 vs Pit'!M16+'gm 3 at Cle'!M16+'gm 4 vs Den'!M16+'gm 5 at KC'!M16+'gm 6 at LA'!M16+'gm 7 vs Hou'!M16+'gm 8 at Pit'!M16+'gm 9 vs Oak'!M16+'gm 10 vs Bal'!M16+'gm 11 at Chi'!M16+'gm 12 vs NYG'!M16+'gm 13 vs Cle'!M16+'gm 14 at Hou'!M16</f>
        <v>179</v>
      </c>
      <c r="N16" s="8">
        <f>+M16/$B$2</f>
        <v>12.785714285714286</v>
      </c>
      <c r="O16" s="8">
        <v>11.928571428571429</v>
      </c>
      <c r="W16">
        <f>+D47/2</f>
        <v>19.5</v>
      </c>
      <c r="X16">
        <f>+M47/2</f>
        <v>18.5</v>
      </c>
    </row>
    <row r="17" spans="1:15" ht="12">
      <c r="A17" t="s">
        <v>6</v>
      </c>
      <c r="D17" s="8">
        <f>+D16/D15*100</f>
        <v>54.64190981432361</v>
      </c>
      <c r="E17" s="8">
        <f>+E16/E15*100</f>
        <v>54.64190981432361</v>
      </c>
      <c r="F17" s="8">
        <f>+F16/F15*100</f>
        <v>57.03125</v>
      </c>
      <c r="H17" t="s">
        <v>6</v>
      </c>
      <c r="M17" s="8">
        <f>+M16/M15*100</f>
        <v>47.860962566844925</v>
      </c>
      <c r="N17" s="8">
        <f>+N16/N15*100</f>
        <v>47.860962566844925</v>
      </c>
      <c r="O17" s="8">
        <f>+O16/O15*100</f>
        <v>47.714285714285715</v>
      </c>
    </row>
    <row r="18" spans="1:25" ht="12">
      <c r="A18" t="s">
        <v>7</v>
      </c>
      <c r="C18" t="str">
        <f>IF(D18=SUM(D89:D102),"ok","ERR")</f>
        <v>ok</v>
      </c>
      <c r="D18" s="2">
        <f>+'gm 1 at NE'!D18+'gm 2 vs Pit'!D18+'gm 3 at Cle'!D18+'gm 4 vs Den'!D18+'gm 5 at KC'!D18+'gm 6 at LA'!D18+'gm 7 vs Hou'!D18+'gm 8 at Pit'!D18+'gm 9 vs Oak'!D18+'gm 10 vs Bal'!D18+'gm 11 at Chi'!D18+'gm 12 vs NYG'!D18+'gm 13 vs Cle'!D18+'gm 14 at Hou'!D18</f>
        <v>2165</v>
      </c>
      <c r="E18" s="8">
        <f>+D18/$B$2</f>
        <v>154.64285714285714</v>
      </c>
      <c r="F18" s="8">
        <v>179.5</v>
      </c>
      <c r="G18" t="str">
        <f>IF(D18=SUM(F106:F110),"ok","ERR")</f>
        <v>ok</v>
      </c>
      <c r="H18" t="s">
        <v>7</v>
      </c>
      <c r="M18" s="2">
        <f>+'gm 1 at NE'!M18+'gm 2 vs Pit'!M18+'gm 3 at Cle'!M18+'gm 4 vs Den'!M18+'gm 5 at KC'!M18+'gm 6 at LA'!M18+'gm 7 vs Hou'!M18+'gm 8 at Pit'!M18+'gm 9 vs Oak'!M18+'gm 10 vs Bal'!M18+'gm 11 at Chi'!M18+'gm 12 vs NYG'!M18+'gm 13 vs Cle'!M18+'gm 14 at Hou'!M18</f>
        <v>2097</v>
      </c>
      <c r="N18" s="8">
        <f>+M18/$B$2</f>
        <v>149.78571428571428</v>
      </c>
      <c r="O18" s="8">
        <v>145.21428571428572</v>
      </c>
      <c r="W18">
        <f>SUM(W11:W16)</f>
        <v>831</v>
      </c>
      <c r="X18">
        <f>SUM(X11:X16)</f>
        <v>803.5</v>
      </c>
      <c r="Y18">
        <f>+X18+W18</f>
        <v>1634.5</v>
      </c>
    </row>
    <row r="19" spans="1:24" ht="12">
      <c r="A19" t="s">
        <v>8</v>
      </c>
      <c r="D19" s="2">
        <f>+'gm 1 at NE'!D19+'gm 2 vs Pit'!D19+'gm 3 at Cle'!D19+'gm 4 vs Den'!D19+'gm 5 at KC'!D19+'gm 6 at LA'!D19+'gm 7 vs Hou'!D19+'gm 8 at Pit'!D19+'gm 9 vs Oak'!D19+'gm 10 vs Bal'!D19+'gm 11 at Chi'!D19+'gm 12 vs NYG'!D19+'gm 13 vs Cle'!D19+'gm 14 at Hou'!D19</f>
        <v>26</v>
      </c>
      <c r="E19" s="8">
        <f>+D19/$B$2</f>
        <v>1.8571428571428572</v>
      </c>
      <c r="F19" s="8">
        <v>1.7142857142857142</v>
      </c>
      <c r="G19" t="str">
        <f>IF(D19=SUM(O106:O110),"ok","ERR")</f>
        <v>ok</v>
      </c>
      <c r="H19" t="s">
        <v>8</v>
      </c>
      <c r="M19" s="2">
        <f>+'gm 1 at NE'!M19+'gm 2 vs Pit'!M19+'gm 3 at Cle'!M19+'gm 4 vs Den'!M19+'gm 5 at KC'!M19+'gm 6 at LA'!M19+'gm 7 vs Hou'!M19+'gm 8 at Pit'!M19+'gm 9 vs Oak'!M19+'gm 10 vs Bal'!M19+'gm 11 at Chi'!M19+'gm 12 vs NYG'!M19+'gm 13 vs Cle'!M19+'gm 14 at Hou'!M19</f>
        <v>34</v>
      </c>
      <c r="N19" s="8">
        <f>+M19/$B$2</f>
        <v>2.4285714285714284</v>
      </c>
      <c r="O19" s="8">
        <v>2.7142857142857144</v>
      </c>
      <c r="P19" t="str">
        <f>IF(M19=SUM(C162:C176),"ok","ERR")</f>
        <v>ok</v>
      </c>
      <c r="W19">
        <f>+W18/Y18</f>
        <v>0.5084123585194249</v>
      </c>
      <c r="X19">
        <f>+X18/Y18</f>
        <v>0.4915876414805751</v>
      </c>
    </row>
    <row r="20" spans="1:24" ht="12">
      <c r="A20" t="s">
        <v>9</v>
      </c>
      <c r="D20" s="2">
        <f>+'gm 1 at NE'!D20+'gm 2 vs Pit'!D20+'gm 3 at Cle'!D20+'gm 4 vs Den'!D20+'gm 5 at KC'!D20+'gm 6 at LA'!D20+'gm 7 vs Hou'!D20+'gm 8 at Pit'!D20+'gm 9 vs Oak'!D20+'gm 10 vs Bal'!D20+'gm 11 at Chi'!D20+'gm 12 vs NYG'!D20+'gm 13 vs Cle'!D20+'gm 14 at Hou'!D20</f>
        <v>196</v>
      </c>
      <c r="E20" s="8">
        <f>+D20/$B$2</f>
        <v>14</v>
      </c>
      <c r="F20" s="8">
        <v>13.714285714285714</v>
      </c>
      <c r="H20" t="s">
        <v>9</v>
      </c>
      <c r="M20" s="2">
        <f>+'gm 1 at NE'!M20+'gm 2 vs Pit'!M20+'gm 3 at Cle'!M20+'gm 4 vs Den'!M20+'gm 5 at KC'!M20+'gm 6 at LA'!M20+'gm 7 vs Hou'!M20+'gm 8 at Pit'!M20+'gm 9 vs Oak'!M20+'gm 10 vs Bal'!M20+'gm 11 at Chi'!M20+'gm 12 vs NYG'!M20+'gm 13 vs Cle'!M20+'gm 14 at Hou'!M20</f>
        <v>227</v>
      </c>
      <c r="N20" s="8">
        <f>+M20/$B$2</f>
        <v>16.214285714285715</v>
      </c>
      <c r="O20" s="8">
        <v>21.142857142857142</v>
      </c>
      <c r="P20" t="str">
        <f>IF(M20=SUM(D162:D176),"ok","ERR")</f>
        <v>ok</v>
      </c>
      <c r="W20">
        <f>+W19*60</f>
        <v>30.504741511165495</v>
      </c>
      <c r="X20">
        <f>+X19*60</f>
        <v>29.495258488834505</v>
      </c>
    </row>
    <row r="21" spans="1:24" ht="12">
      <c r="A21" t="s">
        <v>10</v>
      </c>
      <c r="D21">
        <f>+D18-D20</f>
        <v>1969</v>
      </c>
      <c r="E21" s="8">
        <f>+D21/B2</f>
        <v>140.64285714285714</v>
      </c>
      <c r="F21" s="8">
        <f>+F18-F20</f>
        <v>165.78571428571428</v>
      </c>
      <c r="H21" t="s">
        <v>10</v>
      </c>
      <c r="M21">
        <f>+M18-M20</f>
        <v>1870</v>
      </c>
      <c r="N21" s="8">
        <f>+M21/B2</f>
        <v>133.57142857142858</v>
      </c>
      <c r="O21" s="8">
        <f>+O18-O20</f>
        <v>124.07142857142858</v>
      </c>
      <c r="W21">
        <f>+W20-INT(W20)</f>
        <v>0.5047415111654949</v>
      </c>
      <c r="X21">
        <f>+X20-INT(X20)</f>
        <v>0.4952584888345051</v>
      </c>
    </row>
    <row r="22" spans="1:24" ht="12">
      <c r="A22" t="s">
        <v>11</v>
      </c>
      <c r="D22" s="7">
        <f>+D21/(D15+D19)</f>
        <v>4.8858560794044665</v>
      </c>
      <c r="E22" s="8"/>
      <c r="F22" s="7">
        <f>+F21/(F15+F19)</f>
        <v>5.688725490196078</v>
      </c>
      <c r="H22" t="s">
        <v>11</v>
      </c>
      <c r="M22" s="7">
        <f>+M21/(M15+M19)</f>
        <v>4.583333333333333</v>
      </c>
      <c r="N22" s="8"/>
      <c r="O22" s="7">
        <f>+O21/(O15+O19)</f>
        <v>4.47680412371134</v>
      </c>
      <c r="W22">
        <f>+W21*60</f>
        <v>30.284490669929696</v>
      </c>
      <c r="X22">
        <f>+X21*60</f>
        <v>29.715509330070304</v>
      </c>
    </row>
    <row r="23" spans="1:24" ht="12">
      <c r="A23" t="s">
        <v>12</v>
      </c>
      <c r="D23" s="7">
        <f>+D18/D16</f>
        <v>10.509708737864077</v>
      </c>
      <c r="E23" s="8"/>
      <c r="F23" s="7">
        <f>+F18/F16</f>
        <v>11.474885844748858</v>
      </c>
      <c r="H23" t="s">
        <v>12</v>
      </c>
      <c r="M23" s="7">
        <f>+M18/M16</f>
        <v>11.71508379888268</v>
      </c>
      <c r="N23" s="8"/>
      <c r="O23" s="7">
        <f>+O18/O16</f>
        <v>12.173652694610778</v>
      </c>
      <c r="V23">
        <v>0</v>
      </c>
      <c r="W23" s="11">
        <f>ROUND(W22,0)</f>
        <v>30</v>
      </c>
      <c r="X23">
        <f>ROUND(X22,0)</f>
        <v>30</v>
      </c>
    </row>
    <row r="24" spans="5:24" ht="12">
      <c r="E24" s="8"/>
      <c r="F24" s="8"/>
      <c r="N24" s="8"/>
      <c r="O24" s="8"/>
      <c r="W24">
        <f>INT(W20)</f>
        <v>30</v>
      </c>
      <c r="X24">
        <f>INT(X20)</f>
        <v>29</v>
      </c>
    </row>
    <row r="25" spans="1:24" ht="12">
      <c r="A25" t="s">
        <v>13</v>
      </c>
      <c r="E25" s="8"/>
      <c r="F25" s="8"/>
      <c r="H25" t="s">
        <v>13</v>
      </c>
      <c r="N25" s="8"/>
      <c r="O25" s="8"/>
      <c r="W25" t="s">
        <v>91</v>
      </c>
      <c r="X25" t="s">
        <v>91</v>
      </c>
    </row>
    <row r="26" spans="1:24" ht="12">
      <c r="A26" t="s">
        <v>14</v>
      </c>
      <c r="D26">
        <f>+D21+D12</f>
        <v>4005</v>
      </c>
      <c r="E26" s="8">
        <f>+D26/B2</f>
        <v>286.07142857142856</v>
      </c>
      <c r="F26">
        <f>+F21+F12</f>
        <v>308.3571428571429</v>
      </c>
      <c r="H26" t="s">
        <v>14</v>
      </c>
      <c r="M26">
        <f>+M21+M12</f>
        <v>3744</v>
      </c>
      <c r="N26" s="8">
        <f>+M26/B2</f>
        <v>267.42857142857144</v>
      </c>
      <c r="O26">
        <f>+O21+O12</f>
        <v>253.71428571428572</v>
      </c>
      <c r="W26" s="14" t="str">
        <f>+W24&amp;W25&amp;W23</f>
        <v>30:30</v>
      </c>
      <c r="X26" s="9" t="str">
        <f>+X24&amp;X25&amp;X23</f>
        <v>29:30</v>
      </c>
    </row>
    <row r="27" spans="1:24" ht="12">
      <c r="A27" t="s">
        <v>15</v>
      </c>
      <c r="D27" s="7">
        <f>+D12/D26*100</f>
        <v>50.83645443196006</v>
      </c>
      <c r="E27" s="8"/>
      <c r="F27" s="7">
        <f>+F12/F26*100</f>
        <v>46.235811906416494</v>
      </c>
      <c r="H27" t="s">
        <v>15</v>
      </c>
      <c r="M27" s="7">
        <f>+M12/M26*100</f>
        <v>50.0534188034188</v>
      </c>
      <c r="N27" s="8"/>
      <c r="O27" s="7">
        <f>+O12/O26*100</f>
        <v>51.09797297297297</v>
      </c>
      <c r="W27" s="9" t="str">
        <f>IF(W23&lt;10,+W24&amp;W25&amp;$V$23&amp;W23,+W24&amp;W25&amp;W23)</f>
        <v>30:30</v>
      </c>
      <c r="X27" s="9" t="str">
        <f>IF(X23&lt;10,+X24&amp;X25&amp;$V$23&amp;X23,+X24&amp;X25&amp;X23)</f>
        <v>29:30</v>
      </c>
    </row>
    <row r="28" spans="1:15" ht="12">
      <c r="A28" s="1" t="s">
        <v>90</v>
      </c>
      <c r="D28" s="7">
        <f>+D21/D26*100</f>
        <v>49.16354556803995</v>
      </c>
      <c r="E28" s="8"/>
      <c r="F28" s="7">
        <f>+F21/F26*100</f>
        <v>53.7641880935835</v>
      </c>
      <c r="H28" s="1" t="s">
        <v>90</v>
      </c>
      <c r="M28" s="7">
        <f>+M21/M26*100</f>
        <v>49.9465811965812</v>
      </c>
      <c r="N28" s="8"/>
      <c r="O28" s="7">
        <f>+O21/O26*100</f>
        <v>48.90202702702703</v>
      </c>
    </row>
    <row r="29" spans="5:15" ht="12">
      <c r="E29" s="8"/>
      <c r="F29" s="8"/>
      <c r="N29" s="8"/>
      <c r="O29" s="8"/>
    </row>
    <row r="30" spans="1:15" ht="12">
      <c r="A30" t="s">
        <v>16</v>
      </c>
      <c r="D30">
        <f>+D11+D15+D19</f>
        <v>863</v>
      </c>
      <c r="E30" s="8">
        <f>+D30/$B$2</f>
        <v>61.642857142857146</v>
      </c>
      <c r="F30">
        <f>+F11+F15+F19</f>
        <v>64.21428571428571</v>
      </c>
      <c r="H30" t="s">
        <v>16</v>
      </c>
      <c r="M30">
        <f>+M11+M15+M19</f>
        <v>857</v>
      </c>
      <c r="N30" s="8">
        <f>+M30/$B$2</f>
        <v>61.214285714285715</v>
      </c>
      <c r="O30">
        <f>+O11+O15+O19</f>
        <v>56.714285714285715</v>
      </c>
    </row>
    <row r="31" spans="1:15" ht="12">
      <c r="A31" t="s">
        <v>17</v>
      </c>
      <c r="D31" s="8">
        <f>+D26/D30</f>
        <v>4.640787949015063</v>
      </c>
      <c r="E31" s="8"/>
      <c r="F31" s="8">
        <f>+F26/F30</f>
        <v>4.802002224694106</v>
      </c>
      <c r="G31" s="7"/>
      <c r="H31" s="7" t="s">
        <v>17</v>
      </c>
      <c r="I31" s="7"/>
      <c r="J31" s="7"/>
      <c r="K31" s="7"/>
      <c r="L31" s="7"/>
      <c r="M31" s="8">
        <f>+M26/M30</f>
        <v>4.368728121353559</v>
      </c>
      <c r="N31" s="8"/>
      <c r="O31" s="8">
        <f>+O26/O30</f>
        <v>4.473551637279597</v>
      </c>
    </row>
    <row r="32" spans="5:15" ht="12">
      <c r="E32" s="8"/>
      <c r="F32" s="8"/>
      <c r="N32" s="8"/>
      <c r="O32" s="8"/>
    </row>
    <row r="33" spans="1:15" ht="12">
      <c r="A33" t="s">
        <v>18</v>
      </c>
      <c r="E33" s="8"/>
      <c r="F33" s="8"/>
      <c r="H33" t="s">
        <v>18</v>
      </c>
      <c r="N33" s="8"/>
      <c r="O33" s="8"/>
    </row>
    <row r="34" spans="1:16" ht="12">
      <c r="A34" t="s">
        <v>19</v>
      </c>
      <c r="D34" s="2">
        <f>+'gm 1 at NE'!D34+'gm 2 vs Pit'!D34+'gm 3 at Cle'!D34+'gm 4 vs Den'!D34+'gm 5 at KC'!D34+'gm 6 at LA'!D34+'gm 7 vs Hou'!D34+'gm 8 at Pit'!D34+'gm 9 vs Oak'!D34+'gm 10 vs Bal'!D34+'gm 11 at Chi'!D34+'gm 12 vs NYG'!D34+'gm 13 vs Cle'!D34+'gm 14 at Hou'!D34</f>
        <v>12</v>
      </c>
      <c r="E34" s="8">
        <f>+D34/$B$2</f>
        <v>0.8571428571428571</v>
      </c>
      <c r="F34" s="8">
        <v>0.7857142857142857</v>
      </c>
      <c r="G34" t="str">
        <f>IF(D34=SUM(I106:I110),"ok","ERR")</f>
        <v>ok</v>
      </c>
      <c r="H34" t="s">
        <v>19</v>
      </c>
      <c r="M34" s="2">
        <f>+'gm 1 at NE'!M34+'gm 2 vs Pit'!M34+'gm 3 at Cle'!M34+'gm 4 vs Den'!M34+'gm 5 at KC'!M34+'gm 6 at LA'!M34+'gm 7 vs Hou'!M34+'gm 8 at Pit'!M34+'gm 9 vs Oak'!M34+'gm 10 vs Bal'!M34+'gm 11 at Chi'!M34+'gm 12 vs NYG'!M34+'gm 13 vs Cle'!M34+'gm 14 at Hou'!M34</f>
        <v>20</v>
      </c>
      <c r="N34" s="8">
        <f>+M34/$B$2</f>
        <v>1.4285714285714286</v>
      </c>
      <c r="O34" s="8">
        <v>1.4285714285714286</v>
      </c>
      <c r="P34" t="str">
        <f>IF(M34=SUM(C147:C159),"ok","ERR")</f>
        <v>ok</v>
      </c>
    </row>
    <row r="35" spans="1:16" ht="12">
      <c r="A35" t="s">
        <v>20</v>
      </c>
      <c r="D35" s="2">
        <f>+'gm 1 at NE'!D35+'gm 2 vs Pit'!D35+'gm 3 at Cle'!D35+'gm 4 vs Den'!D35+'gm 5 at KC'!D35+'gm 6 at LA'!D35+'gm 7 vs Hou'!D35+'gm 8 at Pit'!D35+'gm 9 vs Oak'!D35+'gm 10 vs Bal'!D35+'gm 11 at Chi'!D35+'gm 12 vs NYG'!D35+'gm 13 vs Cle'!D35+'gm 14 at Hou'!D35</f>
        <v>71</v>
      </c>
      <c r="E35" s="8"/>
      <c r="F35" s="8"/>
      <c r="H35" t="s">
        <v>20</v>
      </c>
      <c r="M35" s="2">
        <f>+'gm 1 at NE'!M35+'gm 2 vs Pit'!M35+'gm 3 at Cle'!M35+'gm 4 vs Den'!M35+'gm 5 at KC'!M35+'gm 6 at LA'!M35+'gm 7 vs Hou'!M35+'gm 8 at Pit'!M35+'gm 9 vs Oak'!M35+'gm 10 vs Bal'!M35+'gm 11 at Chi'!M35+'gm 12 vs NYG'!M35+'gm 13 vs Cle'!M35+'gm 14 at Hou'!M35</f>
        <v>280</v>
      </c>
      <c r="N35" s="8"/>
      <c r="O35" s="8"/>
      <c r="P35" t="str">
        <f>IF(M35=SUM(D147:D159),"ok","ERR")</f>
        <v>ok</v>
      </c>
    </row>
    <row r="36" spans="1:15" ht="12">
      <c r="A36" t="s">
        <v>21</v>
      </c>
      <c r="D36" s="2">
        <f>+'gm 1 at NE'!D36+'gm 2 vs Pit'!D36+'gm 3 at Cle'!D36+'gm 4 vs Den'!D36+'gm 5 at KC'!D36+'gm 6 at LA'!D36+'gm 7 vs Hou'!D36+'gm 8 at Pit'!D36+'gm 9 vs Oak'!D36+'gm 10 vs Bal'!D36+'gm 11 at Chi'!D36+'gm 12 vs NYG'!D36+'gm 13 vs Cle'!D36+'gm 14 at Hou'!D36</f>
        <v>0</v>
      </c>
      <c r="E36" s="8"/>
      <c r="F36" s="8"/>
      <c r="H36" t="s">
        <v>21</v>
      </c>
      <c r="M36" s="2">
        <f>+'gm 1 at NE'!M36+'gm 2 vs Pit'!M36+'gm 3 at Cle'!M36+'gm 4 vs Den'!M36+'gm 5 at KC'!M36+'gm 6 at LA'!M36+'gm 7 vs Hou'!M36+'gm 8 at Pit'!M36+'gm 9 vs Oak'!M36+'gm 10 vs Bal'!M36+'gm 11 at Chi'!M36+'gm 12 vs NYG'!M36+'gm 13 vs Cle'!M36+'gm 14 at Hou'!M36</f>
        <v>1</v>
      </c>
      <c r="N36" s="8"/>
      <c r="O36" s="8"/>
    </row>
    <row r="37" spans="5:15" ht="12">
      <c r="E37" s="8"/>
      <c r="F37" s="8"/>
      <c r="N37" s="8"/>
      <c r="O37" s="8"/>
    </row>
    <row r="38" spans="1:15" ht="12">
      <c r="A38" t="s">
        <v>22</v>
      </c>
      <c r="D38" s="2">
        <f>+'gm 1 at NE'!D38+'gm 2 vs Pit'!D38+'gm 3 at Cle'!D38+'gm 4 vs Den'!D38+'gm 5 at KC'!D38+'gm 6 at LA'!D38+'gm 7 vs Hou'!D38+'gm 8 at Pit'!D38+'gm 9 vs Oak'!D38+'gm 10 vs Bal'!D38+'gm 11 at Chi'!D38+'gm 12 vs NYG'!D38+'gm 13 vs Cle'!D38+'gm 14 at Hou'!D38</f>
        <v>66</v>
      </c>
      <c r="E38" s="8">
        <f>+D38/$B$2</f>
        <v>4.714285714285714</v>
      </c>
      <c r="F38" s="8">
        <v>4.714285714285714</v>
      </c>
      <c r="G38" t="str">
        <f>IF(D38=SUM(C133:C134),"ok","ERR")</f>
        <v>ok</v>
      </c>
      <c r="H38" t="s">
        <v>22</v>
      </c>
      <c r="M38" s="2">
        <f>+'gm 1 at NE'!M38+'gm 2 vs Pit'!M38+'gm 3 at Cle'!M38+'gm 4 vs Den'!M38+'gm 5 at KC'!M38+'gm 6 at LA'!M38+'gm 7 vs Hou'!M38+'gm 8 at Pit'!M38+'gm 9 vs Oak'!M38+'gm 10 vs Bal'!M38+'gm 11 at Chi'!M38+'gm 12 vs NYG'!M38+'gm 13 vs Cle'!M38+'gm 14 at Hou'!M38</f>
        <v>86</v>
      </c>
      <c r="N38" s="8">
        <f>+M38/$B$2</f>
        <v>6.142857142857143</v>
      </c>
      <c r="O38" s="8">
        <v>6</v>
      </c>
    </row>
    <row r="39" spans="1:15" ht="12">
      <c r="A39" t="s">
        <v>23</v>
      </c>
      <c r="D39" s="2">
        <f>+'gm 1 at NE'!D39+'gm 2 vs Pit'!D39+'gm 3 at Cle'!D39+'gm 4 vs Den'!D39+'gm 5 at KC'!D39+'gm 6 at LA'!D39+'gm 7 vs Hou'!D39+'gm 8 at Pit'!D39+'gm 9 vs Oak'!D39+'gm 10 vs Bal'!D39+'gm 11 at Chi'!D39+'gm 12 vs NYG'!D39+'gm 13 vs Cle'!D39+'gm 14 at Hou'!D39</f>
        <v>2854</v>
      </c>
      <c r="E39" s="8">
        <f>+D39/$B$2</f>
        <v>203.85714285714286</v>
      </c>
      <c r="F39" s="8">
        <v>198.35714285714286</v>
      </c>
      <c r="G39" t="str">
        <f>IF(D39=SUM(D133:D134),"ok","ERR")</f>
        <v>ok</v>
      </c>
      <c r="H39" t="s">
        <v>23</v>
      </c>
      <c r="M39" s="2">
        <f>+'gm 1 at NE'!M39+'gm 2 vs Pit'!M39+'gm 3 at Cle'!M39+'gm 4 vs Den'!M39+'gm 5 at KC'!M39+'gm 6 at LA'!M39+'gm 7 vs Hou'!M39+'gm 8 at Pit'!M39+'gm 9 vs Oak'!M39+'gm 10 vs Bal'!M39+'gm 11 at Chi'!M39+'gm 12 vs NYG'!M39+'gm 13 vs Cle'!M39+'gm 14 at Hou'!M39</f>
        <v>3632</v>
      </c>
      <c r="N39" s="8">
        <f>+M39/$B$2</f>
        <v>259.42857142857144</v>
      </c>
      <c r="O39" s="8">
        <v>254.42857142857142</v>
      </c>
    </row>
    <row r="40" spans="1:15" ht="12">
      <c r="A40" t="s">
        <v>24</v>
      </c>
      <c r="D40" s="8">
        <f>+D39/D38</f>
        <v>43.24242424242424</v>
      </c>
      <c r="E40" s="8"/>
      <c r="F40" s="8">
        <f>+F39/F38</f>
        <v>42.07575757575758</v>
      </c>
      <c r="G40" s="7"/>
      <c r="H40" s="7" t="s">
        <v>24</v>
      </c>
      <c r="I40" s="7"/>
      <c r="J40" s="7"/>
      <c r="K40" s="7"/>
      <c r="L40" s="7"/>
      <c r="M40" s="8">
        <f>+M39/M38</f>
        <v>42.23255813953488</v>
      </c>
      <c r="N40" s="8"/>
      <c r="O40" s="8">
        <f>+O39/O38</f>
        <v>42.404761904761905</v>
      </c>
    </row>
    <row r="41" spans="5:15" ht="12">
      <c r="E41" s="8"/>
      <c r="F41" s="8"/>
      <c r="N41" s="8"/>
      <c r="O41" s="8"/>
    </row>
    <row r="42" spans="1:15" ht="12">
      <c r="A42" t="s">
        <v>25</v>
      </c>
      <c r="D42" s="2">
        <f>+'gm 1 at NE'!D42+'gm 2 vs Pit'!D42+'gm 3 at Cle'!D42+'gm 4 vs Den'!D42+'gm 5 at KC'!D42+'gm 6 at LA'!D42+'gm 7 vs Hou'!D42+'gm 8 at Pit'!D42+'gm 9 vs Oak'!D42+'gm 10 vs Bal'!D42+'gm 11 at Chi'!D42+'gm 12 vs NYG'!D42+'gm 13 vs Cle'!D42+'gm 14 at Hou'!D42</f>
        <v>54</v>
      </c>
      <c r="E42" s="8">
        <f>+D42/$B$2</f>
        <v>3.857142857142857</v>
      </c>
      <c r="F42" s="8">
        <v>3.357142857142857</v>
      </c>
      <c r="G42" t="str">
        <f>IF(D42=SUM(C113:C118),"ok","ERR")</f>
        <v>ok</v>
      </c>
      <c r="H42" t="s">
        <v>25</v>
      </c>
      <c r="M42" s="2">
        <f>+'gm 1 at NE'!M42+'gm 2 vs Pit'!M42+'gm 3 at Cle'!M42+'gm 4 vs Den'!M42+'gm 5 at KC'!M42+'gm 6 at LA'!M42+'gm 7 vs Hou'!M42+'gm 8 at Pit'!M42+'gm 9 vs Oak'!M42+'gm 10 vs Bal'!M42+'gm 11 at Chi'!M42+'gm 12 vs NYG'!M42+'gm 13 vs Cle'!M42+'gm 14 at Hou'!M42</f>
        <v>33</v>
      </c>
      <c r="N42" s="8">
        <f>+M42/$B$2</f>
        <v>2.357142857142857</v>
      </c>
      <c r="O42" s="8">
        <v>1.8571428571428572</v>
      </c>
    </row>
    <row r="43" spans="1:15" ht="12">
      <c r="A43" t="s">
        <v>26</v>
      </c>
      <c r="D43" s="2">
        <f>+'gm 1 at NE'!D43+'gm 2 vs Pit'!D43+'gm 3 at Cle'!D43+'gm 4 vs Den'!D43+'gm 5 at KC'!D43+'gm 6 at LA'!D43+'gm 7 vs Hou'!D43+'gm 8 at Pit'!D43+'gm 9 vs Oak'!D43+'gm 10 vs Bal'!D43+'gm 11 at Chi'!D43+'gm 12 vs NYG'!D43+'gm 13 vs Cle'!D43+'gm 14 at Hou'!D43</f>
        <v>623</v>
      </c>
      <c r="E43" s="8">
        <f>+D43/$B$2</f>
        <v>44.5</v>
      </c>
      <c r="F43" s="8">
        <v>31.214285714285715</v>
      </c>
      <c r="G43" t="str">
        <f>IF(D43=SUM(E113:E118),"ok","ERR")</f>
        <v>ok</v>
      </c>
      <c r="H43" t="s">
        <v>26</v>
      </c>
      <c r="M43" s="2">
        <f>+'gm 1 at NE'!M43+'gm 2 vs Pit'!M43+'gm 3 at Cle'!M43+'gm 4 vs Den'!M43+'gm 5 at KC'!M43+'gm 6 at LA'!M43+'gm 7 vs Hou'!M43+'gm 8 at Pit'!M43+'gm 9 vs Oak'!M43+'gm 10 vs Bal'!M43+'gm 11 at Chi'!M43+'gm 12 vs NYG'!M43+'gm 13 vs Cle'!M43+'gm 14 at Hou'!M43</f>
        <v>163</v>
      </c>
      <c r="N43" s="8">
        <f>+M43/$B$2</f>
        <v>11.642857142857142</v>
      </c>
      <c r="O43" s="8">
        <v>10.857142857142858</v>
      </c>
    </row>
    <row r="44" spans="1:15" ht="12">
      <c r="A44" t="s">
        <v>27</v>
      </c>
      <c r="D44" s="8">
        <f>+D43/D42</f>
        <v>11.537037037037036</v>
      </c>
      <c r="E44" s="8"/>
      <c r="F44" s="8">
        <f>+F43/F42</f>
        <v>9.297872340425531</v>
      </c>
      <c r="H44" t="s">
        <v>27</v>
      </c>
      <c r="M44" s="8">
        <f>+M43/M42</f>
        <v>4.9393939393939394</v>
      </c>
      <c r="N44" s="8"/>
      <c r="O44" s="8">
        <f>+O43/O42</f>
        <v>5.846153846153846</v>
      </c>
    </row>
    <row r="45" spans="1:15" ht="12">
      <c r="A45" t="s">
        <v>28</v>
      </c>
      <c r="D45" s="2">
        <f>+'gm 1 at NE'!D45+'gm 2 vs Pit'!D45+'gm 3 at Cle'!D45+'gm 4 vs Den'!D45+'gm 5 at KC'!D45+'gm 6 at LA'!D45+'gm 7 vs Hou'!D45+'gm 8 at Pit'!D45+'gm 9 vs Oak'!D45+'gm 10 vs Bal'!D45+'gm 11 at Chi'!D45+'gm 12 vs NYG'!D45+'gm 13 vs Cle'!D45+'gm 14 at Hou'!D45</f>
        <v>2</v>
      </c>
      <c r="E45" s="8"/>
      <c r="F45" s="8"/>
      <c r="H45" t="s">
        <v>28</v>
      </c>
      <c r="M45" s="2">
        <f>+'gm 1 at NE'!M45+'gm 2 vs Pit'!M45+'gm 3 at Cle'!M45+'gm 4 vs Den'!M45+'gm 5 at KC'!M45+'gm 6 at LA'!M45+'gm 7 vs Hou'!M45+'gm 8 at Pit'!M45+'gm 9 vs Oak'!M45+'gm 10 vs Bal'!M45+'gm 11 at Chi'!M45+'gm 12 vs NYG'!M45+'gm 13 vs Cle'!M45+'gm 14 at Hou'!M45</f>
        <v>0</v>
      </c>
      <c r="N45" s="8"/>
      <c r="O45" s="8"/>
    </row>
    <row r="46" spans="5:15" ht="12">
      <c r="E46" s="8"/>
      <c r="F46" s="8"/>
      <c r="N46" s="8"/>
      <c r="O46" s="8"/>
    </row>
    <row r="47" spans="1:15" ht="12">
      <c r="A47" t="s">
        <v>30</v>
      </c>
      <c r="D47" s="2">
        <f>+'gm 1 at NE'!D47+'gm 2 vs Pit'!D47+'gm 3 at Cle'!D47+'gm 4 vs Den'!D47+'gm 5 at KC'!D47+'gm 6 at LA'!D47+'gm 7 vs Hou'!D47+'gm 8 at Pit'!D47+'gm 9 vs Oak'!D47+'gm 10 vs Bal'!D47+'gm 11 at Chi'!D47+'gm 12 vs NYG'!D47+'gm 13 vs Cle'!D47+'gm 14 at Hou'!D47</f>
        <v>39</v>
      </c>
      <c r="E47" s="8">
        <f>+D47/$B$2</f>
        <v>2.7857142857142856</v>
      </c>
      <c r="F47" s="8">
        <v>3.2857142857142856</v>
      </c>
      <c r="G47" t="str">
        <f>IF(D47=SUM(C123:C130),"ok","ERR")</f>
        <v>ok</v>
      </c>
      <c r="H47" t="s">
        <v>30</v>
      </c>
      <c r="M47" s="2">
        <f>+'gm 1 at NE'!M47+'gm 2 vs Pit'!M47+'gm 3 at Cle'!M47+'gm 4 vs Den'!M47+'gm 5 at KC'!M47+'gm 6 at LA'!M47+'gm 7 vs Hou'!M47+'gm 8 at Pit'!M47+'gm 9 vs Oak'!M47+'gm 10 vs Bal'!M47+'gm 11 at Chi'!M47+'gm 12 vs NYG'!M47+'gm 13 vs Cle'!M47+'gm 14 at Hou'!M47</f>
        <v>37</v>
      </c>
      <c r="N47" s="8">
        <f>+M47/$B$2</f>
        <v>2.642857142857143</v>
      </c>
      <c r="O47" s="8">
        <v>3.142857142857143</v>
      </c>
    </row>
    <row r="48" spans="1:15" ht="12">
      <c r="A48" t="s">
        <v>26</v>
      </c>
      <c r="D48" s="2">
        <f>+'gm 1 at NE'!D48+'gm 2 vs Pit'!D48+'gm 3 at Cle'!D48+'gm 4 vs Den'!D48+'gm 5 at KC'!D48+'gm 6 at LA'!D48+'gm 7 vs Hou'!D48+'gm 8 at Pit'!D48+'gm 9 vs Oak'!D48+'gm 10 vs Bal'!D48+'gm 11 at Chi'!D48+'gm 12 vs NYG'!D48+'gm 13 vs Cle'!D48+'gm 14 at Hou'!D48</f>
        <v>815</v>
      </c>
      <c r="E48" s="8">
        <f>+D48/$B$2</f>
        <v>58.214285714285715</v>
      </c>
      <c r="F48" s="8">
        <v>72.71428571428571</v>
      </c>
      <c r="G48" t="str">
        <f>IF(D48=SUM(D123:D130),"ok","ERR")</f>
        <v>ok</v>
      </c>
      <c r="H48" t="s">
        <v>26</v>
      </c>
      <c r="M48" s="2">
        <f>+'gm 1 at NE'!M48+'gm 2 vs Pit'!M48+'gm 3 at Cle'!M48+'gm 4 vs Den'!M48+'gm 5 at KC'!M48+'gm 6 at LA'!M48+'gm 7 vs Hou'!M48+'gm 8 at Pit'!M48+'gm 9 vs Oak'!M48+'gm 10 vs Bal'!M48+'gm 11 at Chi'!M48+'gm 12 vs NYG'!M48+'gm 13 vs Cle'!M48+'gm 14 at Hou'!M48</f>
        <v>831</v>
      </c>
      <c r="N48" s="8">
        <f>+M48/$B$2</f>
        <v>59.357142857142854</v>
      </c>
      <c r="O48" s="8">
        <v>70.28571428571429</v>
      </c>
    </row>
    <row r="49" spans="1:15" ht="12">
      <c r="A49" t="s">
        <v>27</v>
      </c>
      <c r="D49" s="8">
        <f>+D48/D47</f>
        <v>20.897435897435898</v>
      </c>
      <c r="E49" s="8"/>
      <c r="F49" s="8">
        <f>+F48/F47</f>
        <v>22.130434782608695</v>
      </c>
      <c r="H49" t="s">
        <v>27</v>
      </c>
      <c r="M49" s="8">
        <f>+M48/M47</f>
        <v>22.45945945945946</v>
      </c>
      <c r="N49" s="8"/>
      <c r="O49" s="8">
        <f>+O48/O47</f>
        <v>22.363636363636367</v>
      </c>
    </row>
    <row r="50" spans="1:15" ht="12">
      <c r="A50" t="s">
        <v>28</v>
      </c>
      <c r="D50" s="2">
        <f>+'gm 1 at NE'!D50+'gm 2 vs Pit'!D50+'gm 3 at Cle'!D50+'gm 4 vs Den'!D50+'gm 5 at KC'!D50+'gm 6 at LA'!D50+'gm 7 vs Hou'!D50+'gm 8 at Pit'!D50+'gm 9 vs Oak'!D50+'gm 10 vs Bal'!D50+'gm 11 at Chi'!D50+'gm 12 vs NYG'!D50+'gm 13 vs Cle'!D50+'gm 14 at Hou'!D50</f>
        <v>0</v>
      </c>
      <c r="E50" s="8"/>
      <c r="F50" s="8"/>
      <c r="H50" t="s">
        <v>28</v>
      </c>
      <c r="M50" s="2">
        <f>+'gm 1 at NE'!M50+'gm 2 vs Pit'!M50+'gm 3 at Cle'!M50+'gm 4 vs Den'!M50+'gm 5 at KC'!M50+'gm 6 at LA'!M50+'gm 7 vs Hou'!M50+'gm 8 at Pit'!M50+'gm 9 vs Oak'!M50+'gm 10 vs Bal'!M50+'gm 11 at Chi'!M50+'gm 12 vs NYG'!M50+'gm 13 vs Cle'!M50+'gm 14 at Hou'!M50</f>
        <v>1</v>
      </c>
      <c r="N50" s="8"/>
      <c r="O50" s="8"/>
    </row>
    <row r="51" spans="5:15" ht="12">
      <c r="E51" s="8"/>
      <c r="F51" s="8"/>
      <c r="N51" s="8"/>
      <c r="O51" s="8"/>
    </row>
    <row r="52" spans="1:15" ht="12">
      <c r="A52" t="s">
        <v>31</v>
      </c>
      <c r="D52" s="2">
        <f>+'gm 1 at NE'!D52+'gm 2 vs Pit'!D52+'gm 3 at Cle'!D52+'gm 4 vs Den'!D52+'gm 5 at KC'!D52+'gm 6 at LA'!D52+'gm 7 vs Hou'!D52+'gm 8 at Pit'!D52+'gm 9 vs Oak'!D52+'gm 10 vs Bal'!D52+'gm 11 at Chi'!D52+'gm 12 vs NYG'!D52+'gm 13 vs Cle'!D52+'gm 14 at Hou'!D52</f>
        <v>59</v>
      </c>
      <c r="E52" s="8">
        <f>+D52/$B$2</f>
        <v>4.214285714285714</v>
      </c>
      <c r="F52" s="8">
        <v>5.428571428571429</v>
      </c>
      <c r="H52" t="s">
        <v>31</v>
      </c>
      <c r="M52" s="2">
        <f>+'gm 1 at NE'!M52+'gm 2 vs Pit'!M52+'gm 3 at Cle'!M52+'gm 4 vs Den'!M52+'gm 5 at KC'!M52+'gm 6 at LA'!M52+'gm 7 vs Hou'!M52+'gm 8 at Pit'!M52+'gm 9 vs Oak'!M52+'gm 10 vs Bal'!M52+'gm 11 at Chi'!M52+'gm 12 vs NYG'!M52+'gm 13 vs Cle'!M52+'gm 14 at Hou'!M52</f>
        <v>76</v>
      </c>
      <c r="N52" s="8">
        <f>+M52/$B$2</f>
        <v>5.428571428571429</v>
      </c>
      <c r="O52" s="8">
        <v>4.928571428571429</v>
      </c>
    </row>
    <row r="53" spans="1:15" ht="12">
      <c r="A53" t="s">
        <v>32</v>
      </c>
      <c r="D53" s="2">
        <f>+'gm 1 at NE'!D53+'gm 2 vs Pit'!D53+'gm 3 at Cle'!D53+'gm 4 vs Den'!D53+'gm 5 at KC'!D53+'gm 6 at LA'!D53+'gm 7 vs Hou'!D53+'gm 8 at Pit'!D53+'gm 9 vs Oak'!D53+'gm 10 vs Bal'!D53+'gm 11 at Chi'!D53+'gm 12 vs NYG'!D53+'gm 13 vs Cle'!D53+'gm 14 at Hou'!D53</f>
        <v>605</v>
      </c>
      <c r="E53" s="8">
        <f>+D53/$B$2</f>
        <v>43.214285714285715</v>
      </c>
      <c r="F53" s="8">
        <v>52.714285714285715</v>
      </c>
      <c r="H53" t="s">
        <v>32</v>
      </c>
      <c r="M53" s="2">
        <f>+'gm 1 at NE'!M53+'gm 2 vs Pit'!M53+'gm 3 at Cle'!M53+'gm 4 vs Den'!M53+'gm 5 at KC'!M53+'gm 6 at LA'!M53+'gm 7 vs Hou'!M53+'gm 8 at Pit'!M53+'gm 9 vs Oak'!M53+'gm 10 vs Bal'!M53+'gm 11 at Chi'!M53+'gm 12 vs NYG'!M53+'gm 13 vs Cle'!M53+'gm 14 at Hou'!M53</f>
        <v>725</v>
      </c>
      <c r="N53" s="8">
        <f>+M53/$B$2</f>
        <v>51.785714285714285</v>
      </c>
      <c r="O53" s="8">
        <v>41.5</v>
      </c>
    </row>
    <row r="54" spans="5:15" ht="12">
      <c r="E54" s="8"/>
      <c r="F54" s="8"/>
      <c r="N54" s="8"/>
      <c r="O54" s="8"/>
    </row>
    <row r="55" spans="1:15" ht="12">
      <c r="A55" t="s">
        <v>33</v>
      </c>
      <c r="D55" s="2">
        <f>+'gm 1 at NE'!D55+'gm 2 vs Pit'!D55+'gm 3 at Cle'!D55+'gm 4 vs Den'!D55+'gm 5 at KC'!D55+'gm 6 at LA'!D55+'gm 7 vs Hou'!D55+'gm 8 at Pit'!D55+'gm 9 vs Oak'!D55+'gm 10 vs Bal'!D55+'gm 11 at Chi'!D55+'gm 12 vs NYG'!D55+'gm 13 vs Cle'!D55+'gm 14 at Hou'!D55</f>
        <v>31</v>
      </c>
      <c r="E55" s="8">
        <f>+D55/$B$2</f>
        <v>2.2142857142857144</v>
      </c>
      <c r="F55" s="8">
        <v>2</v>
      </c>
      <c r="G55" t="str">
        <f>IF(D55=SUM(H75:H102)+SUM(N106:N110)+SUM(I113:I118)+SUM(H123:H130)+SUM(H133:H134)+SUM(H147:H159)+SUM(G180:G230),"ok","ERR")</f>
        <v>ok</v>
      </c>
      <c r="H55" t="s">
        <v>33</v>
      </c>
      <c r="M55" s="2">
        <f>+'gm 1 at NE'!M55+'gm 2 vs Pit'!M55+'gm 3 at Cle'!M55+'gm 4 vs Den'!M55+'gm 5 at KC'!M55+'gm 6 at LA'!M55+'gm 7 vs Hou'!M55+'gm 8 at Pit'!M55+'gm 9 vs Oak'!M55+'gm 10 vs Bal'!M55+'gm 11 at Chi'!M55+'gm 12 vs NYG'!M55+'gm 13 vs Cle'!M55+'gm 14 at Hou'!M55</f>
        <v>25</v>
      </c>
      <c r="N55" s="8">
        <f>+M55/$B$2</f>
        <v>1.7857142857142858</v>
      </c>
      <c r="O55" s="8">
        <v>2.142857142857143</v>
      </c>
    </row>
    <row r="56" spans="1:15" ht="12">
      <c r="A56" t="s">
        <v>34</v>
      </c>
      <c r="D56" s="2">
        <f>+'gm 1 at NE'!D56+'gm 2 vs Pit'!D56+'gm 3 at Cle'!D56+'gm 4 vs Den'!D56+'gm 5 at KC'!D56+'gm 6 at LA'!D56+'gm 7 vs Hou'!D56+'gm 8 at Pit'!D56+'gm 9 vs Oak'!D56+'gm 10 vs Bal'!D56+'gm 11 at Chi'!D56+'gm 12 vs NYG'!D56+'gm 13 vs Cle'!D56+'gm 14 at Hou'!D56</f>
        <v>9</v>
      </c>
      <c r="E56" s="8"/>
      <c r="F56" s="8"/>
      <c r="H56" t="s">
        <v>34</v>
      </c>
      <c r="M56" s="2">
        <f>+'gm 1 at NE'!M56+'gm 2 vs Pit'!M56+'gm 3 at Cle'!M56+'gm 4 vs Den'!M56+'gm 5 at KC'!M56+'gm 6 at LA'!M56+'gm 7 vs Hou'!M56+'gm 8 at Pit'!M56+'gm 9 vs Oak'!M56+'gm 10 vs Bal'!M56+'gm 11 at Chi'!M56+'gm 12 vs NYG'!M56+'gm 13 vs Cle'!M56+'gm 14 at Hou'!M56</f>
        <v>18</v>
      </c>
      <c r="N56" s="8"/>
      <c r="O56" s="8"/>
    </row>
    <row r="57" spans="1:15" ht="12">
      <c r="A57" t="s">
        <v>35</v>
      </c>
      <c r="D57" s="2">
        <f>+'gm 1 at NE'!D57+'gm 2 vs Pit'!D57+'gm 3 at Cle'!D57+'gm 4 vs Den'!D57+'gm 5 at KC'!D57+'gm 6 at LA'!D57+'gm 7 vs Hou'!D57+'gm 8 at Pit'!D57+'gm 9 vs Oak'!D57+'gm 10 vs Bal'!D57+'gm 11 at Chi'!D57+'gm 12 vs NYG'!D57+'gm 13 vs Cle'!D57+'gm 14 at Hou'!D57</f>
        <v>0</v>
      </c>
      <c r="E57" s="8"/>
      <c r="F57" s="8"/>
      <c r="H57" t="s">
        <v>35</v>
      </c>
      <c r="M57" s="2">
        <f>+'gm 1 at NE'!M57+'gm 2 vs Pit'!M57+'gm 3 at Cle'!M57+'gm 4 vs Den'!M57+'gm 5 at KC'!M57+'gm 6 at LA'!M57+'gm 7 vs Hou'!M57+'gm 8 at Pit'!M57+'gm 9 vs Oak'!M57+'gm 10 vs Bal'!M57+'gm 11 at Chi'!M57+'gm 12 vs NYG'!M57+'gm 13 vs Cle'!M57+'gm 14 at Hou'!M57</f>
        <v>0</v>
      </c>
      <c r="N57" s="8"/>
      <c r="O57" s="8"/>
    </row>
    <row r="58" spans="1:15" ht="12">
      <c r="A58" t="s">
        <v>36</v>
      </c>
      <c r="D58" s="2">
        <f>+'gm 1 at NE'!D58+'gm 2 vs Pit'!D58+'gm 3 at Cle'!D58+'gm 4 vs Den'!D58+'gm 5 at KC'!D58+'gm 6 at LA'!D58+'gm 7 vs Hou'!D58+'gm 8 at Pit'!D58+'gm 9 vs Oak'!D58+'gm 10 vs Bal'!D58+'gm 11 at Chi'!D58+'gm 12 vs NYG'!D58+'gm 13 vs Cle'!D58+'gm 14 at Hou'!D58</f>
        <v>6</v>
      </c>
      <c r="E58" s="8"/>
      <c r="F58" s="8"/>
      <c r="H58" t="s">
        <v>36</v>
      </c>
      <c r="M58" s="2">
        <f>+'gm 1 at NE'!M58+'gm 2 vs Pit'!M58+'gm 3 at Cle'!M58+'gm 4 vs Den'!M58+'gm 5 at KC'!M58+'gm 6 at LA'!M58+'gm 7 vs Hou'!M58+'gm 8 at Pit'!M58+'gm 9 vs Oak'!M58+'gm 10 vs Bal'!M58+'gm 11 at Chi'!M58+'gm 12 vs NYG'!M58+'gm 13 vs Cle'!M58+'gm 14 at Hou'!M58</f>
        <v>23</v>
      </c>
      <c r="N58" s="8"/>
      <c r="O58" s="8"/>
    </row>
    <row r="59" spans="1:15" ht="12">
      <c r="A59" s="1" t="s">
        <v>37</v>
      </c>
      <c r="D59" s="2">
        <f>+'gm 1 at NE'!D59+'gm 2 vs Pit'!D59+'gm 3 at Cle'!D59+'gm 4 vs Den'!D59+'gm 5 at KC'!D59+'gm 6 at LA'!D59+'gm 7 vs Hou'!D59+'gm 8 at Pit'!D59+'gm 9 vs Oak'!D59+'gm 10 vs Bal'!D59+'gm 11 at Chi'!D59+'gm 12 vs NYG'!D59+'gm 13 vs Cle'!D59+'gm 14 at Hou'!D59</f>
        <v>0</v>
      </c>
      <c r="E59" s="8"/>
      <c r="F59" s="8"/>
      <c r="H59" s="1" t="s">
        <v>37</v>
      </c>
      <c r="M59" s="2">
        <f>+'gm 1 at NE'!M59+'gm 2 vs Pit'!M59+'gm 3 at Cle'!M59+'gm 4 vs Den'!M59+'gm 5 at KC'!M59+'gm 6 at LA'!M59+'gm 7 vs Hou'!M59+'gm 8 at Pit'!M59+'gm 9 vs Oak'!M59+'gm 10 vs Bal'!M59+'gm 11 at Chi'!M59+'gm 12 vs NYG'!M59+'gm 13 vs Cle'!M59+'gm 14 at Hou'!M59</f>
        <v>0</v>
      </c>
      <c r="N59" s="8"/>
      <c r="O59" s="8"/>
    </row>
    <row r="60" spans="5:15" ht="12">
      <c r="E60" s="8"/>
      <c r="F60" s="8"/>
      <c r="N60" s="8"/>
      <c r="O60" s="8"/>
    </row>
    <row r="61" spans="1:15" ht="12">
      <c r="A61" t="s">
        <v>38</v>
      </c>
      <c r="D61" s="2">
        <f>+'gm 1 at NE'!D61+'gm 2 vs Pit'!D61+'gm 3 at Cle'!D61+'gm 4 vs Den'!D61+'gm 5 at KC'!D61+'gm 6 at LA'!D61+'gm 7 vs Hou'!D61+'gm 8 at Pit'!D61+'gm 9 vs Oak'!D61+'gm 10 vs Bal'!D61+'gm 11 at Chi'!D61+'gm 12 vs NYG'!D61+'gm 13 vs Cle'!D61+'gm 14 at Hou'!D61</f>
        <v>277</v>
      </c>
      <c r="E61" s="8">
        <f>+D61/$B$2</f>
        <v>19.785714285714285</v>
      </c>
      <c r="F61" s="8">
        <v>21.5</v>
      </c>
      <c r="G61" t="str">
        <f>IF(D61=D62*6+D67*2+D68*3+D66,"ok","ERR")</f>
        <v>ok</v>
      </c>
      <c r="H61" t="s">
        <v>38</v>
      </c>
      <c r="M61" s="2">
        <f>+'gm 1 at NE'!M61+'gm 2 vs Pit'!M61+'gm 3 at Cle'!M61+'gm 4 vs Den'!M61+'gm 5 at KC'!M61+'gm 6 at LA'!M61+'gm 7 vs Hou'!M61+'gm 8 at Pit'!M61+'gm 9 vs Oak'!M61+'gm 10 vs Bal'!M61+'gm 11 at Chi'!M61+'gm 12 vs NYG'!M61+'gm 13 vs Cle'!M61+'gm 14 at Hou'!M61</f>
        <v>222</v>
      </c>
      <c r="N61" s="8">
        <f>+M61/$B$2</f>
        <v>15.857142857142858</v>
      </c>
      <c r="O61" s="8">
        <v>16.357142857142858</v>
      </c>
    </row>
    <row r="62" spans="1:15" ht="12">
      <c r="A62" t="s">
        <v>39</v>
      </c>
      <c r="D62" s="2">
        <f>+'gm 1 at NE'!D62+'gm 2 vs Pit'!D62+'gm 3 at Cle'!D62+'gm 4 vs Den'!D62+'gm 5 at KC'!D62+'gm 6 at LA'!D62+'gm 7 vs Hou'!D62+'gm 8 at Pit'!D62+'gm 9 vs Oak'!D62+'gm 10 vs Bal'!D62+'gm 11 at Chi'!D62+'gm 12 vs NYG'!D62+'gm 13 vs Cle'!D62+'gm 14 at Hou'!D62</f>
        <v>29</v>
      </c>
      <c r="E62" s="8">
        <f>+D62/$B$2</f>
        <v>2.0714285714285716</v>
      </c>
      <c r="F62" s="8">
        <v>2.2142857142857144</v>
      </c>
      <c r="G62" t="str">
        <f>IF(D62=SUM(D63:D65),"ok","ERR")</f>
        <v>ok</v>
      </c>
      <c r="H62" t="s">
        <v>39</v>
      </c>
      <c r="M62" s="2">
        <f>+'gm 1 at NE'!M62+'gm 2 vs Pit'!M62+'gm 3 at Cle'!M62+'gm 4 vs Den'!M62+'gm 5 at KC'!M62+'gm 6 at LA'!M62+'gm 7 vs Hou'!M62+'gm 8 at Pit'!M62+'gm 9 vs Oak'!M62+'gm 10 vs Bal'!M62+'gm 11 at Chi'!M62+'gm 12 vs NYG'!M62+'gm 13 vs Cle'!M62+'gm 14 at Hou'!M62</f>
        <v>24</v>
      </c>
      <c r="N62" s="8">
        <f>+M62/$B$2</f>
        <v>1.7142857142857142</v>
      </c>
      <c r="O62" s="8">
        <v>1.6428571428571428</v>
      </c>
    </row>
    <row r="63" spans="1:15" ht="12">
      <c r="A63" t="s">
        <v>40</v>
      </c>
      <c r="D63" s="2">
        <f>+'gm 1 at NE'!D63+'gm 2 vs Pit'!D63+'gm 3 at Cle'!D63+'gm 4 vs Den'!D63+'gm 5 at KC'!D63+'gm 6 at LA'!D63+'gm 7 vs Hou'!D63+'gm 8 at Pit'!D63+'gm 9 vs Oak'!D63+'gm 10 vs Bal'!D63+'gm 11 at Chi'!D63+'gm 12 vs NYG'!D63+'gm 13 vs Cle'!D63+'gm 14 at Hou'!D63</f>
        <v>16</v>
      </c>
      <c r="E63" s="8">
        <f>+D63/$B$2</f>
        <v>1.1428571428571428</v>
      </c>
      <c r="F63" s="8">
        <v>1.1428571428571428</v>
      </c>
      <c r="G63" t="str">
        <f>IF(D63=SUM(G75:G86),"ok","ERR")</f>
        <v>ok</v>
      </c>
      <c r="H63" t="s">
        <v>40</v>
      </c>
      <c r="M63" s="2">
        <f>+'gm 1 at NE'!M63+'gm 2 vs Pit'!M63+'gm 3 at Cle'!M63+'gm 4 vs Den'!M63+'gm 5 at KC'!M63+'gm 6 at LA'!M63+'gm 7 vs Hou'!M63+'gm 8 at Pit'!M63+'gm 9 vs Oak'!M63+'gm 10 vs Bal'!M63+'gm 11 at Chi'!M63+'gm 12 vs NYG'!M63+'gm 13 vs Cle'!M63+'gm 14 at Hou'!M63</f>
        <v>13</v>
      </c>
      <c r="N63" s="8">
        <f>+M63/$B$2</f>
        <v>0.9285714285714286</v>
      </c>
      <c r="O63" s="8">
        <v>0.7857142857142857</v>
      </c>
    </row>
    <row r="64" spans="1:15" ht="12">
      <c r="A64" t="s">
        <v>41</v>
      </c>
      <c r="C64" t="str">
        <f>IF(D64=SUM(G89:G102),"ok","ERR")</f>
        <v>ok</v>
      </c>
      <c r="D64" s="2">
        <f>+'gm 1 at NE'!D64+'gm 2 vs Pit'!D64+'gm 3 at Cle'!D64+'gm 4 vs Den'!D64+'gm 5 at KC'!D64+'gm 6 at LA'!D64+'gm 7 vs Hou'!D64+'gm 8 at Pit'!D64+'gm 9 vs Oak'!D64+'gm 10 vs Bal'!D64+'gm 11 at Chi'!D64+'gm 12 vs NYG'!D64+'gm 13 vs Cle'!D64+'gm 14 at Hou'!D64</f>
        <v>10</v>
      </c>
      <c r="E64" s="8">
        <f>+D64/$B$2</f>
        <v>0.7142857142857143</v>
      </c>
      <c r="F64" s="8">
        <v>0.7142857142857143</v>
      </c>
      <c r="G64" t="str">
        <f>IF(D64=SUM(G106:G109),"ok","ERR")</f>
        <v>ok</v>
      </c>
      <c r="H64" t="s">
        <v>41</v>
      </c>
      <c r="M64" s="2">
        <f>+'gm 1 at NE'!M64+'gm 2 vs Pit'!M64+'gm 3 at Cle'!M64+'gm 4 vs Den'!M64+'gm 5 at KC'!M64+'gm 6 at LA'!M64+'gm 7 vs Hou'!M64+'gm 8 at Pit'!M64+'gm 9 vs Oak'!M64+'gm 10 vs Bal'!M64+'gm 11 at Chi'!M64+'gm 12 vs NYG'!M64+'gm 13 vs Cle'!M64+'gm 14 at Hou'!M64</f>
        <v>10</v>
      </c>
      <c r="N64" s="8">
        <f>+M64/$B$2</f>
        <v>0.7142857142857143</v>
      </c>
      <c r="O64" s="8">
        <v>0.7857142857142857</v>
      </c>
    </row>
    <row r="65" spans="1:15" ht="12">
      <c r="A65" t="s">
        <v>42</v>
      </c>
      <c r="D65" s="2">
        <f>+'gm 1 at NE'!D65+'gm 2 vs Pit'!D65+'gm 3 at Cle'!D65+'gm 4 vs Den'!D65+'gm 5 at KC'!D65+'gm 6 at LA'!D65+'gm 7 vs Hou'!D65+'gm 8 at Pit'!D65+'gm 9 vs Oak'!D65+'gm 10 vs Bal'!D65+'gm 11 at Chi'!D65+'gm 12 vs NYG'!D65+'gm 13 vs Cle'!D65+'gm 14 at Hou'!D65</f>
        <v>3</v>
      </c>
      <c r="E65" s="8">
        <f>+D65/$B$2</f>
        <v>0.21428571428571427</v>
      </c>
      <c r="F65" s="8">
        <v>0.35714285714285715</v>
      </c>
      <c r="G65" t="str">
        <f>IF(D65=SUM(H113:H118)+SUM(G123:G128)+SUM(G147:G159)+SUM(F180:F230),"ok","ERR")</f>
        <v>ok</v>
      </c>
      <c r="H65" t="s">
        <v>42</v>
      </c>
      <c r="M65" s="2">
        <f>+'gm 1 at NE'!M65+'gm 2 vs Pit'!M65+'gm 3 at Cle'!M65+'gm 4 vs Den'!M65+'gm 5 at KC'!M65+'gm 6 at LA'!M65+'gm 7 vs Hou'!M65+'gm 8 at Pit'!M65+'gm 9 vs Oak'!M65+'gm 10 vs Bal'!M65+'gm 11 at Chi'!M65+'gm 12 vs NYG'!M65+'gm 13 vs Cle'!M65+'gm 14 at Hou'!M65</f>
        <v>1</v>
      </c>
      <c r="N65" s="8">
        <f>+M65/$B$2</f>
        <v>0.07142857142857142</v>
      </c>
      <c r="O65" s="8">
        <v>0.07142857142857142</v>
      </c>
    </row>
    <row r="66" spans="1:15" ht="12">
      <c r="A66" t="s">
        <v>43</v>
      </c>
      <c r="D66" s="2">
        <f>+'gm 1 at NE'!D66+'gm 2 vs Pit'!D66+'gm 3 at Cle'!D66+'gm 4 vs Den'!D66+'gm 5 at KC'!D66+'gm 6 at LA'!D66+'gm 7 vs Hou'!D66+'gm 8 at Pit'!D66+'gm 9 vs Oak'!D66+'gm 10 vs Bal'!D66+'gm 11 at Chi'!D66+'gm 12 vs NYG'!D66+'gm 13 vs Cle'!D66+'gm 14 at Hou'!D66</f>
        <v>29</v>
      </c>
      <c r="E66" s="8"/>
      <c r="F66" s="8"/>
      <c r="H66" t="s">
        <v>43</v>
      </c>
      <c r="M66" s="2">
        <f>+'gm 1 at NE'!M66+'gm 2 vs Pit'!M66+'gm 3 at Cle'!M66+'gm 4 vs Den'!M66+'gm 5 at KC'!M66+'gm 6 at LA'!M66+'gm 7 vs Hou'!M66+'gm 8 at Pit'!M66+'gm 9 vs Oak'!M66+'gm 10 vs Bal'!M66+'gm 11 at Chi'!M66+'gm 12 vs NYG'!M66+'gm 13 vs Cle'!M66+'gm 14 at Hou'!M66</f>
        <v>24</v>
      </c>
      <c r="N66" s="8"/>
      <c r="O66" s="8"/>
    </row>
    <row r="67" spans="1:15" ht="12">
      <c r="A67" t="s">
        <v>44</v>
      </c>
      <c r="D67" s="2">
        <f>+'gm 1 at NE'!D67+'gm 2 vs Pit'!D67+'gm 3 at Cle'!D67+'gm 4 vs Den'!D67+'gm 5 at KC'!D67+'gm 6 at LA'!D67+'gm 7 vs Hou'!D67+'gm 8 at Pit'!D67+'gm 9 vs Oak'!D67+'gm 10 vs Bal'!D67+'gm 11 at Chi'!D67+'gm 12 vs NYG'!D67+'gm 13 vs Cle'!D67+'gm 14 at Hou'!D67</f>
        <v>1</v>
      </c>
      <c r="E67" s="8"/>
      <c r="F67" s="8"/>
      <c r="H67" t="s">
        <v>44</v>
      </c>
      <c r="M67" s="2">
        <f>+'gm 1 at NE'!M67+'gm 2 vs Pit'!M67+'gm 3 at Cle'!M67+'gm 4 vs Den'!M67+'gm 5 at KC'!M67+'gm 6 at LA'!M67+'gm 7 vs Hou'!M67+'gm 8 at Pit'!M67+'gm 9 vs Oak'!M67+'gm 10 vs Bal'!M67+'gm 11 at Chi'!M67+'gm 12 vs NYG'!M67+'gm 13 vs Cle'!M67+'gm 14 at Hou'!M67</f>
        <v>0</v>
      </c>
      <c r="N67" s="8"/>
      <c r="O67" s="8"/>
    </row>
    <row r="68" spans="1:15" ht="12">
      <c r="A68" t="s">
        <v>45</v>
      </c>
      <c r="D68" s="2">
        <f>+'gm 1 at NE'!D68+'gm 2 vs Pit'!D68+'gm 3 at Cle'!D68+'gm 4 vs Den'!D68+'gm 5 at KC'!D68+'gm 6 at LA'!D68+'gm 7 vs Hou'!D68+'gm 8 at Pit'!D68+'gm 9 vs Oak'!D68+'gm 10 vs Bal'!D68+'gm 11 at Chi'!D68+'gm 12 vs NYG'!D68+'gm 13 vs Cle'!D68+'gm 14 at Hou'!D68</f>
        <v>24</v>
      </c>
      <c r="E68" s="8">
        <f>+D68/$B$2</f>
        <v>1.7142857142857142</v>
      </c>
      <c r="F68" s="8">
        <v>1.9285714285714286</v>
      </c>
      <c r="G68" t="str">
        <f>IF(D68=SUM(H141:H143),"ok","ERR")</f>
        <v>ok</v>
      </c>
      <c r="H68" t="s">
        <v>45</v>
      </c>
      <c r="M68" s="2">
        <f>+'gm 1 at NE'!M68+'gm 2 vs Pit'!M68+'gm 3 at Cle'!M68+'gm 4 vs Den'!M68+'gm 5 at KC'!M68+'gm 6 at LA'!M68+'gm 7 vs Hou'!M68+'gm 8 at Pit'!M68+'gm 9 vs Oak'!M68+'gm 10 vs Bal'!M68+'gm 11 at Chi'!M68+'gm 12 vs NYG'!M68+'gm 13 vs Cle'!M68+'gm 14 at Hou'!M68</f>
        <v>18</v>
      </c>
      <c r="N68" s="8">
        <f>+M68/$B$2</f>
        <v>1.2857142857142858</v>
      </c>
      <c r="O68" s="8">
        <v>1.4285714285714286</v>
      </c>
    </row>
    <row r="69" spans="1:15" ht="12">
      <c r="A69" t="s">
        <v>46</v>
      </c>
      <c r="D69" s="2">
        <f>+'gm 1 at NE'!D69+'gm 2 vs Pit'!D69+'gm 3 at Cle'!D69+'gm 4 vs Den'!D69+'gm 5 at KC'!D69+'gm 6 at LA'!D69+'gm 7 vs Hou'!D69+'gm 8 at Pit'!D69+'gm 9 vs Oak'!D69+'gm 10 vs Bal'!D69+'gm 11 at Chi'!D69+'gm 12 vs NYG'!D69+'gm 13 vs Cle'!D69+'gm 14 at Hou'!D69</f>
        <v>34</v>
      </c>
      <c r="E69" s="8">
        <f>+D69/$B$2</f>
        <v>2.4285714285714284</v>
      </c>
      <c r="F69" s="8">
        <v>2.857142857142857</v>
      </c>
      <c r="G69" t="str">
        <f>IF(D69=SUM(G141:G143),"ok","ERR")</f>
        <v>ok</v>
      </c>
      <c r="H69" t="s">
        <v>46</v>
      </c>
      <c r="M69" s="2">
        <f>+'gm 1 at NE'!M69+'gm 2 vs Pit'!M69+'gm 3 at Cle'!M69+'gm 4 vs Den'!M69+'gm 5 at KC'!M69+'gm 6 at LA'!M69+'gm 7 vs Hou'!M69+'gm 8 at Pit'!M69+'gm 9 vs Oak'!M69+'gm 10 vs Bal'!M69+'gm 11 at Chi'!M69+'gm 12 vs NYG'!M69+'gm 13 vs Cle'!M69+'gm 14 at Hou'!M69</f>
        <v>30</v>
      </c>
      <c r="N69" s="8">
        <f>+M69/$B$2</f>
        <v>2.142857142857143</v>
      </c>
      <c r="O69" s="8">
        <v>2.0714285714285716</v>
      </c>
    </row>
    <row r="70" spans="1:15" ht="12">
      <c r="A70" t="s">
        <v>47</v>
      </c>
      <c r="D70" s="8">
        <f>+D68/D69*100</f>
        <v>70.58823529411765</v>
      </c>
      <c r="E70" s="8"/>
      <c r="F70" s="8">
        <f>+F68/F69*100</f>
        <v>67.5</v>
      </c>
      <c r="G70" s="7"/>
      <c r="H70" s="7" t="s">
        <v>47</v>
      </c>
      <c r="I70" s="7"/>
      <c r="J70" s="7"/>
      <c r="K70" s="7"/>
      <c r="L70" s="7"/>
      <c r="M70" s="8">
        <f>+M68/M69*100</f>
        <v>60</v>
      </c>
      <c r="N70" s="8"/>
      <c r="O70" s="8">
        <f>+O68/O69*100</f>
        <v>68.9655172413793</v>
      </c>
    </row>
    <row r="71" spans="1:15" ht="12">
      <c r="A71" t="s">
        <v>92</v>
      </c>
      <c r="D71" s="10" t="str">
        <f>IF(W23&lt;10,W27,W26)</f>
        <v>30:30</v>
      </c>
      <c r="E71" s="8"/>
      <c r="F71" s="8"/>
      <c r="H71" t="s">
        <v>92</v>
      </c>
      <c r="M71" s="10" t="str">
        <f>IF(X23&lt;10,X27,X26)</f>
        <v>29:30</v>
      </c>
      <c r="N71" s="8"/>
      <c r="O71" s="8"/>
    </row>
    <row r="73" spans="1:16" ht="12">
      <c r="A73" t="s">
        <v>49</v>
      </c>
      <c r="K73" t="s">
        <v>156</v>
      </c>
      <c r="O73" s="3"/>
      <c r="P73" t="s">
        <v>157</v>
      </c>
    </row>
    <row r="74" spans="1:1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  <c r="K74" s="3" t="s">
        <v>51</v>
      </c>
      <c r="L74" s="3" t="s">
        <v>52</v>
      </c>
      <c r="M74" s="3" t="s">
        <v>53</v>
      </c>
      <c r="N74" s="3" t="s">
        <v>54</v>
      </c>
      <c r="O74" s="3"/>
      <c r="P74" s="3" t="s">
        <v>51</v>
      </c>
      <c r="Q74" s="3" t="s">
        <v>52</v>
      </c>
      <c r="R74" s="3"/>
    </row>
    <row r="75" spans="1:18" ht="12">
      <c r="A75" t="s">
        <v>100</v>
      </c>
      <c r="B75" t="s">
        <v>149</v>
      </c>
      <c r="C75">
        <f>+'gm 1 at NE'!C75+'gm 2 vs Pit'!C75+'gm 3 at Cle'!C75+'gm 4 vs Den'!C75+'gm 5 at KC'!C75+'gm 6 at LA'!C75+'gm 7 vs Hou'!C75+'gm 8 at Pit'!C75+'gm 9 vs Oak'!C75+'gm 10 vs Bal'!C75+'gm 11 at Chi'!C75+'gm 12 vs NYG'!C75+'gm 13 vs Cle'!C75+'gm 14 at Hou'!C75</f>
        <v>34</v>
      </c>
      <c r="D75">
        <f>+'gm 1 at NE'!D75+'gm 2 vs Pit'!D75+'gm 3 at Cle'!D75+'gm 4 vs Den'!D75+'gm 5 at KC'!D75+'gm 6 at LA'!D75+'gm 7 vs Hou'!D75+'gm 8 at Pit'!D75+'gm 9 vs Oak'!D75+'gm 10 vs Bal'!D75+'gm 11 at Chi'!D75+'gm 12 vs NYG'!D75+'gm 13 vs Cle'!D75+'gm 14 at Hou'!D75</f>
        <v>78</v>
      </c>
      <c r="E75" s="12">
        <f aca="true" t="shared" si="0" ref="E75:E86">IF(C75=0,0,+D75/C75)</f>
        <v>2.2941176470588234</v>
      </c>
      <c r="F75">
        <f>MAX('gm 1 at NE'!F75,'gm 2 vs Pit'!F75,'gm 3 at Cle'!F75,'gm 4 vs Den'!F75,'gm 5 at KC'!F75,'gm 6 at LA'!F75,'gm 7 vs Hou'!F75,'gm 9 vs Oak'!F75,'gm 10 vs Bal'!F75,'gm 11 at Chi'!F75,'gm 12 vs NYG'!F75,'gm 13 vs Cle'!F75,'gm 14 at Hou'!F75,+'gm 8 at Pit'!F75)</f>
        <v>18</v>
      </c>
      <c r="G75">
        <f>+'gm 1 at NE'!G75+'gm 2 vs Pit'!G75+'gm 3 at Cle'!G75+'gm 4 vs Den'!G75+'gm 5 at KC'!G75+'gm 6 at LA'!G75+'gm 7 vs Hou'!G75+'gm 8 at Pit'!G75+'gm 9 vs Oak'!G75+'gm 10 vs Bal'!G75+'gm 11 at Chi'!G75+'gm 12 vs NYG'!G75+'gm 13 vs Cle'!G75+'gm 14 at Hou'!G75</f>
        <v>1</v>
      </c>
      <c r="H75">
        <f>+'gm 1 at NE'!H75+'gm 2 vs Pit'!H75+'gm 3 at Cle'!H75+'gm 4 vs Den'!H75+'gm 5 at KC'!H75+'gm 6 at LA'!H75+'gm 7 vs Hou'!H75+'gm 8 at Pit'!H75+'gm 9 vs Oak'!H75+'gm 10 vs Bal'!H75+'gm 11 at Chi'!H75+'gm 12 vs NYG'!H75+'gm 13 vs Cle'!H75+'gm 14 at Hou'!H75</f>
        <v>4</v>
      </c>
      <c r="K75">
        <v>22</v>
      </c>
      <c r="L75">
        <v>94</v>
      </c>
      <c r="M75" s="12">
        <f>+L75/K75</f>
        <v>4.2727272727272725</v>
      </c>
      <c r="N75">
        <v>18</v>
      </c>
      <c r="P75" s="19">
        <f>+C75/$B$2*14</f>
        <v>34</v>
      </c>
      <c r="Q75" s="19">
        <f>+D75/$B$2*14</f>
        <v>78</v>
      </c>
      <c r="R75" s="19"/>
    </row>
    <row r="76" spans="1:18" ht="12">
      <c r="A76" t="s">
        <v>101</v>
      </c>
      <c r="B76" t="s">
        <v>149</v>
      </c>
      <c r="C76">
        <f>+'gm 1 at NE'!C76+'gm 2 vs Pit'!C76+'gm 3 at Cle'!C76+'gm 4 vs Den'!C76+'gm 5 at KC'!C76+'gm 6 at LA'!C76+'gm 7 vs Hou'!C76+'gm 8 at Pit'!C76+'gm 9 vs Oak'!C76+'gm 10 vs Bal'!C76+'gm 11 at Chi'!C76+'gm 12 vs NYG'!C76+'gm 13 vs Cle'!C76+'gm 14 at Hou'!C76</f>
        <v>9</v>
      </c>
      <c r="D76">
        <f>+'gm 1 at NE'!D76+'gm 2 vs Pit'!D76+'gm 3 at Cle'!D76+'gm 4 vs Den'!D76+'gm 5 at KC'!D76+'gm 6 at LA'!D76+'gm 7 vs Hou'!D76+'gm 8 at Pit'!D76+'gm 9 vs Oak'!D76+'gm 10 vs Bal'!D76+'gm 11 at Chi'!D76+'gm 12 vs NYG'!D76+'gm 13 vs Cle'!D76+'gm 14 at Hou'!D76</f>
        <v>28</v>
      </c>
      <c r="E76" s="12">
        <f t="shared" si="0"/>
        <v>3.111111111111111</v>
      </c>
      <c r="F76">
        <f>MAX('gm 1 at NE'!F76,'gm 2 vs Pit'!F76,'gm 3 at Cle'!F76,'gm 4 vs Den'!F76,'gm 5 at KC'!F76,'gm 6 at LA'!F76,'gm 7 vs Hou'!F76,'gm 9 vs Oak'!F76,'gm 10 vs Bal'!F76,'gm 11 at Chi'!F76,'gm 12 vs NYG'!F76,'gm 13 vs Cle'!F76,'gm 14 at Hou'!F76,+'gm 8 at Pit'!F76)</f>
        <v>12</v>
      </c>
      <c r="G76">
        <f>+'gm 1 at NE'!G76+'gm 2 vs Pit'!G76+'gm 3 at Cle'!G76+'gm 4 vs Den'!G76+'gm 5 at KC'!G76+'gm 6 at LA'!G76+'gm 7 vs Hou'!G76+'gm 8 at Pit'!G76+'gm 9 vs Oak'!G76+'gm 10 vs Bal'!G76+'gm 11 at Chi'!G76+'gm 12 vs NYG'!G76+'gm 13 vs Cle'!G76+'gm 14 at Hou'!G76</f>
        <v>0</v>
      </c>
      <c r="H76">
        <f>+'gm 1 at NE'!H76+'gm 2 vs Pit'!H76+'gm 3 at Cle'!H76+'gm 4 vs Den'!H76+'gm 5 at KC'!H76+'gm 6 at LA'!H76+'gm 7 vs Hou'!H76+'gm 8 at Pit'!H76+'gm 9 vs Oak'!H76+'gm 10 vs Bal'!H76+'gm 11 at Chi'!H76+'gm 12 vs NYG'!H76+'gm 13 vs Cle'!H76+'gm 14 at Hou'!H76</f>
        <v>1</v>
      </c>
      <c r="K76">
        <v>12</v>
      </c>
      <c r="L76">
        <v>57</v>
      </c>
      <c r="M76" s="12">
        <f aca="true" t="shared" si="1" ref="M76:M85">+L76/K76</f>
        <v>4.75</v>
      </c>
      <c r="N76">
        <v>14</v>
      </c>
      <c r="P76" s="19">
        <f aca="true" t="shared" si="2" ref="P76:P85">+C76/$B$2*14</f>
        <v>9</v>
      </c>
      <c r="Q76" s="19">
        <f aca="true" t="shared" si="3" ref="Q76:Q85">+D76/$B$2*14</f>
        <v>28</v>
      </c>
      <c r="R76" s="19"/>
    </row>
    <row r="77" spans="1:18" ht="12">
      <c r="A77" t="s">
        <v>102</v>
      </c>
      <c r="B77" t="s">
        <v>149</v>
      </c>
      <c r="C77">
        <f>+'gm 1 at NE'!C77+'gm 2 vs Pit'!C77+'gm 3 at Cle'!C77+'gm 4 vs Den'!C77+'gm 5 at KC'!C77+'gm 6 at LA'!C77+'gm 7 vs Hou'!C77+'gm 8 at Pit'!C77+'gm 9 vs Oak'!C77+'gm 10 vs Bal'!C77+'gm 11 at Chi'!C77+'gm 12 vs NYG'!C77+'gm 13 vs Cle'!C77+'gm 14 at Hou'!C77</f>
        <v>4</v>
      </c>
      <c r="D77">
        <f>+'gm 1 at NE'!D77+'gm 2 vs Pit'!D77+'gm 3 at Cle'!D77+'gm 4 vs Den'!D77+'gm 5 at KC'!D77+'gm 6 at LA'!D77+'gm 7 vs Hou'!D77+'gm 8 at Pit'!D77+'gm 9 vs Oak'!D77+'gm 10 vs Bal'!D77+'gm 11 at Chi'!D77+'gm 12 vs NYG'!D77+'gm 13 vs Cle'!D77+'gm 14 at Hou'!D77</f>
        <v>14</v>
      </c>
      <c r="E77" s="12">
        <f t="shared" si="0"/>
        <v>3.5</v>
      </c>
      <c r="F77">
        <f>MAX('gm 1 at NE'!F77,'gm 2 vs Pit'!F77,'gm 3 at Cle'!F77,'gm 4 vs Den'!F77,'gm 5 at KC'!F77,'gm 6 at LA'!F77,'gm 7 vs Hou'!F77,'gm 9 vs Oak'!F77,'gm 10 vs Bal'!F77,'gm 11 at Chi'!F77,'gm 12 vs NYG'!F77,'gm 13 vs Cle'!F77,'gm 14 at Hou'!F77,+'gm 8 at Pit'!F77)</f>
        <v>5</v>
      </c>
      <c r="G77">
        <f>+'gm 1 at NE'!G77+'gm 2 vs Pit'!G77+'gm 3 at Cle'!G77+'gm 4 vs Den'!G77+'gm 5 at KC'!G77+'gm 6 at LA'!G77+'gm 7 vs Hou'!G77+'gm 8 at Pit'!G77+'gm 9 vs Oak'!G77+'gm 10 vs Bal'!G77+'gm 11 at Chi'!G77+'gm 12 vs NYG'!G77+'gm 13 vs Cle'!G77+'gm 14 at Hou'!G77</f>
        <v>0</v>
      </c>
      <c r="H77">
        <f>+'gm 1 at NE'!H77+'gm 2 vs Pit'!H77+'gm 3 at Cle'!H77+'gm 4 vs Den'!H77+'gm 5 at KC'!H77+'gm 6 at LA'!H77+'gm 7 vs Hou'!H77+'gm 8 at Pit'!H77+'gm 9 vs Oak'!H77+'gm 10 vs Bal'!H77+'gm 11 at Chi'!H77+'gm 12 vs NYG'!H77+'gm 13 vs Cle'!H77+'gm 14 at Hou'!H77</f>
        <v>0</v>
      </c>
      <c r="K77">
        <v>3</v>
      </c>
      <c r="L77">
        <v>8</v>
      </c>
      <c r="M77" s="12">
        <f t="shared" si="1"/>
        <v>2.6666666666666665</v>
      </c>
      <c r="N77">
        <v>5</v>
      </c>
      <c r="P77" s="19">
        <f t="shared" si="2"/>
        <v>4</v>
      </c>
      <c r="Q77" s="19">
        <f t="shared" si="3"/>
        <v>14</v>
      </c>
      <c r="R77" s="19"/>
    </row>
    <row r="78" spans="1:18" ht="12">
      <c r="A78" t="s">
        <v>103</v>
      </c>
      <c r="B78" t="s">
        <v>149</v>
      </c>
      <c r="C78">
        <f>+'gm 1 at NE'!C78+'gm 2 vs Pit'!C78+'gm 3 at Cle'!C78+'gm 4 vs Den'!C78+'gm 5 at KC'!C78+'gm 6 at LA'!C78+'gm 7 vs Hou'!C78+'gm 8 at Pit'!C78+'gm 9 vs Oak'!C78+'gm 10 vs Bal'!C78+'gm 11 at Chi'!C78+'gm 12 vs NYG'!C78+'gm 13 vs Cle'!C78+'gm 14 at Hou'!C78</f>
        <v>97</v>
      </c>
      <c r="D78">
        <f>+'gm 1 at NE'!D78+'gm 2 vs Pit'!D78+'gm 3 at Cle'!D78+'gm 4 vs Den'!D78+'gm 5 at KC'!D78+'gm 6 at LA'!D78+'gm 7 vs Hou'!D78+'gm 8 at Pit'!D78+'gm 9 vs Oak'!D78+'gm 10 vs Bal'!D78+'gm 11 at Chi'!D78+'gm 12 vs NYG'!D78+'gm 13 vs Cle'!D78+'gm 14 at Hou'!D78</f>
        <v>525</v>
      </c>
      <c r="E78" s="12">
        <f t="shared" si="0"/>
        <v>5.412371134020619</v>
      </c>
      <c r="F78">
        <f>MAX('gm 1 at NE'!F78,'gm 2 vs Pit'!F78,'gm 3 at Cle'!F78,'gm 4 vs Den'!F78,'gm 5 at KC'!F78,'gm 6 at LA'!F78,'gm 7 vs Hou'!F78,'gm 9 vs Oak'!F78,'gm 10 vs Bal'!F78,'gm 11 at Chi'!F78,'gm 12 vs NYG'!F78,'gm 13 vs Cle'!F78,'gm 14 at Hou'!F78,+'gm 8 at Pit'!F78)</f>
        <v>42</v>
      </c>
      <c r="G78">
        <f>+'gm 1 at NE'!G78+'gm 2 vs Pit'!G78+'gm 3 at Cle'!G78+'gm 4 vs Den'!G78+'gm 5 at KC'!G78+'gm 6 at LA'!G78+'gm 7 vs Hou'!G78+'gm 8 at Pit'!G78+'gm 9 vs Oak'!G78+'gm 10 vs Bal'!G78+'gm 11 at Chi'!G78+'gm 12 vs NYG'!G78+'gm 13 vs Cle'!G78+'gm 14 at Hou'!G78</f>
        <v>4</v>
      </c>
      <c r="H78">
        <f>+'gm 1 at NE'!H78+'gm 2 vs Pit'!H78+'gm 3 at Cle'!H78+'gm 4 vs Den'!H78+'gm 5 at KC'!H78+'gm 6 at LA'!H78+'gm 7 vs Hou'!H78+'gm 8 at Pit'!H78+'gm 9 vs Oak'!H78+'gm 10 vs Bal'!H78+'gm 11 at Chi'!H78+'gm 12 vs NYG'!H78+'gm 13 vs Cle'!H78+'gm 14 at Hou'!H78</f>
        <v>3</v>
      </c>
      <c r="K78">
        <v>128</v>
      </c>
      <c r="L78">
        <v>565</v>
      </c>
      <c r="M78" s="12">
        <f t="shared" si="1"/>
        <v>4.4140625</v>
      </c>
      <c r="N78">
        <v>43</v>
      </c>
      <c r="P78" s="19">
        <f t="shared" si="2"/>
        <v>97</v>
      </c>
      <c r="Q78" s="19">
        <f t="shared" si="3"/>
        <v>525</v>
      </c>
      <c r="R78" s="19"/>
    </row>
    <row r="79" spans="1:18" ht="12">
      <c r="A79" t="s">
        <v>104</v>
      </c>
      <c r="B79" t="s">
        <v>149</v>
      </c>
      <c r="C79">
        <f>+'gm 1 at NE'!C79+'gm 2 vs Pit'!C79+'gm 3 at Cle'!C79+'gm 4 vs Den'!C79+'gm 5 at KC'!C79+'gm 6 at LA'!C79+'gm 7 vs Hou'!C79+'gm 8 at Pit'!C79+'gm 9 vs Oak'!C79+'gm 10 vs Bal'!C79+'gm 11 at Chi'!C79+'gm 12 vs NYG'!C79+'gm 13 vs Cle'!C79+'gm 14 at Hou'!C79</f>
        <v>212</v>
      </c>
      <c r="D79">
        <f>+'gm 1 at NE'!D79+'gm 2 vs Pit'!D79+'gm 3 at Cle'!D79+'gm 4 vs Den'!D79+'gm 5 at KC'!D79+'gm 6 at LA'!D79+'gm 7 vs Hou'!D79+'gm 8 at Pit'!D79+'gm 9 vs Oak'!D79+'gm 10 vs Bal'!D79+'gm 11 at Chi'!D79+'gm 12 vs NYG'!D79+'gm 13 vs Cle'!D79+'gm 14 at Hou'!D79</f>
        <v>1006</v>
      </c>
      <c r="E79" s="12">
        <f t="shared" si="0"/>
        <v>4.745283018867925</v>
      </c>
      <c r="F79">
        <f>MAX('gm 1 at NE'!F79,'gm 2 vs Pit'!F79,'gm 3 at Cle'!F79,'gm 4 vs Den'!F79,'gm 5 at KC'!F79,'gm 6 at LA'!F79,'gm 7 vs Hou'!F79,'gm 9 vs Oak'!F79,'gm 10 vs Bal'!F79,'gm 11 at Chi'!F79,'gm 12 vs NYG'!F79,'gm 13 vs Cle'!F79,'gm 14 at Hou'!F79,+'gm 8 at Pit'!F79)</f>
        <v>31</v>
      </c>
      <c r="G79">
        <f>+'gm 1 at NE'!G79+'gm 2 vs Pit'!G79+'gm 3 at Cle'!G79+'gm 4 vs Den'!G79+'gm 5 at KC'!G79+'gm 6 at LA'!G79+'gm 7 vs Hou'!G79+'gm 8 at Pit'!G79+'gm 9 vs Oak'!G79+'gm 10 vs Bal'!G79+'gm 11 at Chi'!G79+'gm 12 vs NYG'!G79+'gm 13 vs Cle'!G79+'gm 14 at Hou'!G79</f>
        <v>6</v>
      </c>
      <c r="H79">
        <f>+'gm 1 at NE'!H79+'gm 2 vs Pit'!H79+'gm 3 at Cle'!H79+'gm 4 vs Den'!H79+'gm 5 at KC'!H79+'gm 6 at LA'!H79+'gm 7 vs Hou'!H79+'gm 8 at Pit'!H79+'gm 9 vs Oak'!H79+'gm 10 vs Bal'!H79+'gm 11 at Chi'!H79+'gm 12 vs NYG'!H79+'gm 13 vs Cle'!H79+'gm 14 at Hou'!H79</f>
        <v>3</v>
      </c>
      <c r="K79">
        <v>212</v>
      </c>
      <c r="L79">
        <v>825</v>
      </c>
      <c r="M79" s="12">
        <f t="shared" si="1"/>
        <v>3.891509433962264</v>
      </c>
      <c r="N79">
        <v>19</v>
      </c>
      <c r="P79" s="19">
        <f t="shared" si="2"/>
        <v>212</v>
      </c>
      <c r="Q79" s="19">
        <f t="shared" si="3"/>
        <v>1006</v>
      </c>
      <c r="R79" s="19"/>
    </row>
    <row r="80" spans="1:18" ht="12">
      <c r="A80" t="s">
        <v>105</v>
      </c>
      <c r="B80" t="s">
        <v>149</v>
      </c>
      <c r="C80">
        <f>+'gm 1 at NE'!C80+'gm 2 vs Pit'!C80+'gm 3 at Cle'!C80+'gm 4 vs Den'!C80+'gm 5 at KC'!C80+'gm 6 at LA'!C80+'gm 7 vs Hou'!C80+'gm 8 at Pit'!C80+'gm 9 vs Oak'!C80+'gm 10 vs Bal'!C80+'gm 11 at Chi'!C80+'gm 12 vs NYG'!C80+'gm 13 vs Cle'!C80+'gm 14 at Hou'!C80</f>
        <v>0</v>
      </c>
      <c r="D80">
        <f>+'gm 1 at NE'!D80+'gm 2 vs Pit'!D80+'gm 3 at Cle'!D80+'gm 4 vs Den'!D80+'gm 5 at KC'!D80+'gm 6 at LA'!D80+'gm 7 vs Hou'!D80+'gm 8 at Pit'!D80+'gm 9 vs Oak'!D80+'gm 10 vs Bal'!D80+'gm 11 at Chi'!D80+'gm 12 vs NYG'!D80+'gm 13 vs Cle'!D80+'gm 14 at Hou'!D80</f>
        <v>0</v>
      </c>
      <c r="E80" s="12">
        <f t="shared" si="0"/>
        <v>0</v>
      </c>
      <c r="F80">
        <f>MAX('gm 1 at NE'!F80,'gm 2 vs Pit'!F80,'gm 3 at Cle'!F80,'gm 4 vs Den'!F80,'gm 5 at KC'!F80,'gm 6 at LA'!F80,'gm 7 vs Hou'!F80,'gm 9 vs Oak'!F80,'gm 10 vs Bal'!F80,'gm 11 at Chi'!F80,'gm 12 vs NYG'!F80,'gm 13 vs Cle'!F80,'gm 14 at Hou'!F80,+'gm 8 at Pit'!F80)</f>
        <v>0</v>
      </c>
      <c r="G80">
        <f>+'gm 1 at NE'!G80+'gm 2 vs Pit'!G80+'gm 3 at Cle'!G80+'gm 4 vs Den'!G80+'gm 5 at KC'!G80+'gm 6 at LA'!G80+'gm 7 vs Hou'!G80+'gm 8 at Pit'!G80+'gm 9 vs Oak'!G80+'gm 10 vs Bal'!G80+'gm 11 at Chi'!G80+'gm 12 vs NYG'!G80+'gm 13 vs Cle'!G80+'gm 14 at Hou'!G80</f>
        <v>0</v>
      </c>
      <c r="H80">
        <f>+'gm 1 at NE'!H80+'gm 2 vs Pit'!H80+'gm 3 at Cle'!H80+'gm 4 vs Den'!H80+'gm 5 at KC'!H80+'gm 6 at LA'!H80+'gm 7 vs Hou'!H80+'gm 8 at Pit'!H80+'gm 9 vs Oak'!H80+'gm 10 vs Bal'!H80+'gm 11 at Chi'!H80+'gm 12 vs NYG'!H80+'gm 13 vs Cle'!H80+'gm 14 at Hou'!H80</f>
        <v>0</v>
      </c>
      <c r="K80">
        <v>1</v>
      </c>
      <c r="L80">
        <v>2</v>
      </c>
      <c r="M80" s="12">
        <f t="shared" si="1"/>
        <v>2</v>
      </c>
      <c r="N80">
        <v>2</v>
      </c>
      <c r="P80" s="19">
        <f t="shared" si="2"/>
        <v>0</v>
      </c>
      <c r="Q80" s="19">
        <f t="shared" si="3"/>
        <v>0</v>
      </c>
      <c r="R80" s="19"/>
    </row>
    <row r="81" spans="1:18" ht="12">
      <c r="A81" t="s">
        <v>106</v>
      </c>
      <c r="B81" t="s">
        <v>149</v>
      </c>
      <c r="C81">
        <f>+'gm 1 at NE'!C81+'gm 2 vs Pit'!C81+'gm 3 at Cle'!C81+'gm 4 vs Den'!C81+'gm 5 at KC'!C81+'gm 6 at LA'!C81+'gm 7 vs Hou'!C81+'gm 8 at Pit'!C81+'gm 9 vs Oak'!C81+'gm 10 vs Bal'!C81+'gm 11 at Chi'!C81+'gm 12 vs NYG'!C81+'gm 13 vs Cle'!C81+'gm 14 at Hou'!C81</f>
        <v>1</v>
      </c>
      <c r="D81">
        <f>+'gm 1 at NE'!D81+'gm 2 vs Pit'!D81+'gm 3 at Cle'!D81+'gm 4 vs Den'!D81+'gm 5 at KC'!D81+'gm 6 at LA'!D81+'gm 7 vs Hou'!D81+'gm 8 at Pit'!D81+'gm 9 vs Oak'!D81+'gm 10 vs Bal'!D81+'gm 11 at Chi'!D81+'gm 12 vs NYG'!D81+'gm 13 vs Cle'!D81+'gm 14 at Hou'!D81</f>
        <v>8</v>
      </c>
      <c r="E81" s="12">
        <f t="shared" si="0"/>
        <v>8</v>
      </c>
      <c r="F81">
        <f>MAX('gm 1 at NE'!F81,'gm 2 vs Pit'!F81,'gm 3 at Cle'!F81,'gm 4 vs Den'!F81,'gm 5 at KC'!F81,'gm 6 at LA'!F81,'gm 7 vs Hou'!F81,'gm 9 vs Oak'!F81,'gm 10 vs Bal'!F81,'gm 11 at Chi'!F81,'gm 12 vs NYG'!F81,'gm 13 vs Cle'!F81,'gm 14 at Hou'!F81,+'gm 8 at Pit'!F81)</f>
        <v>8</v>
      </c>
      <c r="G81">
        <f>+'gm 1 at NE'!G81+'gm 2 vs Pit'!G81+'gm 3 at Cle'!G81+'gm 4 vs Den'!G81+'gm 5 at KC'!G81+'gm 6 at LA'!G81+'gm 7 vs Hou'!G81+'gm 8 at Pit'!G81+'gm 9 vs Oak'!G81+'gm 10 vs Bal'!G81+'gm 11 at Chi'!G81+'gm 12 vs NYG'!G81+'gm 13 vs Cle'!G81+'gm 14 at Hou'!G81</f>
        <v>0</v>
      </c>
      <c r="H81">
        <f>+'gm 1 at NE'!H81+'gm 2 vs Pit'!H81+'gm 3 at Cle'!H81+'gm 4 vs Den'!H81+'gm 5 at KC'!H81+'gm 6 at LA'!H81+'gm 7 vs Hou'!H81+'gm 8 at Pit'!H81+'gm 9 vs Oak'!H81+'gm 10 vs Bal'!H81+'gm 11 at Chi'!H81+'gm 12 vs NYG'!H81+'gm 13 vs Cle'!H81+'gm 14 at Hou'!H81</f>
        <v>0</v>
      </c>
      <c r="K81">
        <v>1</v>
      </c>
      <c r="L81">
        <v>15</v>
      </c>
      <c r="M81" s="12">
        <f t="shared" si="1"/>
        <v>15</v>
      </c>
      <c r="N81">
        <v>15</v>
      </c>
      <c r="P81" s="19">
        <f t="shared" si="2"/>
        <v>1</v>
      </c>
      <c r="Q81" s="19">
        <f t="shared" si="3"/>
        <v>8</v>
      </c>
      <c r="R81" s="19"/>
    </row>
    <row r="82" spans="1:18" ht="12">
      <c r="A82" t="s">
        <v>107</v>
      </c>
      <c r="B82" t="s">
        <v>149</v>
      </c>
      <c r="C82">
        <f>+'gm 1 at NE'!C82+'gm 2 vs Pit'!C82+'gm 3 at Cle'!C82+'gm 4 vs Den'!C82+'gm 5 at KC'!C82+'gm 6 at LA'!C82+'gm 7 vs Hou'!C82+'gm 8 at Pit'!C82+'gm 9 vs Oak'!C82+'gm 10 vs Bal'!C82+'gm 11 at Chi'!C82+'gm 12 vs NYG'!C82+'gm 13 vs Cle'!C82+'gm 14 at Hou'!C82</f>
        <v>1</v>
      </c>
      <c r="D82">
        <f>+'gm 1 at NE'!D82+'gm 2 vs Pit'!D82+'gm 3 at Cle'!D82+'gm 4 vs Den'!D82+'gm 5 at KC'!D82+'gm 6 at LA'!D82+'gm 7 vs Hou'!D82+'gm 8 at Pit'!D82+'gm 9 vs Oak'!D82+'gm 10 vs Bal'!D82+'gm 11 at Chi'!D82+'gm 12 vs NYG'!D82+'gm 13 vs Cle'!D82+'gm 14 at Hou'!D82</f>
        <v>5</v>
      </c>
      <c r="E82" s="12">
        <f t="shared" si="0"/>
        <v>5</v>
      </c>
      <c r="F82">
        <f>MAX('gm 1 at NE'!F82,'gm 2 vs Pit'!F82,'gm 3 at Cle'!F82,'gm 4 vs Den'!F82,'gm 5 at KC'!F82,'gm 6 at LA'!F82,'gm 7 vs Hou'!F82,'gm 9 vs Oak'!F82,'gm 10 vs Bal'!F82,'gm 11 at Chi'!F82,'gm 12 vs NYG'!F82,'gm 13 vs Cle'!F82,'gm 14 at Hou'!F82,+'gm 8 at Pit'!F82)</f>
        <v>5</v>
      </c>
      <c r="G82">
        <f>+'gm 1 at NE'!G82+'gm 2 vs Pit'!G82+'gm 3 at Cle'!G82+'gm 4 vs Den'!G82+'gm 5 at KC'!G82+'gm 6 at LA'!G82+'gm 7 vs Hou'!G82+'gm 8 at Pit'!G82+'gm 9 vs Oak'!G82+'gm 10 vs Bal'!G82+'gm 11 at Chi'!G82+'gm 12 vs NYG'!G82+'gm 13 vs Cle'!G82+'gm 14 at Hou'!G82</f>
        <v>0</v>
      </c>
      <c r="H82">
        <f>+'gm 1 at NE'!H82+'gm 2 vs Pit'!H82+'gm 3 at Cle'!H82+'gm 4 vs Den'!H82+'gm 5 at KC'!H82+'gm 6 at LA'!H82+'gm 7 vs Hou'!H82+'gm 8 at Pit'!H82+'gm 9 vs Oak'!H82+'gm 10 vs Bal'!H82+'gm 11 at Chi'!H82+'gm 12 vs NYG'!H82+'gm 13 vs Cle'!H82+'gm 14 at Hou'!H82</f>
        <v>0</v>
      </c>
      <c r="K82">
        <v>1</v>
      </c>
      <c r="L82">
        <v>2</v>
      </c>
      <c r="M82" s="12">
        <f t="shared" si="1"/>
        <v>2</v>
      </c>
      <c r="N82">
        <v>2</v>
      </c>
      <c r="P82" s="19">
        <f t="shared" si="2"/>
        <v>1</v>
      </c>
      <c r="Q82" s="19">
        <f t="shared" si="3"/>
        <v>5</v>
      </c>
      <c r="R82" s="19"/>
    </row>
    <row r="83" spans="1:18" ht="12">
      <c r="A83" t="s">
        <v>108</v>
      </c>
      <c r="B83" t="s">
        <v>149</v>
      </c>
      <c r="C83">
        <f>+'gm 1 at NE'!C83+'gm 2 vs Pit'!C83+'gm 3 at Cle'!C83+'gm 4 vs Den'!C83+'gm 5 at KC'!C83+'gm 6 at LA'!C83+'gm 7 vs Hou'!C83+'gm 8 at Pit'!C83+'gm 9 vs Oak'!C83+'gm 10 vs Bal'!C83+'gm 11 at Chi'!C83+'gm 12 vs NYG'!C83+'gm 13 vs Cle'!C83+'gm 14 at Hou'!C83</f>
        <v>37</v>
      </c>
      <c r="D83">
        <f>+'gm 1 at NE'!D83+'gm 2 vs Pit'!D83+'gm 3 at Cle'!D83+'gm 4 vs Den'!D83+'gm 5 at KC'!D83+'gm 6 at LA'!D83+'gm 7 vs Hou'!D83+'gm 8 at Pit'!D83+'gm 9 vs Oak'!D83+'gm 10 vs Bal'!D83+'gm 11 at Chi'!D83+'gm 12 vs NYG'!D83+'gm 13 vs Cle'!D83+'gm 14 at Hou'!D83</f>
        <v>153</v>
      </c>
      <c r="E83" s="12">
        <f t="shared" si="0"/>
        <v>4.135135135135135</v>
      </c>
      <c r="F83">
        <f>MAX('gm 1 at NE'!F83,'gm 2 vs Pit'!F83,'gm 3 at Cle'!F83,'gm 4 vs Den'!F83,'gm 5 at KC'!F83,'gm 6 at LA'!F83,'gm 7 vs Hou'!F83,'gm 9 vs Oak'!F83,'gm 10 vs Bal'!F83,'gm 11 at Chi'!F83,'gm 12 vs NYG'!F83,'gm 13 vs Cle'!F83,'gm 14 at Hou'!F83,+'gm 8 at Pit'!F83)</f>
        <v>21</v>
      </c>
      <c r="G83">
        <f>+'gm 1 at NE'!G83+'gm 2 vs Pit'!G83+'gm 3 at Cle'!G83+'gm 4 vs Den'!G83+'gm 5 at KC'!G83+'gm 6 at LA'!G83+'gm 7 vs Hou'!G83+'gm 8 at Pit'!G83+'gm 9 vs Oak'!G83+'gm 10 vs Bal'!G83+'gm 11 at Chi'!G83+'gm 12 vs NYG'!G83+'gm 13 vs Cle'!G83+'gm 14 at Hou'!G83</f>
        <v>2</v>
      </c>
      <c r="H83">
        <f>+'gm 1 at NE'!H83+'gm 2 vs Pit'!H83+'gm 3 at Cle'!H83+'gm 4 vs Den'!H83+'gm 5 at KC'!H83+'gm 6 at LA'!H83+'gm 7 vs Hou'!H83+'gm 8 at Pit'!H83+'gm 9 vs Oak'!H83+'gm 10 vs Bal'!H83+'gm 11 at Chi'!H83+'gm 12 vs NYG'!H83+'gm 13 vs Cle'!H83+'gm 14 at Hou'!H83</f>
        <v>0</v>
      </c>
      <c r="K83">
        <v>48</v>
      </c>
      <c r="L83">
        <v>207</v>
      </c>
      <c r="M83" s="12">
        <f t="shared" si="1"/>
        <v>4.3125</v>
      </c>
      <c r="N83">
        <v>20</v>
      </c>
      <c r="P83" s="19">
        <f t="shared" si="2"/>
        <v>37</v>
      </c>
      <c r="Q83" s="19">
        <f t="shared" si="3"/>
        <v>153</v>
      </c>
      <c r="R83" s="19"/>
    </row>
    <row r="84" spans="1:18" ht="12">
      <c r="A84" t="s">
        <v>109</v>
      </c>
      <c r="B84" t="s">
        <v>149</v>
      </c>
      <c r="C84">
        <f>+'gm 1 at NE'!C84+'gm 2 vs Pit'!C84+'gm 3 at Cle'!C84+'gm 4 vs Den'!C84+'gm 5 at KC'!C84+'gm 6 at LA'!C84+'gm 7 vs Hou'!C84+'gm 8 at Pit'!C84+'gm 9 vs Oak'!C84+'gm 10 vs Bal'!C84+'gm 11 at Chi'!C84+'gm 12 vs NYG'!C84+'gm 13 vs Cle'!C84+'gm 14 at Hou'!C84</f>
        <v>12</v>
      </c>
      <c r="D84">
        <f>+'gm 1 at NE'!D84+'gm 2 vs Pit'!D84+'gm 3 at Cle'!D84+'gm 4 vs Den'!D84+'gm 5 at KC'!D84+'gm 6 at LA'!D84+'gm 7 vs Hou'!D84+'gm 8 at Pit'!D84+'gm 9 vs Oak'!D84+'gm 10 vs Bal'!D84+'gm 11 at Chi'!D84+'gm 12 vs NYG'!D84+'gm 13 vs Cle'!D84+'gm 14 at Hou'!D84</f>
        <v>48</v>
      </c>
      <c r="E84" s="12">
        <f t="shared" si="0"/>
        <v>4</v>
      </c>
      <c r="F84">
        <f>MAX('gm 1 at NE'!F84,'gm 2 vs Pit'!F84,'gm 3 at Cle'!F84,'gm 4 vs Den'!F84,'gm 5 at KC'!F84,'gm 6 at LA'!F84,'gm 7 vs Hou'!F84,'gm 9 vs Oak'!F84,'gm 10 vs Bal'!F84,'gm 11 at Chi'!F84,'gm 12 vs NYG'!F84,'gm 13 vs Cle'!F84,'gm 14 at Hou'!F84,+'gm 8 at Pit'!F84)</f>
        <v>18</v>
      </c>
      <c r="G84">
        <f>+'gm 1 at NE'!G84+'gm 2 vs Pit'!G84+'gm 3 at Cle'!G84+'gm 4 vs Den'!G84+'gm 5 at KC'!G84+'gm 6 at LA'!G84+'gm 7 vs Hou'!G84+'gm 8 at Pit'!G84+'gm 9 vs Oak'!G84+'gm 10 vs Bal'!G84+'gm 11 at Chi'!G84+'gm 12 vs NYG'!G84+'gm 13 vs Cle'!G84+'gm 14 at Hou'!G84</f>
        <v>1</v>
      </c>
      <c r="H84">
        <f>+'gm 1 at NE'!H84+'gm 2 vs Pit'!H84+'gm 3 at Cle'!H84+'gm 4 vs Den'!H84+'gm 5 at KC'!H84+'gm 6 at LA'!H84+'gm 7 vs Hou'!H84+'gm 8 at Pit'!H84+'gm 9 vs Oak'!H84+'gm 10 vs Bal'!H84+'gm 11 at Chi'!H84+'gm 12 vs NYG'!H84+'gm 13 vs Cle'!H84+'gm 14 at Hou'!H84</f>
        <v>0</v>
      </c>
      <c r="K84">
        <v>21</v>
      </c>
      <c r="L84">
        <v>94</v>
      </c>
      <c r="M84" s="12">
        <f t="shared" si="1"/>
        <v>4.476190476190476</v>
      </c>
      <c r="N84">
        <v>15</v>
      </c>
      <c r="P84" s="19">
        <f t="shared" si="2"/>
        <v>12</v>
      </c>
      <c r="Q84" s="19">
        <f t="shared" si="3"/>
        <v>48</v>
      </c>
      <c r="R84" s="19"/>
    </row>
    <row r="85" spans="1:18" ht="12">
      <c r="A85" t="s">
        <v>110</v>
      </c>
      <c r="B85" t="s">
        <v>149</v>
      </c>
      <c r="C85">
        <f>+'gm 1 at NE'!C85+'gm 2 vs Pit'!C85+'gm 3 at Cle'!C85+'gm 4 vs Den'!C85+'gm 5 at KC'!C85+'gm 6 at LA'!C85+'gm 7 vs Hou'!C85+'gm 8 at Pit'!C85+'gm 9 vs Oak'!C85+'gm 10 vs Bal'!C85+'gm 11 at Chi'!C85+'gm 12 vs NYG'!C85+'gm 13 vs Cle'!C85+'gm 14 at Hou'!C85</f>
        <v>53</v>
      </c>
      <c r="D85">
        <f>+'gm 1 at NE'!D85+'gm 2 vs Pit'!D85+'gm 3 at Cle'!D85+'gm 4 vs Den'!D85+'gm 5 at KC'!D85+'gm 6 at LA'!D85+'gm 7 vs Hou'!D85+'gm 8 at Pit'!D85+'gm 9 vs Oak'!D85+'gm 10 vs Bal'!D85+'gm 11 at Chi'!D85+'gm 12 vs NYG'!D85+'gm 13 vs Cle'!D85+'gm 14 at Hou'!D85</f>
        <v>171</v>
      </c>
      <c r="E85" s="12">
        <f t="shared" si="0"/>
        <v>3.2264150943396226</v>
      </c>
      <c r="F85">
        <f>MAX('gm 1 at NE'!F85,'gm 2 vs Pit'!F85,'gm 3 at Cle'!F85,'gm 4 vs Den'!F85,'gm 5 at KC'!F85,'gm 6 at LA'!F85,'gm 7 vs Hou'!F85,'gm 9 vs Oak'!F85,'gm 10 vs Bal'!F85,'gm 11 at Chi'!F85,'gm 12 vs NYG'!F85,'gm 13 vs Cle'!F85,'gm 14 at Hou'!F85,+'gm 8 at Pit'!F85)</f>
        <v>14</v>
      </c>
      <c r="G85">
        <f>+'gm 1 at NE'!G85+'gm 2 vs Pit'!G85+'gm 3 at Cle'!G85+'gm 4 vs Den'!G85+'gm 5 at KC'!G85+'gm 6 at LA'!G85+'gm 7 vs Hou'!G85+'gm 8 at Pit'!G85+'gm 9 vs Oak'!G85+'gm 10 vs Bal'!G85+'gm 11 at Chi'!G85+'gm 12 vs NYG'!G85+'gm 13 vs Cle'!G85+'gm 14 at Hou'!G85</f>
        <v>2</v>
      </c>
      <c r="H85">
        <f>+'gm 1 at NE'!H85+'gm 2 vs Pit'!H85+'gm 3 at Cle'!H85+'gm 4 vs Den'!H85+'gm 5 at KC'!H85+'gm 6 at LA'!H85+'gm 7 vs Hou'!H85+'gm 8 at Pit'!H85+'gm 9 vs Oak'!H85+'gm 10 vs Bal'!H85+'gm 11 at Chi'!H85+'gm 12 vs NYG'!H85+'gm 13 vs Cle'!H85+'gm 14 at Hou'!H85</f>
        <v>4</v>
      </c>
      <c r="K85">
        <v>42</v>
      </c>
      <c r="L85">
        <v>127</v>
      </c>
      <c r="M85" s="12">
        <f t="shared" si="1"/>
        <v>3.0238095238095237</v>
      </c>
      <c r="N85">
        <v>12</v>
      </c>
      <c r="P85" s="19">
        <f t="shared" si="2"/>
        <v>53</v>
      </c>
      <c r="Q85" s="19">
        <f t="shared" si="3"/>
        <v>171</v>
      </c>
      <c r="R85" s="19"/>
    </row>
    <row r="86" spans="3:8" ht="12">
      <c r="C86">
        <f>+'gm 1 at NE'!C86+'gm 2 vs Pit'!C86+'gm 3 at Cle'!C86+'gm 4 vs Den'!C86+'gm 5 at KC'!C86+'gm 6 at LA'!C86+'gm 7 vs Hou'!C86+'gm 8 at Pit'!C86+'gm 9 vs Oak'!C86+'gm 10 vs Bal'!C86+'gm 11 at Chi'!C86+'gm 12 vs NYG'!C86+'gm 13 vs Cle'!C86+'gm 14 at Hou'!C86</f>
        <v>0</v>
      </c>
      <c r="D86">
        <f>+'gm 1 at NE'!D86+'gm 2 vs Pit'!D86+'gm 3 at Cle'!D86+'gm 4 vs Den'!D86+'gm 5 at KC'!D86+'gm 6 at LA'!D86+'gm 7 vs Hou'!D86+'gm 8 at Pit'!D86+'gm 9 vs Oak'!D86+'gm 10 vs Bal'!D86+'gm 11 at Chi'!D86+'gm 12 vs NYG'!D86+'gm 13 vs Cle'!D86+'gm 14 at Hou'!D86</f>
        <v>0</v>
      </c>
      <c r="E86" s="12">
        <f t="shared" si="0"/>
        <v>0</v>
      </c>
      <c r="F86">
        <f>MAX('gm 1 at NE'!F86,'gm 2 vs Pit'!F86,'gm 3 at Cle'!F86,'gm 4 vs Den'!F86,'gm 5 at KC'!F86,'gm 6 at LA'!F86,'gm 7 vs Hou'!F86,'gm 9 vs Oak'!F86,'gm 10 vs Bal'!F86,'gm 11 at Chi'!F86,'gm 12 vs NYG'!F86,'gm 13 vs Cle'!F86,'gm 14 at Hou'!F86,+'gm 8 at Pit'!F86)</f>
        <v>0</v>
      </c>
      <c r="G86">
        <f>+'gm 1 at NE'!G86+'gm 2 vs Pit'!G86+'gm 3 at Cle'!G86+'gm 4 vs Den'!G86+'gm 5 at KC'!G86+'gm 6 at LA'!G86+'gm 7 vs Hou'!G86+'gm 8 at Pit'!G86+'gm 9 vs Oak'!G86+'gm 10 vs Bal'!G86+'gm 11 at Chi'!G86+'gm 12 vs NYG'!G86+'gm 13 vs Cle'!G86+'gm 14 at Hou'!G86</f>
        <v>0</v>
      </c>
      <c r="H86">
        <f>+'gm 1 at NE'!H86+'gm 2 vs Pit'!H86+'gm 3 at Cle'!H86+'gm 4 vs Den'!H86+'gm 5 at KC'!H86+'gm 6 at LA'!H86+'gm 7 vs Hou'!H86+'gm 8 at Pit'!H86+'gm 9 vs Oak'!H86+'gm 10 vs Bal'!H86+'gm 11 at Chi'!H86+'gm 12 vs NYG'!H86+'gm 13 vs Cle'!H86+'gm 14 at Hou'!H86</f>
        <v>0</v>
      </c>
    </row>
    <row r="87" ht="12">
      <c r="E87" s="8"/>
    </row>
    <row r="88" spans="1:1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  <c r="K88" s="3" t="s">
        <v>57</v>
      </c>
      <c r="L88" s="3" t="s">
        <v>52</v>
      </c>
      <c r="M88" s="15" t="s">
        <v>53</v>
      </c>
      <c r="N88" s="3" t="s">
        <v>54</v>
      </c>
      <c r="P88" s="3" t="s">
        <v>57</v>
      </c>
      <c r="Q88" s="3" t="s">
        <v>52</v>
      </c>
      <c r="R88" s="3"/>
    </row>
    <row r="89" spans="1:18" ht="12">
      <c r="A89" t="s">
        <v>111</v>
      </c>
      <c r="B89" t="s">
        <v>149</v>
      </c>
      <c r="C89">
        <f>+'gm 1 at NE'!C89+'gm 2 vs Pit'!C89+'gm 3 at Cle'!C89+'gm 4 vs Den'!C89+'gm 5 at KC'!C89+'gm 6 at LA'!C89+'gm 7 vs Hou'!C89+'gm 8 at Pit'!C89+'gm 9 vs Oak'!C89+'gm 10 vs Bal'!C89+'gm 11 at Chi'!C89+'gm 12 vs NYG'!C89+'gm 13 vs Cle'!C89+'gm 14 at Hou'!C89</f>
        <v>1</v>
      </c>
      <c r="D89">
        <f>+'gm 1 at NE'!D89+'gm 2 vs Pit'!D89+'gm 3 at Cle'!D89+'gm 4 vs Den'!D89+'gm 5 at KC'!D89+'gm 6 at LA'!D89+'gm 7 vs Hou'!D89+'gm 8 at Pit'!D89+'gm 9 vs Oak'!D89+'gm 10 vs Bal'!D89+'gm 11 at Chi'!D89+'gm 12 vs NYG'!D89+'gm 13 vs Cle'!D89+'gm 14 at Hou'!D89</f>
        <v>12</v>
      </c>
      <c r="E89" s="12">
        <f aca="true" t="shared" si="4" ref="E89:E102">IF(C89=0,0,+D89/C89)</f>
        <v>12</v>
      </c>
      <c r="F89">
        <f>MAX('gm 1 at NE'!F89,'gm 2 vs Pit'!F89,'gm 3 at Cle'!F89,'gm 4 vs Den'!F89,'gm 5 at KC'!F89,'gm 6 at LA'!F89,'gm 7 vs Hou'!F89,'gm 9 vs Oak'!F89,'gm 10 vs Bal'!F89,'gm 11 at Chi'!F89,'gm 12 vs NYG'!F89,'gm 13 vs Cle'!F89,'gm 14 at Hou'!F89,+'gm 8 at Pit'!F89)</f>
        <v>12</v>
      </c>
      <c r="G89">
        <f>+'gm 1 at NE'!G89+'gm 2 vs Pit'!G89+'gm 3 at Cle'!G89+'gm 4 vs Den'!G89+'gm 5 at KC'!G89+'gm 6 at LA'!G89+'gm 7 vs Hou'!G89+'gm 8 at Pit'!G89+'gm 9 vs Oak'!G89+'gm 10 vs Bal'!G89+'gm 11 at Chi'!G89+'gm 12 vs NYG'!G89+'gm 13 vs Cle'!G89+'gm 14 at Hou'!G89</f>
        <v>0</v>
      </c>
      <c r="H89">
        <f>+'gm 1 at NE'!H89+'gm 2 vs Pit'!H89+'gm 3 at Cle'!H89+'gm 4 vs Den'!H89+'gm 5 at KC'!H89+'gm 6 at LA'!H89+'gm 7 vs Hou'!H89+'gm 8 at Pit'!H89+'gm 9 vs Oak'!H89+'gm 10 vs Bal'!H89+'gm 11 at Chi'!H89+'gm 12 vs NYG'!H89+'gm 13 vs Cle'!H89+'gm 14 at Hou'!H89</f>
        <v>0</v>
      </c>
      <c r="K89">
        <v>1</v>
      </c>
      <c r="L89">
        <v>5</v>
      </c>
      <c r="M89" s="12">
        <f aca="true" t="shared" si="5" ref="M89:M98">+L89/K89</f>
        <v>5</v>
      </c>
      <c r="N89">
        <v>5</v>
      </c>
      <c r="P89" s="19">
        <f aca="true" t="shared" si="6" ref="P89:P98">+C89/$B$2*14</f>
        <v>1</v>
      </c>
      <c r="Q89" s="19">
        <f aca="true" t="shared" si="7" ref="Q89:Q98">+D89/$B$2*14</f>
        <v>12</v>
      </c>
      <c r="R89" s="19"/>
    </row>
    <row r="90" spans="1:18" ht="12">
      <c r="A90" t="s">
        <v>112</v>
      </c>
      <c r="B90" t="s">
        <v>149</v>
      </c>
      <c r="C90">
        <f>+'gm 1 at NE'!C90+'gm 2 vs Pit'!C90+'gm 3 at Cle'!C90+'gm 4 vs Den'!C90+'gm 5 at KC'!C90+'gm 6 at LA'!C90+'gm 7 vs Hou'!C90+'gm 8 at Pit'!C90+'gm 9 vs Oak'!C90+'gm 10 vs Bal'!C90+'gm 11 at Chi'!C90+'gm 12 vs NYG'!C90+'gm 13 vs Cle'!C90+'gm 14 at Hou'!C90</f>
        <v>4</v>
      </c>
      <c r="D90">
        <f>+'gm 1 at NE'!D90+'gm 2 vs Pit'!D90+'gm 3 at Cle'!D90+'gm 4 vs Den'!D90+'gm 5 at KC'!D90+'gm 6 at LA'!D90+'gm 7 vs Hou'!D90+'gm 8 at Pit'!D90+'gm 9 vs Oak'!D90+'gm 10 vs Bal'!D90+'gm 11 at Chi'!D90+'gm 12 vs NYG'!D90+'gm 13 vs Cle'!D90+'gm 14 at Hou'!D90</f>
        <v>54</v>
      </c>
      <c r="E90" s="12">
        <f t="shared" si="4"/>
        <v>13.5</v>
      </c>
      <c r="F90">
        <f>MAX('gm 1 at NE'!F90,'gm 2 vs Pit'!F90,'gm 3 at Cle'!F90,'gm 4 vs Den'!F90,'gm 5 at KC'!F90,'gm 6 at LA'!F90,'gm 7 vs Hou'!F90,'gm 9 vs Oak'!F90,'gm 10 vs Bal'!F90,'gm 11 at Chi'!F90,'gm 12 vs NYG'!F90,'gm 13 vs Cle'!F90,'gm 14 at Hou'!F90,+'gm 8 at Pit'!F90)</f>
        <v>20</v>
      </c>
      <c r="G90">
        <f>+'gm 1 at NE'!G90+'gm 2 vs Pit'!G90+'gm 3 at Cle'!G90+'gm 4 vs Den'!G90+'gm 5 at KC'!G90+'gm 6 at LA'!G90+'gm 7 vs Hou'!G90+'gm 8 at Pit'!G90+'gm 9 vs Oak'!G90+'gm 10 vs Bal'!G90+'gm 11 at Chi'!G90+'gm 12 vs NYG'!G90+'gm 13 vs Cle'!G90+'gm 14 at Hou'!G90</f>
        <v>0</v>
      </c>
      <c r="H90">
        <f>+'gm 1 at NE'!H90+'gm 2 vs Pit'!H90+'gm 3 at Cle'!H90+'gm 4 vs Den'!H90+'gm 5 at KC'!H90+'gm 6 at LA'!H90+'gm 7 vs Hou'!H90+'gm 8 at Pit'!H90+'gm 9 vs Oak'!H90+'gm 10 vs Bal'!H90+'gm 11 at Chi'!H90+'gm 12 vs NYG'!H90+'gm 13 vs Cle'!H90+'gm 14 at Hou'!H90</f>
        <v>0</v>
      </c>
      <c r="K90">
        <v>5</v>
      </c>
      <c r="L90">
        <v>48</v>
      </c>
      <c r="M90" s="12">
        <f t="shared" si="5"/>
        <v>9.6</v>
      </c>
      <c r="N90">
        <v>17</v>
      </c>
      <c r="P90" s="19">
        <f t="shared" si="6"/>
        <v>4</v>
      </c>
      <c r="Q90" s="19">
        <f t="shared" si="7"/>
        <v>54</v>
      </c>
      <c r="R90" s="19"/>
    </row>
    <row r="91" spans="1:18" ht="12">
      <c r="A91" t="s">
        <v>103</v>
      </c>
      <c r="B91" t="s">
        <v>149</v>
      </c>
      <c r="C91">
        <f>+'gm 1 at NE'!C91+'gm 2 vs Pit'!C91+'gm 3 at Cle'!C91+'gm 4 vs Den'!C91+'gm 5 at KC'!C91+'gm 6 at LA'!C91+'gm 7 vs Hou'!C91+'gm 8 at Pit'!C91+'gm 9 vs Oak'!C91+'gm 10 vs Bal'!C91+'gm 11 at Chi'!C91+'gm 12 vs NYG'!C91+'gm 13 vs Cle'!C91+'gm 14 at Hou'!C91</f>
        <v>42</v>
      </c>
      <c r="D91">
        <f>+'gm 1 at NE'!D91+'gm 2 vs Pit'!D91+'gm 3 at Cle'!D91+'gm 4 vs Den'!D91+'gm 5 at KC'!D91+'gm 6 at LA'!D91+'gm 7 vs Hou'!D91+'gm 8 at Pit'!D91+'gm 9 vs Oak'!D91+'gm 10 vs Bal'!D91+'gm 11 at Chi'!D91+'gm 12 vs NYG'!D91+'gm 13 vs Cle'!D91+'gm 14 at Hou'!D91</f>
        <v>363</v>
      </c>
      <c r="E91" s="12">
        <f t="shared" si="4"/>
        <v>8.642857142857142</v>
      </c>
      <c r="F91">
        <f>MAX('gm 1 at NE'!F91,'gm 2 vs Pit'!F91,'gm 3 at Cle'!F91,'gm 4 vs Den'!F91,'gm 5 at KC'!F91,'gm 6 at LA'!F91,'gm 7 vs Hou'!F91,'gm 9 vs Oak'!F91,'gm 10 vs Bal'!F91,'gm 11 at Chi'!F91,'gm 12 vs NYG'!F91,'gm 13 vs Cle'!F91,'gm 14 at Hou'!F91,+'gm 8 at Pit'!F91)</f>
        <v>19</v>
      </c>
      <c r="G91">
        <f>+'gm 1 at NE'!G91+'gm 2 vs Pit'!G91+'gm 3 at Cle'!G91+'gm 4 vs Den'!G91+'gm 5 at KC'!G91+'gm 6 at LA'!G91+'gm 7 vs Hou'!G91+'gm 8 at Pit'!G91+'gm 9 vs Oak'!G91+'gm 10 vs Bal'!G91+'gm 11 at Chi'!G91+'gm 12 vs NYG'!G91+'gm 13 vs Cle'!G91+'gm 14 at Hou'!G91</f>
        <v>1</v>
      </c>
      <c r="H91">
        <f>+'gm 1 at NE'!H91+'gm 2 vs Pit'!H91+'gm 3 at Cle'!H91+'gm 4 vs Den'!H91+'gm 5 at KC'!H91+'gm 6 at LA'!H91+'gm 7 vs Hou'!H91+'gm 8 at Pit'!H91+'gm 9 vs Oak'!H91+'gm 10 vs Bal'!H91+'gm 11 at Chi'!H91+'gm 12 vs NYG'!H91+'gm 13 vs Cle'!H91+'gm 14 at Hou'!H91</f>
        <v>4</v>
      </c>
      <c r="K91">
        <v>39</v>
      </c>
      <c r="L91">
        <v>348</v>
      </c>
      <c r="M91" s="12">
        <f t="shared" si="5"/>
        <v>8.923076923076923</v>
      </c>
      <c r="N91">
        <v>33</v>
      </c>
      <c r="P91" s="19">
        <f t="shared" si="6"/>
        <v>42</v>
      </c>
      <c r="Q91" s="19">
        <f t="shared" si="7"/>
        <v>363</v>
      </c>
      <c r="R91" s="19"/>
    </row>
    <row r="92" spans="1:18" ht="12">
      <c r="A92" t="s">
        <v>104</v>
      </c>
      <c r="B92" t="s">
        <v>149</v>
      </c>
      <c r="C92">
        <f>+'gm 1 at NE'!C92+'gm 2 vs Pit'!C92+'gm 3 at Cle'!C92+'gm 4 vs Den'!C92+'gm 5 at KC'!C92+'gm 6 at LA'!C92+'gm 7 vs Hou'!C92+'gm 8 at Pit'!C92+'gm 9 vs Oak'!C92+'gm 10 vs Bal'!C92+'gm 11 at Chi'!C92+'gm 12 vs NYG'!C92+'gm 13 vs Cle'!C92+'gm 14 at Hou'!C92</f>
        <v>23</v>
      </c>
      <c r="D92">
        <f>+'gm 1 at NE'!D92+'gm 2 vs Pit'!D92+'gm 3 at Cle'!D92+'gm 4 vs Den'!D92+'gm 5 at KC'!D92+'gm 6 at LA'!D92+'gm 7 vs Hou'!D92+'gm 8 at Pit'!D92+'gm 9 vs Oak'!D92+'gm 10 vs Bal'!D92+'gm 11 at Chi'!D92+'gm 12 vs NYG'!D92+'gm 13 vs Cle'!D92+'gm 14 at Hou'!D92</f>
        <v>250</v>
      </c>
      <c r="E92" s="12">
        <f t="shared" si="4"/>
        <v>10.869565217391305</v>
      </c>
      <c r="F92">
        <f>MAX('gm 1 at NE'!F92,'gm 2 vs Pit'!F92,'gm 3 at Cle'!F92,'gm 4 vs Den'!F92,'gm 5 at KC'!F92,'gm 6 at LA'!F92,'gm 7 vs Hou'!F92,'gm 9 vs Oak'!F92,'gm 10 vs Bal'!F92,'gm 11 at Chi'!F92,'gm 12 vs NYG'!F92,'gm 13 vs Cle'!F92,'gm 14 at Hou'!F92,+'gm 8 at Pit'!F92)</f>
        <v>31</v>
      </c>
      <c r="G92">
        <f>+'gm 1 at NE'!G92+'gm 2 vs Pit'!G92+'gm 3 at Cle'!G92+'gm 4 vs Den'!G92+'gm 5 at KC'!G92+'gm 6 at LA'!G92+'gm 7 vs Hou'!G92+'gm 8 at Pit'!G92+'gm 9 vs Oak'!G92+'gm 10 vs Bal'!G92+'gm 11 at Chi'!G92+'gm 12 vs NYG'!G92+'gm 13 vs Cle'!G92+'gm 14 at Hou'!G92</f>
        <v>1</v>
      </c>
      <c r="H92">
        <f>+'gm 1 at NE'!H92+'gm 2 vs Pit'!H92+'gm 3 at Cle'!H92+'gm 4 vs Den'!H92+'gm 5 at KC'!H92+'gm 6 at LA'!H92+'gm 7 vs Hou'!H92+'gm 8 at Pit'!H92+'gm 9 vs Oak'!H92+'gm 10 vs Bal'!H92+'gm 11 at Chi'!H92+'gm 12 vs NYG'!H92+'gm 13 vs Cle'!H92+'gm 14 at Hou'!H92</f>
        <v>1</v>
      </c>
      <c r="K92">
        <v>29</v>
      </c>
      <c r="L92">
        <v>420</v>
      </c>
      <c r="M92" s="12">
        <f t="shared" si="5"/>
        <v>14.482758620689655</v>
      </c>
      <c r="N92">
        <v>65</v>
      </c>
      <c r="P92" s="19">
        <f t="shared" si="6"/>
        <v>23</v>
      </c>
      <c r="Q92" s="19">
        <f t="shared" si="7"/>
        <v>250</v>
      </c>
      <c r="R92" s="19"/>
    </row>
    <row r="93" spans="1:18" ht="12">
      <c r="A93" s="2" t="s">
        <v>105</v>
      </c>
      <c r="B93" t="s">
        <v>149</v>
      </c>
      <c r="C93">
        <f>+'gm 1 at NE'!C93+'gm 2 vs Pit'!C93+'gm 3 at Cle'!C93+'gm 4 vs Den'!C93+'gm 5 at KC'!C93+'gm 6 at LA'!C93+'gm 7 vs Hou'!C93+'gm 8 at Pit'!C93+'gm 9 vs Oak'!C93+'gm 10 vs Bal'!C93+'gm 11 at Chi'!C93+'gm 12 vs NYG'!C93+'gm 13 vs Cle'!C93+'gm 14 at Hou'!C93</f>
        <v>7</v>
      </c>
      <c r="D93">
        <f>+'gm 1 at NE'!D93+'gm 2 vs Pit'!D93+'gm 3 at Cle'!D93+'gm 4 vs Den'!D93+'gm 5 at KC'!D93+'gm 6 at LA'!D93+'gm 7 vs Hou'!D93+'gm 8 at Pit'!D93+'gm 9 vs Oak'!D93+'gm 10 vs Bal'!D93+'gm 11 at Chi'!D93+'gm 12 vs NYG'!D93+'gm 13 vs Cle'!D93+'gm 14 at Hou'!D93</f>
        <v>105</v>
      </c>
      <c r="E93" s="12">
        <f t="shared" si="4"/>
        <v>15</v>
      </c>
      <c r="F93">
        <f>MAX('gm 1 at NE'!F93,'gm 2 vs Pit'!F93,'gm 3 at Cle'!F93,'gm 4 vs Den'!F93,'gm 5 at KC'!F93,'gm 6 at LA'!F93,'gm 7 vs Hou'!F93,'gm 9 vs Oak'!F93,'gm 10 vs Bal'!F93,'gm 11 at Chi'!F93,'gm 12 vs NYG'!F93,'gm 13 vs Cle'!F93,'gm 14 at Hou'!F93,+'gm 8 at Pit'!F93)</f>
        <v>30</v>
      </c>
      <c r="G93">
        <f>+'gm 1 at NE'!G93+'gm 2 vs Pit'!G93+'gm 3 at Cle'!G93+'gm 4 vs Den'!G93+'gm 5 at KC'!G93+'gm 6 at LA'!G93+'gm 7 vs Hou'!G93+'gm 8 at Pit'!G93+'gm 9 vs Oak'!G93+'gm 10 vs Bal'!G93+'gm 11 at Chi'!G93+'gm 12 vs NYG'!G93+'gm 13 vs Cle'!G93+'gm 14 at Hou'!G93</f>
        <v>0</v>
      </c>
      <c r="H93">
        <f>+'gm 1 at NE'!H93+'gm 2 vs Pit'!H93+'gm 3 at Cle'!H93+'gm 4 vs Den'!H93+'gm 5 at KC'!H93+'gm 6 at LA'!H93+'gm 7 vs Hou'!H93+'gm 8 at Pit'!H93+'gm 9 vs Oak'!H93+'gm 10 vs Bal'!H93+'gm 11 at Chi'!H93+'gm 12 vs NYG'!H93+'gm 13 vs Cle'!H93+'gm 14 at Hou'!H93</f>
        <v>0</v>
      </c>
      <c r="K93" s="2">
        <v>8</v>
      </c>
      <c r="L93" s="2">
        <v>133</v>
      </c>
      <c r="M93" s="12">
        <f t="shared" si="5"/>
        <v>16.625</v>
      </c>
      <c r="N93" s="2">
        <v>25</v>
      </c>
      <c r="P93" s="19">
        <f t="shared" si="6"/>
        <v>7</v>
      </c>
      <c r="Q93" s="19">
        <f t="shared" si="7"/>
        <v>105</v>
      </c>
      <c r="R93" s="19"/>
    </row>
    <row r="94" spans="1:18" ht="12">
      <c r="A94" t="s">
        <v>113</v>
      </c>
      <c r="B94" t="s">
        <v>149</v>
      </c>
      <c r="C94">
        <f>+'gm 1 at NE'!C94+'gm 2 vs Pit'!C94+'gm 3 at Cle'!C94+'gm 4 vs Den'!C94+'gm 5 at KC'!C94+'gm 6 at LA'!C94+'gm 7 vs Hou'!C94+'gm 8 at Pit'!C94+'gm 9 vs Oak'!C94+'gm 10 vs Bal'!C94+'gm 11 at Chi'!C94+'gm 12 vs NYG'!C94+'gm 13 vs Cle'!C94+'gm 14 at Hou'!C94</f>
        <v>54</v>
      </c>
      <c r="D94">
        <f>+'gm 1 at NE'!D94+'gm 2 vs Pit'!D94+'gm 3 at Cle'!D94+'gm 4 vs Den'!D94+'gm 5 at KC'!D94+'gm 6 at LA'!D94+'gm 7 vs Hou'!D94+'gm 8 at Pit'!D94+'gm 9 vs Oak'!D94+'gm 10 vs Bal'!D94+'gm 11 at Chi'!D94+'gm 12 vs NYG'!D94+'gm 13 vs Cle'!D94+'gm 14 at Hou'!D94</f>
        <v>695</v>
      </c>
      <c r="E94" s="12">
        <f t="shared" si="4"/>
        <v>12.87037037037037</v>
      </c>
      <c r="F94">
        <f>MAX('gm 1 at NE'!F94,'gm 2 vs Pit'!F94,'gm 3 at Cle'!F94,'gm 4 vs Den'!F94,'gm 5 at KC'!F94,'gm 6 at LA'!F94,'gm 7 vs Hou'!F94,'gm 9 vs Oak'!F94,'gm 10 vs Bal'!F94,'gm 11 at Chi'!F94,'gm 12 vs NYG'!F94,'gm 13 vs Cle'!F94,'gm 14 at Hou'!F94,+'gm 8 at Pit'!F94)</f>
        <v>37</v>
      </c>
      <c r="G94">
        <f>+'gm 1 at NE'!G94+'gm 2 vs Pit'!G94+'gm 3 at Cle'!G94+'gm 4 vs Den'!G94+'gm 5 at KC'!G94+'gm 6 at LA'!G94+'gm 7 vs Hou'!G94+'gm 8 at Pit'!G94+'gm 9 vs Oak'!G94+'gm 10 vs Bal'!G94+'gm 11 at Chi'!G94+'gm 12 vs NYG'!G94+'gm 13 vs Cle'!G94+'gm 14 at Hou'!G94</f>
        <v>7</v>
      </c>
      <c r="H94">
        <f>+'gm 1 at NE'!H94+'gm 2 vs Pit'!H94+'gm 3 at Cle'!H94+'gm 4 vs Den'!H94+'gm 5 at KC'!H94+'gm 6 at LA'!H94+'gm 7 vs Hou'!H94+'gm 8 at Pit'!H94+'gm 9 vs Oak'!H94+'gm 10 vs Bal'!H94+'gm 11 at Chi'!H94+'gm 12 vs NYG'!H94+'gm 13 vs Cle'!H94+'gm 14 at Hou'!H94</f>
        <v>0</v>
      </c>
      <c r="K94">
        <v>57</v>
      </c>
      <c r="L94">
        <v>792</v>
      </c>
      <c r="M94" s="12">
        <f t="shared" si="5"/>
        <v>13.894736842105264</v>
      </c>
      <c r="N94">
        <v>42</v>
      </c>
      <c r="P94" s="19">
        <f t="shared" si="6"/>
        <v>54</v>
      </c>
      <c r="Q94" s="19">
        <f t="shared" si="7"/>
        <v>695</v>
      </c>
      <c r="R94" s="19"/>
    </row>
    <row r="95" spans="1:18" ht="12">
      <c r="A95" t="s">
        <v>108</v>
      </c>
      <c r="B95" t="s">
        <v>149</v>
      </c>
      <c r="C95">
        <f>+'gm 1 at NE'!C95+'gm 2 vs Pit'!C95+'gm 3 at Cle'!C95+'gm 4 vs Den'!C95+'gm 5 at KC'!C95+'gm 6 at LA'!C95+'gm 7 vs Hou'!C95+'gm 8 at Pit'!C95+'gm 9 vs Oak'!C95+'gm 10 vs Bal'!C95+'gm 11 at Chi'!C95+'gm 12 vs NYG'!C95+'gm 13 vs Cle'!C95+'gm 14 at Hou'!C95</f>
        <v>10</v>
      </c>
      <c r="D95">
        <f>+'gm 1 at NE'!D95+'gm 2 vs Pit'!D95+'gm 3 at Cle'!D95+'gm 4 vs Den'!D95+'gm 5 at KC'!D95+'gm 6 at LA'!D95+'gm 7 vs Hou'!D95+'gm 8 at Pit'!D95+'gm 9 vs Oak'!D95+'gm 10 vs Bal'!D95+'gm 11 at Chi'!D95+'gm 12 vs NYG'!D95+'gm 13 vs Cle'!D95+'gm 14 at Hou'!D95</f>
        <v>66</v>
      </c>
      <c r="E95" s="12">
        <f t="shared" si="4"/>
        <v>6.6</v>
      </c>
      <c r="F95">
        <f>MAX('gm 1 at NE'!F95,'gm 2 vs Pit'!F95,'gm 3 at Cle'!F95,'gm 4 vs Den'!F95,'gm 5 at KC'!F95,'gm 6 at LA'!F95,'gm 7 vs Hou'!F95,'gm 9 vs Oak'!F95,'gm 10 vs Bal'!F95,'gm 11 at Chi'!F95,'gm 12 vs NYG'!F95,'gm 13 vs Cle'!F95,'gm 14 at Hou'!F95,+'gm 8 at Pit'!F95)</f>
        <v>13</v>
      </c>
      <c r="G95">
        <f>+'gm 1 at NE'!G95+'gm 2 vs Pit'!G95+'gm 3 at Cle'!G95+'gm 4 vs Den'!G95+'gm 5 at KC'!G95+'gm 6 at LA'!G95+'gm 7 vs Hou'!G95+'gm 8 at Pit'!G95+'gm 9 vs Oak'!G95+'gm 10 vs Bal'!G95+'gm 11 at Chi'!G95+'gm 12 vs NYG'!G95+'gm 13 vs Cle'!G95+'gm 14 at Hou'!G95</f>
        <v>0</v>
      </c>
      <c r="H95">
        <f>+'gm 1 at NE'!H95+'gm 2 vs Pit'!H95+'gm 3 at Cle'!H95+'gm 4 vs Den'!H95+'gm 5 at KC'!H95+'gm 6 at LA'!H95+'gm 7 vs Hou'!H95+'gm 8 at Pit'!H95+'gm 9 vs Oak'!H95+'gm 10 vs Bal'!H95+'gm 11 at Chi'!H95+'gm 12 vs NYG'!H95+'gm 13 vs Cle'!H95+'gm 14 at Hou'!H95</f>
        <v>0</v>
      </c>
      <c r="K95">
        <v>10</v>
      </c>
      <c r="L95">
        <v>50</v>
      </c>
      <c r="M95" s="12">
        <f t="shared" si="5"/>
        <v>5</v>
      </c>
      <c r="N95">
        <v>15</v>
      </c>
      <c r="P95" s="19">
        <f t="shared" si="6"/>
        <v>10</v>
      </c>
      <c r="Q95" s="19">
        <f t="shared" si="7"/>
        <v>66</v>
      </c>
      <c r="R95" s="19"/>
    </row>
    <row r="96" spans="1:18" ht="12">
      <c r="A96" t="s">
        <v>114</v>
      </c>
      <c r="B96" t="s">
        <v>149</v>
      </c>
      <c r="C96">
        <f>+'gm 1 at NE'!C96+'gm 2 vs Pit'!C96+'gm 3 at Cle'!C96+'gm 4 vs Den'!C96+'gm 5 at KC'!C96+'gm 6 at LA'!C96+'gm 7 vs Hou'!C96+'gm 8 at Pit'!C96+'gm 9 vs Oak'!C96+'gm 10 vs Bal'!C96+'gm 11 at Chi'!C96+'gm 12 vs NYG'!C96+'gm 13 vs Cle'!C96+'gm 14 at Hou'!C96</f>
        <v>14</v>
      </c>
      <c r="D96">
        <f>+'gm 1 at NE'!D96+'gm 2 vs Pit'!D96+'gm 3 at Cle'!D96+'gm 4 vs Den'!D96+'gm 5 at KC'!D96+'gm 6 at LA'!D96+'gm 7 vs Hou'!D96+'gm 8 at Pit'!D96+'gm 9 vs Oak'!D96+'gm 10 vs Bal'!D96+'gm 11 at Chi'!D96+'gm 12 vs NYG'!D96+'gm 13 vs Cle'!D96+'gm 14 at Hou'!D96</f>
        <v>155</v>
      </c>
      <c r="E96" s="12">
        <f t="shared" si="4"/>
        <v>11.071428571428571</v>
      </c>
      <c r="F96">
        <f>MAX('gm 1 at NE'!F96,'gm 2 vs Pit'!F96,'gm 3 at Cle'!F96,'gm 4 vs Den'!F96,'gm 5 at KC'!F96,'gm 6 at LA'!F96,'gm 7 vs Hou'!F96,'gm 9 vs Oak'!F96,'gm 10 vs Bal'!F96,'gm 11 at Chi'!F96,'gm 12 vs NYG'!F96,'gm 13 vs Cle'!F96,'gm 14 at Hou'!F96,+'gm 8 at Pit'!F96)</f>
        <v>27</v>
      </c>
      <c r="G96">
        <f>+'gm 1 at NE'!G96+'gm 2 vs Pit'!G96+'gm 3 at Cle'!G96+'gm 4 vs Den'!G96+'gm 5 at KC'!G96+'gm 6 at LA'!G96+'gm 7 vs Hou'!G96+'gm 8 at Pit'!G96+'gm 9 vs Oak'!G96+'gm 10 vs Bal'!G96+'gm 11 at Chi'!G96+'gm 12 vs NYG'!G96+'gm 13 vs Cle'!G96+'gm 14 at Hou'!G96</f>
        <v>1</v>
      </c>
      <c r="H96">
        <f>+'gm 1 at NE'!H96+'gm 2 vs Pit'!H96+'gm 3 at Cle'!H96+'gm 4 vs Den'!H96+'gm 5 at KC'!H96+'gm 6 at LA'!H96+'gm 7 vs Hou'!H96+'gm 8 at Pit'!H96+'gm 9 vs Oak'!H96+'gm 10 vs Bal'!H96+'gm 11 at Chi'!H96+'gm 12 vs NYG'!H96+'gm 13 vs Cle'!H96+'gm 14 at Hou'!H96</f>
        <v>0</v>
      </c>
      <c r="K96">
        <v>17</v>
      </c>
      <c r="L96">
        <v>171</v>
      </c>
      <c r="M96" s="12">
        <f t="shared" si="5"/>
        <v>10.058823529411764</v>
      </c>
      <c r="N96">
        <v>18</v>
      </c>
      <c r="P96" s="19">
        <f t="shared" si="6"/>
        <v>14</v>
      </c>
      <c r="Q96" s="19">
        <f t="shared" si="7"/>
        <v>155</v>
      </c>
      <c r="R96" s="19"/>
    </row>
    <row r="97" spans="1:18" ht="12">
      <c r="A97" t="s">
        <v>115</v>
      </c>
      <c r="B97" t="s">
        <v>149</v>
      </c>
      <c r="C97">
        <f>+'gm 1 at NE'!C97+'gm 2 vs Pit'!C97+'gm 3 at Cle'!C97+'gm 4 vs Den'!C97+'gm 5 at KC'!C97+'gm 6 at LA'!C97+'gm 7 vs Hou'!C97+'gm 8 at Pit'!C97+'gm 9 vs Oak'!C97+'gm 10 vs Bal'!C97+'gm 11 at Chi'!C97+'gm 12 vs NYG'!C97+'gm 13 vs Cle'!C97+'gm 14 at Hou'!C97</f>
        <v>46</v>
      </c>
      <c r="D97">
        <f>+'gm 1 at NE'!D97+'gm 2 vs Pit'!D97+'gm 3 at Cle'!D97+'gm 4 vs Den'!D97+'gm 5 at KC'!D97+'gm 6 at LA'!D97+'gm 7 vs Hou'!D97+'gm 8 at Pit'!D97+'gm 9 vs Oak'!D97+'gm 10 vs Bal'!D97+'gm 11 at Chi'!D97+'gm 12 vs NYG'!D97+'gm 13 vs Cle'!D97+'gm 14 at Hou'!D97</f>
        <v>462</v>
      </c>
      <c r="E97" s="12">
        <f t="shared" si="4"/>
        <v>10.043478260869565</v>
      </c>
      <c r="F97">
        <f>MAX('gm 1 at NE'!F97,'gm 2 vs Pit'!F97,'gm 3 at Cle'!F97,'gm 4 vs Den'!F97,'gm 5 at KC'!F97,'gm 6 at LA'!F97,'gm 7 vs Hou'!F97,'gm 9 vs Oak'!F97,'gm 10 vs Bal'!F97,'gm 11 at Chi'!F97,'gm 12 vs NYG'!F97,'gm 13 vs Cle'!F97,'gm 14 at Hou'!F97,+'gm 8 at Pit'!F97)</f>
        <v>32</v>
      </c>
      <c r="G97">
        <f>+'gm 1 at NE'!G97+'gm 2 vs Pit'!G97+'gm 3 at Cle'!G97+'gm 4 vs Den'!G97+'gm 5 at KC'!G97+'gm 6 at LA'!G97+'gm 7 vs Hou'!G97+'gm 8 at Pit'!G97+'gm 9 vs Oak'!G97+'gm 10 vs Bal'!G97+'gm 11 at Chi'!G97+'gm 12 vs NYG'!G97+'gm 13 vs Cle'!G97+'gm 14 at Hou'!G97</f>
        <v>0</v>
      </c>
      <c r="H97">
        <f>+'gm 1 at NE'!H97+'gm 2 vs Pit'!H97+'gm 3 at Cle'!H97+'gm 4 vs Den'!H97+'gm 5 at KC'!H97+'gm 6 at LA'!H97+'gm 7 vs Hou'!H97+'gm 8 at Pit'!H97+'gm 9 vs Oak'!H97+'gm 10 vs Bal'!H97+'gm 11 at Chi'!H97+'gm 12 vs NYG'!H97+'gm 13 vs Cle'!H97+'gm 14 at Hou'!H97</f>
        <v>0</v>
      </c>
      <c r="K97">
        <v>44</v>
      </c>
      <c r="L97">
        <v>500</v>
      </c>
      <c r="M97" s="12">
        <f t="shared" si="5"/>
        <v>11.363636363636363</v>
      </c>
      <c r="N97">
        <v>38</v>
      </c>
      <c r="P97" s="19">
        <f t="shared" si="6"/>
        <v>46</v>
      </c>
      <c r="Q97" s="19">
        <f t="shared" si="7"/>
        <v>462</v>
      </c>
      <c r="R97" s="19"/>
    </row>
    <row r="98" spans="1:18" ht="12">
      <c r="A98" s="2" t="s">
        <v>110</v>
      </c>
      <c r="B98" t="s">
        <v>149</v>
      </c>
      <c r="C98">
        <f>+'gm 1 at NE'!C98+'gm 2 vs Pit'!C98+'gm 3 at Cle'!C98+'gm 4 vs Den'!C98+'gm 5 at KC'!C98+'gm 6 at LA'!C98+'gm 7 vs Hou'!C98+'gm 8 at Pit'!C98+'gm 9 vs Oak'!C98+'gm 10 vs Bal'!C98+'gm 11 at Chi'!C98+'gm 12 vs NYG'!C98+'gm 13 vs Cle'!C98+'gm 14 at Hou'!C98</f>
        <v>5</v>
      </c>
      <c r="D98">
        <f>+'gm 1 at NE'!D98+'gm 2 vs Pit'!D98+'gm 3 at Cle'!D98+'gm 4 vs Den'!D98+'gm 5 at KC'!D98+'gm 6 at LA'!D98+'gm 7 vs Hou'!D98+'gm 8 at Pit'!D98+'gm 9 vs Oak'!D98+'gm 10 vs Bal'!D98+'gm 11 at Chi'!D98+'gm 12 vs NYG'!D98+'gm 13 vs Cle'!D98+'gm 14 at Hou'!D98</f>
        <v>3</v>
      </c>
      <c r="E98" s="12">
        <f t="shared" si="4"/>
        <v>0.6</v>
      </c>
      <c r="F98">
        <f>MAX('gm 1 at NE'!F98,'gm 2 vs Pit'!F98,'gm 3 at Cle'!F98,'gm 4 vs Den'!F98,'gm 5 at KC'!F98,'gm 6 at LA'!F98,'gm 7 vs Hou'!F98,'gm 9 vs Oak'!F98,'gm 10 vs Bal'!F98,'gm 11 at Chi'!F98,'gm 12 vs NYG'!F98,'gm 13 vs Cle'!F98,'gm 14 at Hou'!F98,+'gm 8 at Pit'!F98)</f>
        <v>6</v>
      </c>
      <c r="G98">
        <f>+'gm 1 at NE'!G98+'gm 2 vs Pit'!G98+'gm 3 at Cle'!G98+'gm 4 vs Den'!G98+'gm 5 at KC'!G98+'gm 6 at LA'!G98+'gm 7 vs Hou'!G98+'gm 8 at Pit'!G98+'gm 9 vs Oak'!G98+'gm 10 vs Bal'!G98+'gm 11 at Chi'!G98+'gm 12 vs NYG'!G98+'gm 13 vs Cle'!G98+'gm 14 at Hou'!G98</f>
        <v>0</v>
      </c>
      <c r="H98">
        <f>+'gm 1 at NE'!H98+'gm 2 vs Pit'!H98+'gm 3 at Cle'!H98+'gm 4 vs Den'!H98+'gm 5 at KC'!H98+'gm 6 at LA'!H98+'gm 7 vs Hou'!H98+'gm 8 at Pit'!H98+'gm 9 vs Oak'!H98+'gm 10 vs Bal'!H98+'gm 11 at Chi'!H98+'gm 12 vs NYG'!H98+'gm 13 vs Cle'!H98+'gm 14 at Hou'!H98</f>
        <v>0</v>
      </c>
      <c r="K98" s="2">
        <v>9</v>
      </c>
      <c r="L98" s="2">
        <v>46</v>
      </c>
      <c r="M98" s="12">
        <f t="shared" si="5"/>
        <v>5.111111111111111</v>
      </c>
      <c r="N98" s="2">
        <v>10</v>
      </c>
      <c r="P98" s="19">
        <f t="shared" si="6"/>
        <v>5</v>
      </c>
      <c r="Q98" s="19">
        <f t="shared" si="7"/>
        <v>3</v>
      </c>
      <c r="R98" s="19"/>
    </row>
    <row r="99" spans="3:8" ht="12">
      <c r="C99">
        <f>+'gm 1 at NE'!C99+'gm 2 vs Pit'!C99+'gm 3 at Cle'!C99+'gm 4 vs Den'!C99+'gm 5 at KC'!C99+'gm 6 at LA'!C99+'gm 7 vs Hou'!C99+'gm 8 at Pit'!C99+'gm 9 vs Oak'!C99+'gm 10 vs Bal'!C99+'gm 11 at Chi'!C99+'gm 12 vs NYG'!C99+'gm 13 vs Cle'!C99+'gm 14 at Hou'!C99</f>
        <v>0</v>
      </c>
      <c r="D99">
        <f>+'gm 1 at NE'!D99+'gm 2 vs Pit'!D99+'gm 3 at Cle'!D99+'gm 4 vs Den'!D99+'gm 5 at KC'!D99+'gm 6 at LA'!D99+'gm 7 vs Hou'!D99+'gm 8 at Pit'!D99+'gm 9 vs Oak'!D99+'gm 10 vs Bal'!D99+'gm 11 at Chi'!D99+'gm 12 vs NYG'!D99+'gm 13 vs Cle'!D99+'gm 14 at Hou'!D99</f>
        <v>0</v>
      </c>
      <c r="E99" s="12">
        <f t="shared" si="4"/>
        <v>0</v>
      </c>
      <c r="F99">
        <f>MAX('gm 1 at NE'!F99,'gm 2 vs Pit'!F99,'gm 3 at Cle'!F99,'gm 4 vs Den'!F99,'gm 5 at KC'!F99,'gm 6 at LA'!F99,'gm 7 vs Hou'!F99,'gm 9 vs Oak'!F99,'gm 10 vs Bal'!F99,'gm 11 at Chi'!F99,'gm 12 vs NYG'!F99,'gm 13 vs Cle'!F99,'gm 14 at Hou'!F99,+'gm 8 at Pit'!F99)</f>
        <v>0</v>
      </c>
      <c r="G99">
        <f>+'gm 1 at NE'!G99+'gm 2 vs Pit'!G99+'gm 3 at Cle'!G99+'gm 4 vs Den'!G99+'gm 5 at KC'!G99+'gm 6 at LA'!G99+'gm 7 vs Hou'!G99+'gm 8 at Pit'!G99+'gm 9 vs Oak'!G99+'gm 10 vs Bal'!G99+'gm 11 at Chi'!G99+'gm 12 vs NYG'!G99+'gm 13 vs Cle'!G99+'gm 14 at Hou'!G99</f>
        <v>0</v>
      </c>
      <c r="H99">
        <f>+'gm 1 at NE'!H99+'gm 2 vs Pit'!H99+'gm 3 at Cle'!H99+'gm 4 vs Den'!H99+'gm 5 at KC'!H99+'gm 6 at LA'!H99+'gm 7 vs Hou'!H99+'gm 8 at Pit'!H99+'gm 9 vs Oak'!H99+'gm 10 vs Bal'!H99+'gm 11 at Chi'!H99+'gm 12 vs NYG'!H99+'gm 13 vs Cle'!H99+'gm 14 at Hou'!H99</f>
        <v>0</v>
      </c>
    </row>
    <row r="100" spans="3:8" ht="12">
      <c r="C100">
        <f>+'gm 1 at NE'!C100+'gm 2 vs Pit'!C100+'gm 3 at Cle'!C100+'gm 4 vs Den'!C100+'gm 5 at KC'!C100+'gm 6 at LA'!C100+'gm 7 vs Hou'!C100+'gm 8 at Pit'!C100+'gm 9 vs Oak'!C100+'gm 10 vs Bal'!C100+'gm 11 at Chi'!C100+'gm 12 vs NYG'!C100+'gm 13 vs Cle'!C100+'gm 14 at Hou'!C100</f>
        <v>0</v>
      </c>
      <c r="D100">
        <f>+'gm 1 at NE'!D100+'gm 2 vs Pit'!D100+'gm 3 at Cle'!D100+'gm 4 vs Den'!D100+'gm 5 at KC'!D100+'gm 6 at LA'!D100+'gm 7 vs Hou'!D100+'gm 8 at Pit'!D100+'gm 9 vs Oak'!D100+'gm 10 vs Bal'!D100+'gm 11 at Chi'!D100+'gm 12 vs NYG'!D100+'gm 13 vs Cle'!D100+'gm 14 at Hou'!D100</f>
        <v>0</v>
      </c>
      <c r="E100" s="12">
        <f t="shared" si="4"/>
        <v>0</v>
      </c>
      <c r="F100">
        <f>MAX('gm 1 at NE'!F100,'gm 2 vs Pit'!F100,'gm 3 at Cle'!F100,'gm 4 vs Den'!F100,'gm 5 at KC'!F100,'gm 6 at LA'!F100,'gm 7 vs Hou'!F100,'gm 9 vs Oak'!F100,'gm 10 vs Bal'!F100,'gm 11 at Chi'!F100,'gm 12 vs NYG'!F100,'gm 13 vs Cle'!F100,'gm 14 at Hou'!F100,+'gm 8 at Pit'!F100)</f>
        <v>0</v>
      </c>
      <c r="G100">
        <f>+'gm 1 at NE'!G100+'gm 2 vs Pit'!G100+'gm 3 at Cle'!G100+'gm 4 vs Den'!G100+'gm 5 at KC'!G100+'gm 6 at LA'!G100+'gm 7 vs Hou'!G100+'gm 8 at Pit'!G100+'gm 9 vs Oak'!G100+'gm 10 vs Bal'!G100+'gm 11 at Chi'!G100+'gm 12 vs NYG'!G100+'gm 13 vs Cle'!G100+'gm 14 at Hou'!G100</f>
        <v>0</v>
      </c>
      <c r="H100">
        <f>+'gm 1 at NE'!H100+'gm 2 vs Pit'!H100+'gm 3 at Cle'!H100+'gm 4 vs Den'!H100+'gm 5 at KC'!H100+'gm 6 at LA'!H100+'gm 7 vs Hou'!H100+'gm 8 at Pit'!H100+'gm 9 vs Oak'!H100+'gm 10 vs Bal'!H100+'gm 11 at Chi'!H100+'gm 12 vs NYG'!H100+'gm 13 vs Cle'!H100+'gm 14 at Hou'!H100</f>
        <v>0</v>
      </c>
    </row>
    <row r="101" spans="3:8" ht="12">
      <c r="C101">
        <f>+'gm 1 at NE'!C101+'gm 2 vs Pit'!C101+'gm 3 at Cle'!C101+'gm 4 vs Den'!C101+'gm 5 at KC'!C101+'gm 6 at LA'!C101+'gm 7 vs Hou'!C101+'gm 8 at Pit'!C101+'gm 9 vs Oak'!C101+'gm 10 vs Bal'!C101+'gm 11 at Chi'!C101+'gm 12 vs NYG'!C101+'gm 13 vs Cle'!C101+'gm 14 at Hou'!C101</f>
        <v>0</v>
      </c>
      <c r="D101">
        <f>+'gm 1 at NE'!D101+'gm 2 vs Pit'!D101+'gm 3 at Cle'!D101+'gm 4 vs Den'!D101+'gm 5 at KC'!D101+'gm 6 at LA'!D101+'gm 7 vs Hou'!D101+'gm 8 at Pit'!D101+'gm 9 vs Oak'!D101+'gm 10 vs Bal'!D101+'gm 11 at Chi'!D101+'gm 12 vs NYG'!D101+'gm 13 vs Cle'!D101+'gm 14 at Hou'!D101</f>
        <v>0</v>
      </c>
      <c r="E101" s="12">
        <f t="shared" si="4"/>
        <v>0</v>
      </c>
      <c r="F101">
        <f>MAX('gm 1 at NE'!F101,'gm 2 vs Pit'!F101,'gm 3 at Cle'!F101,'gm 4 vs Den'!F101,'gm 5 at KC'!F101,'gm 6 at LA'!F101,'gm 7 vs Hou'!F101,'gm 9 vs Oak'!F101,'gm 10 vs Bal'!F101,'gm 11 at Chi'!F101,'gm 12 vs NYG'!F101,'gm 13 vs Cle'!F101,'gm 14 at Hou'!F101,+'gm 8 at Pit'!F101)</f>
        <v>0</v>
      </c>
      <c r="G101">
        <f>+'gm 1 at NE'!G101+'gm 2 vs Pit'!G101+'gm 3 at Cle'!G101+'gm 4 vs Den'!G101+'gm 5 at KC'!G101+'gm 6 at LA'!G101+'gm 7 vs Hou'!G101+'gm 8 at Pit'!G101+'gm 9 vs Oak'!G101+'gm 10 vs Bal'!G101+'gm 11 at Chi'!G101+'gm 12 vs NYG'!G101+'gm 13 vs Cle'!G101+'gm 14 at Hou'!G101</f>
        <v>0</v>
      </c>
      <c r="H101">
        <f>+'gm 1 at NE'!H101+'gm 2 vs Pit'!H101+'gm 3 at Cle'!H101+'gm 4 vs Den'!H101+'gm 5 at KC'!H101+'gm 6 at LA'!H101+'gm 7 vs Hou'!H101+'gm 8 at Pit'!H101+'gm 9 vs Oak'!H101+'gm 10 vs Bal'!H101+'gm 11 at Chi'!H101+'gm 12 vs NYG'!H101+'gm 13 vs Cle'!H101+'gm 14 at Hou'!H101</f>
        <v>0</v>
      </c>
    </row>
    <row r="102" spans="3:8" ht="12">
      <c r="C102">
        <f>+'gm 1 at NE'!C102+'gm 2 vs Pit'!C102+'gm 3 at Cle'!C102+'gm 4 vs Den'!C102+'gm 5 at KC'!C102+'gm 6 at LA'!C102+'gm 7 vs Hou'!C102+'gm 8 at Pit'!C102+'gm 9 vs Oak'!C102+'gm 10 vs Bal'!C102+'gm 11 at Chi'!C102+'gm 12 vs NYG'!C102+'gm 13 vs Cle'!C102+'gm 14 at Hou'!C102</f>
        <v>0</v>
      </c>
      <c r="D102">
        <f>+'gm 1 at NE'!D102+'gm 2 vs Pit'!D102+'gm 3 at Cle'!D102+'gm 4 vs Den'!D102+'gm 5 at KC'!D102+'gm 6 at LA'!D102+'gm 7 vs Hou'!D102+'gm 8 at Pit'!D102+'gm 9 vs Oak'!D102+'gm 10 vs Bal'!D102+'gm 11 at Chi'!D102+'gm 12 vs NYG'!D102+'gm 13 vs Cle'!D102+'gm 14 at Hou'!D102</f>
        <v>0</v>
      </c>
      <c r="E102" s="12">
        <f t="shared" si="4"/>
        <v>0</v>
      </c>
      <c r="F102">
        <f>MAX('gm 1 at NE'!F102,'gm 2 vs Pit'!F102,'gm 3 at Cle'!F102,'gm 4 vs Den'!F102,'gm 5 at KC'!F102,'gm 6 at LA'!F102,'gm 7 vs Hou'!F102,'gm 9 vs Oak'!F102,'gm 10 vs Bal'!F102,'gm 11 at Chi'!F102,'gm 12 vs NYG'!F102,'gm 13 vs Cle'!F102,'gm 14 at Hou'!F102,+'gm 8 at Pit'!F102)</f>
        <v>0</v>
      </c>
      <c r="G102">
        <f>+'gm 1 at NE'!G102+'gm 2 vs Pit'!G102+'gm 3 at Cle'!G102+'gm 4 vs Den'!G102+'gm 5 at KC'!G102+'gm 6 at LA'!G102+'gm 7 vs Hou'!G102+'gm 8 at Pit'!G102+'gm 9 vs Oak'!G102+'gm 10 vs Bal'!G102+'gm 11 at Chi'!G102+'gm 12 vs NYG'!G102+'gm 13 vs Cle'!G102+'gm 14 at Hou'!G102</f>
        <v>0</v>
      </c>
      <c r="H102">
        <f>+'gm 1 at NE'!H102+'gm 2 vs Pit'!H102+'gm 3 at Cle'!H102+'gm 4 vs Den'!H102+'gm 5 at KC'!H102+'gm 6 at LA'!H102+'gm 7 vs Hou'!H102+'gm 8 at Pit'!H102+'gm 9 vs Oak'!H102+'gm 10 vs Bal'!H102+'gm 11 at Chi'!H102+'gm 12 vs NYG'!H102+'gm 13 vs Cle'!H102+'gm 14 at Hou'!H102</f>
        <v>0</v>
      </c>
    </row>
    <row r="103" ht="12">
      <c r="E103" s="8"/>
    </row>
    <row r="104" spans="1:18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  <c r="Q104" s="3" t="s">
        <v>158</v>
      </c>
      <c r="R104" s="3"/>
    </row>
    <row r="105" spans="1:18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  <c r="P105" s="3" t="s">
        <v>159</v>
      </c>
      <c r="Q105" s="3" t="s">
        <v>61</v>
      </c>
      <c r="R105" s="3"/>
    </row>
    <row r="106" spans="1:26" ht="12">
      <c r="A106" t="s">
        <v>100</v>
      </c>
      <c r="B106" t="s">
        <v>149</v>
      </c>
      <c r="C106">
        <f>+'gm 1 at NE'!C106+'gm 2 vs Pit'!C106+'gm 3 at Cle'!C106+'gm 4 vs Den'!C106+'gm 5 at KC'!C106+'gm 6 at LA'!C106+'gm 7 vs Hou'!C106+'gm 8 at Pit'!C106+'gm 9 vs Oak'!C106+'gm 10 vs Bal'!C106+'gm 11 at Chi'!C106+'gm 12 vs NYG'!C106+'gm 13 vs Cle'!C106+'gm 14 at Hou'!C106</f>
        <v>298</v>
      </c>
      <c r="D106">
        <f>+'gm 1 at NE'!D106+'gm 2 vs Pit'!D106+'gm 3 at Cle'!D106+'gm 4 vs Den'!D106+'gm 5 at KC'!D106+'gm 6 at LA'!D106+'gm 7 vs Hou'!D106+'gm 8 at Pit'!D106+'gm 9 vs Oak'!D106+'gm 10 vs Bal'!D106+'gm 11 at Chi'!D106+'gm 12 vs NYG'!D106+'gm 13 vs Cle'!D106+'gm 14 at Hou'!D106</f>
        <v>156</v>
      </c>
      <c r="E106" s="12">
        <f>IF(C106=0,0,+D106/C106*100)</f>
        <v>52.348993288590606</v>
      </c>
      <c r="F106">
        <f>+'gm 1 at NE'!F106+'gm 2 vs Pit'!F106+'gm 3 at Cle'!F106+'gm 4 vs Den'!F106+'gm 5 at KC'!F106+'gm 6 at LA'!F106+'gm 7 vs Hou'!F106+'gm 8 at Pit'!F106+'gm 9 vs Oak'!F106+'gm 10 vs Bal'!F106+'gm 11 at Chi'!F106+'gm 12 vs NYG'!F106+'gm 13 vs Cle'!F106+'gm 14 at Hou'!F106</f>
        <v>1607</v>
      </c>
      <c r="G106">
        <f>+'gm 1 at NE'!G106+'gm 2 vs Pit'!G106+'gm 3 at Cle'!G106+'gm 4 vs Den'!G106+'gm 5 at KC'!G106+'gm 6 at LA'!G106+'gm 7 vs Hou'!G106+'gm 8 at Pit'!G106+'gm 9 vs Oak'!G106+'gm 10 vs Bal'!G106+'gm 11 at Chi'!G106+'gm 12 vs NYG'!G106+'gm 13 vs Cle'!G106+'gm 14 at Hou'!G106</f>
        <v>7</v>
      </c>
      <c r="H106">
        <f>MAX('gm 1 at NE'!H106,'gm 2 vs Pit'!H106,'gm 3 at Cle'!H106,'gm 4 vs Den'!H106,'gm 5 at KC'!H106,'gm 6 at LA'!H106,'gm 7 vs Hou'!H106,'gm 9 vs Oak'!H106,'gm 10 vs Bal'!H106,'gm 11 at Chi'!H106,'gm 12 vs NYG'!H106,'gm 13 vs Cle'!H106,'gm 14 at Hou'!H106,+'gm 8 at Pit'!H106)</f>
        <v>37</v>
      </c>
      <c r="I106">
        <f>+'gm 1 at NE'!I106+'gm 2 vs Pit'!I106+'gm 3 at Cle'!I106+'gm 4 vs Den'!I106+'gm 5 at KC'!I106+'gm 6 at LA'!I106+'gm 7 vs Hou'!I106+'gm 8 at Pit'!I106+'gm 9 vs Oak'!I106+'gm 10 vs Bal'!I106+'gm 11 at Chi'!I106+'gm 12 vs NYG'!I106+'gm 13 vs Cle'!I106+'gm 14 at Hou'!I106</f>
        <v>11</v>
      </c>
      <c r="J106" s="8">
        <f>IF($C106=0,0,+G106/C106*100)</f>
        <v>2.348993288590604</v>
      </c>
      <c r="K106" s="12">
        <f>IF(C106=0,0,+I106/C106*100)</f>
        <v>3.691275167785235</v>
      </c>
      <c r="L106" s="12">
        <f>IF(C106=0,0,+F106/C106)</f>
        <v>5.39261744966443</v>
      </c>
      <c r="M106" s="12">
        <f>IF(C106=0,0,100*(T106+V106+X106+Z106)/6)</f>
        <v>60.62639821029082</v>
      </c>
      <c r="N106">
        <f>+'gm 1 at NE'!N106+'gm 2 vs Pit'!N106+'gm 3 at Cle'!N106+'gm 4 vs Den'!N106+'gm 5 at KC'!N106+'gm 6 at LA'!N106+'gm 7 vs Hou'!N106+'gm 8 at Pit'!N106+'gm 9 vs Oak'!N106+'gm 10 vs Bal'!N106+'gm 11 at Chi'!N106+'gm 12 vs NYG'!N106+'gm 13 vs Cle'!N106+'gm 14 at Hou'!N106</f>
        <v>4</v>
      </c>
      <c r="O106">
        <f>+'gm 1 at NE'!O106+'gm 2 vs Pit'!O106+'gm 3 at Cle'!O106+'gm 4 vs Den'!O106+'gm 5 at KC'!O106+'gm 6 at LA'!O106+'gm 7 vs Hou'!O106+'gm 8 at Pit'!O106+'gm 9 vs Oak'!O106+'gm 10 vs Bal'!O106+'gm 11 at Chi'!O106+'gm 12 vs NYG'!O106+'gm 13 vs Cle'!O106+'gm 14 at Hou'!O106</f>
        <v>17</v>
      </c>
      <c r="P106" s="15">
        <f>IF(D106=0,0,F106/D106)</f>
        <v>10.301282051282051</v>
      </c>
      <c r="Q106" s="15">
        <f>IF(C106=0,0,O106/(C106+O106))*100</f>
        <v>5.396825396825397</v>
      </c>
      <c r="R106" s="15"/>
      <c r="S106">
        <f>+(E106-30)/20</f>
        <v>1.1174496644295302</v>
      </c>
      <c r="T106" s="2">
        <f>IF(S106&lt;0,0,IF(S106&gt;2.375,2.375,S106))</f>
        <v>1.1174496644295302</v>
      </c>
      <c r="U106" s="6">
        <f>+(L106-3)/4</f>
        <v>0.5981543624161074</v>
      </c>
      <c r="V106" s="2">
        <f>IF(U106&lt;0,0,IF(U106&gt;2.375,2.375,U106))</f>
        <v>0.5981543624161074</v>
      </c>
      <c r="W106">
        <f>+J106/5</f>
        <v>0.4697986577181208</v>
      </c>
      <c r="X106" s="2">
        <f>IF(W106&lt;0,0,IF(W106&gt;2.375,2.375,W106))</f>
        <v>0.4697986577181208</v>
      </c>
      <c r="Y106">
        <f>(9.5-K106)/4</f>
        <v>1.452181208053691</v>
      </c>
      <c r="Z106" s="2">
        <f>IF(Y106&lt;0,0,Y106)</f>
        <v>1.452181208053691</v>
      </c>
    </row>
    <row r="107" spans="1:26" ht="12">
      <c r="A107" t="s">
        <v>101</v>
      </c>
      <c r="B107" t="s">
        <v>149</v>
      </c>
      <c r="C107">
        <f>+'gm 1 at NE'!C107+'gm 2 vs Pit'!C107+'gm 3 at Cle'!C107+'gm 4 vs Den'!C107+'gm 5 at KC'!C107+'gm 6 at LA'!C107+'gm 7 vs Hou'!C107+'gm 8 at Pit'!C107+'gm 9 vs Oak'!C107+'gm 10 vs Bal'!C107+'gm 11 at Chi'!C107+'gm 12 vs NYG'!C107+'gm 13 vs Cle'!C107+'gm 14 at Hou'!C107</f>
        <v>78</v>
      </c>
      <c r="D107">
        <f>+'gm 1 at NE'!D107+'gm 2 vs Pit'!D107+'gm 3 at Cle'!D107+'gm 4 vs Den'!D107+'gm 5 at KC'!D107+'gm 6 at LA'!D107+'gm 7 vs Hou'!D107+'gm 8 at Pit'!D107+'gm 9 vs Oak'!D107+'gm 10 vs Bal'!D107+'gm 11 at Chi'!D107+'gm 12 vs NYG'!D107+'gm 13 vs Cle'!D107+'gm 14 at Hou'!D107</f>
        <v>49</v>
      </c>
      <c r="E107" s="12">
        <f>IF(C107=0,0,+D107/C107*100)</f>
        <v>62.82051282051282</v>
      </c>
      <c r="F107">
        <f>+'gm 1 at NE'!F107+'gm 2 vs Pit'!F107+'gm 3 at Cle'!F107+'gm 4 vs Den'!F107+'gm 5 at KC'!F107+'gm 6 at LA'!F107+'gm 7 vs Hou'!F107+'gm 8 at Pit'!F107+'gm 9 vs Oak'!F107+'gm 10 vs Bal'!F107+'gm 11 at Chi'!F107+'gm 12 vs NYG'!F107+'gm 13 vs Cle'!F107+'gm 14 at Hou'!F107</f>
        <v>543</v>
      </c>
      <c r="G107">
        <f>+'gm 1 at NE'!G107+'gm 2 vs Pit'!G107+'gm 3 at Cle'!G107+'gm 4 vs Den'!G107+'gm 5 at KC'!G107+'gm 6 at LA'!G107+'gm 7 vs Hou'!G107+'gm 8 at Pit'!G107+'gm 9 vs Oak'!G107+'gm 10 vs Bal'!G107+'gm 11 at Chi'!G107+'gm 12 vs NYG'!G107+'gm 13 vs Cle'!G107+'gm 14 at Hou'!G107</f>
        <v>3</v>
      </c>
      <c r="H107">
        <f>MAX('gm 1 at NE'!H107,'gm 2 vs Pit'!H107,'gm 3 at Cle'!H107,'gm 4 vs Den'!H107,'gm 5 at KC'!H107,'gm 6 at LA'!H107,'gm 7 vs Hou'!H107,'gm 9 vs Oak'!H107,'gm 10 vs Bal'!H107,'gm 11 at Chi'!H107,'gm 12 vs NYG'!H107,'gm 13 vs Cle'!H107,'gm 14 at Hou'!H107,+'gm 8 at Pit'!H107)</f>
        <v>31</v>
      </c>
      <c r="I107">
        <f>+'gm 1 at NE'!I107+'gm 2 vs Pit'!I107+'gm 3 at Cle'!I107+'gm 4 vs Den'!I107+'gm 5 at KC'!I107+'gm 6 at LA'!I107+'gm 7 vs Hou'!I107+'gm 8 at Pit'!I107+'gm 9 vs Oak'!I107+'gm 10 vs Bal'!I107+'gm 11 at Chi'!I107+'gm 12 vs NYG'!I107+'gm 13 vs Cle'!I107+'gm 14 at Hou'!I107</f>
        <v>1</v>
      </c>
      <c r="J107" s="8">
        <f>IF(C107=0,0,+G107/C107*100)</f>
        <v>3.8461538461538463</v>
      </c>
      <c r="K107" s="12">
        <f>IF(C107=0,0,+I107/C107*100)</f>
        <v>1.282051282051282</v>
      </c>
      <c r="L107" s="12">
        <f>IF(C107=0,0,+F107/C107)</f>
        <v>6.961538461538462</v>
      </c>
      <c r="M107" s="12">
        <f>IF(C107=0,0,100*(T107+V107+X107+Z107)/6)</f>
        <v>90.91880341880342</v>
      </c>
      <c r="N107">
        <f>+'gm 1 at NE'!N107+'gm 2 vs Pit'!N107+'gm 3 at Cle'!N107+'gm 4 vs Den'!N107+'gm 5 at KC'!N107+'gm 6 at LA'!N107+'gm 7 vs Hou'!N107+'gm 8 at Pit'!N107+'gm 9 vs Oak'!N107+'gm 10 vs Bal'!N107+'gm 11 at Chi'!N107+'gm 12 vs NYG'!N107+'gm 13 vs Cle'!N107+'gm 14 at Hou'!N107</f>
        <v>1</v>
      </c>
      <c r="O107">
        <f>+'gm 1 at NE'!O107+'gm 2 vs Pit'!O107+'gm 3 at Cle'!O107+'gm 4 vs Den'!O107+'gm 5 at KC'!O107+'gm 6 at LA'!O107+'gm 7 vs Hou'!O107+'gm 8 at Pit'!O107+'gm 9 vs Oak'!O107+'gm 10 vs Bal'!O107+'gm 11 at Chi'!O107+'gm 12 vs NYG'!O107+'gm 13 vs Cle'!O107+'gm 14 at Hou'!O107</f>
        <v>8</v>
      </c>
      <c r="P107" s="15">
        <f>IF(D107=0,0,F107/D107)</f>
        <v>11.081632653061224</v>
      </c>
      <c r="Q107" s="15">
        <f>IF(C107=0,0,O107/(C107+O107))*100</f>
        <v>9.30232558139535</v>
      </c>
      <c r="R107" s="15"/>
      <c r="S107">
        <f>+(E107-30)/20</f>
        <v>1.641025641025641</v>
      </c>
      <c r="T107" s="2">
        <f>IF(S107&lt;0,0,IF(S107&gt;2.375,2.375,S107))</f>
        <v>1.641025641025641</v>
      </c>
      <c r="U107" s="6">
        <f>+(L107-3)/4</f>
        <v>0.9903846153846154</v>
      </c>
      <c r="V107" s="2">
        <f>IF(U107&lt;0,0,IF(U107&gt;2.375,2.375,U107))</f>
        <v>0.9903846153846154</v>
      </c>
      <c r="W107">
        <f>+J107/5</f>
        <v>0.7692307692307693</v>
      </c>
      <c r="X107" s="2">
        <f>IF(W107&lt;0,0,IF(W107&gt;2.375,2.375,W107))</f>
        <v>0.7692307692307693</v>
      </c>
      <c r="Y107">
        <f>(9.5-K107)/4</f>
        <v>2.0544871794871797</v>
      </c>
      <c r="Z107" s="2">
        <f>IF(Y107&lt;0,0,Y107)</f>
        <v>2.0544871794871797</v>
      </c>
    </row>
    <row r="108" spans="1:26" ht="12">
      <c r="A108" t="s">
        <v>110</v>
      </c>
      <c r="B108" t="s">
        <v>149</v>
      </c>
      <c r="C108">
        <f>+'gm 1 at NE'!C108+'gm 2 vs Pit'!C108+'gm 3 at Cle'!C108+'gm 4 vs Den'!C108+'gm 5 at KC'!C108+'gm 6 at LA'!C108+'gm 7 vs Hou'!C108+'gm 8 at Pit'!C108+'gm 9 vs Oak'!C108+'gm 10 vs Bal'!C108+'gm 11 at Chi'!C108+'gm 12 vs NYG'!C108+'gm 13 vs Cle'!C108+'gm 14 at Hou'!C108</f>
        <v>1</v>
      </c>
      <c r="D108">
        <f>+'gm 1 at NE'!D108+'gm 2 vs Pit'!D108+'gm 3 at Cle'!D108+'gm 4 vs Den'!D108+'gm 5 at KC'!D108+'gm 6 at LA'!D108+'gm 7 vs Hou'!D108+'gm 8 at Pit'!D108+'gm 9 vs Oak'!D108+'gm 10 vs Bal'!D108+'gm 11 at Chi'!D108+'gm 12 vs NYG'!D108+'gm 13 vs Cle'!D108+'gm 14 at Hou'!D108</f>
        <v>1</v>
      </c>
      <c r="E108" s="12">
        <f>IF(C108=0,0,+D108/C108*100)</f>
        <v>100</v>
      </c>
      <c r="F108">
        <f>+'gm 1 at NE'!F108+'gm 2 vs Pit'!F108+'gm 3 at Cle'!F108+'gm 4 vs Den'!F108+'gm 5 at KC'!F108+'gm 6 at LA'!F108+'gm 7 vs Hou'!F108+'gm 8 at Pit'!F108+'gm 9 vs Oak'!F108+'gm 10 vs Bal'!F108+'gm 11 at Chi'!F108+'gm 12 vs NYG'!F108+'gm 13 vs Cle'!F108+'gm 14 at Hou'!F108</f>
        <v>15</v>
      </c>
      <c r="G108">
        <f>+'gm 1 at NE'!G108+'gm 2 vs Pit'!G108+'gm 3 at Cle'!G108+'gm 4 vs Den'!G108+'gm 5 at KC'!G108+'gm 6 at LA'!G108+'gm 7 vs Hou'!G108+'gm 8 at Pit'!G108+'gm 9 vs Oak'!G108+'gm 10 vs Bal'!G108+'gm 11 at Chi'!G108+'gm 12 vs NYG'!G108+'gm 13 vs Cle'!G108+'gm 14 at Hou'!G108</f>
        <v>0</v>
      </c>
      <c r="H108">
        <f>MAX('gm 1 at NE'!H108,'gm 2 vs Pit'!H108,'gm 3 at Cle'!H108,'gm 4 vs Den'!H108,'gm 5 at KC'!H108,'gm 6 at LA'!H108,'gm 7 vs Hou'!H108,'gm 9 vs Oak'!H108,'gm 10 vs Bal'!H108,'gm 11 at Chi'!H108,'gm 12 vs NYG'!H108,'gm 13 vs Cle'!H108,'gm 14 at Hou'!H108,+'gm 8 at Pit'!H108)</f>
        <v>15</v>
      </c>
      <c r="I108">
        <f>+'gm 1 at NE'!I108+'gm 2 vs Pit'!I108+'gm 3 at Cle'!I108+'gm 4 vs Den'!I108+'gm 5 at KC'!I108+'gm 6 at LA'!I108+'gm 7 vs Hou'!I108+'gm 8 at Pit'!I108+'gm 9 vs Oak'!I108+'gm 10 vs Bal'!I108+'gm 11 at Chi'!I108+'gm 12 vs NYG'!I108+'gm 13 vs Cle'!I108+'gm 14 at Hou'!I108</f>
        <v>0</v>
      </c>
      <c r="J108" s="8">
        <f>IF(C108=0,0,+G108/C108*100)</f>
        <v>0</v>
      </c>
      <c r="K108" s="12">
        <f>IF(C108=0,0,+I108/C108*100)</f>
        <v>0</v>
      </c>
      <c r="L108" s="12">
        <f>IF(C108=0,0,+F108/C108)</f>
        <v>15</v>
      </c>
      <c r="M108" s="12">
        <f>IF(C108=0,0,100*(T108+V108+X108+Z108)/6)</f>
        <v>118.75</v>
      </c>
      <c r="N108">
        <f>+'gm 1 at NE'!N108+'gm 2 vs Pit'!N108+'gm 3 at Cle'!N108+'gm 4 vs Den'!N108+'gm 5 at KC'!N108+'gm 6 at LA'!N108+'gm 7 vs Hou'!N108+'gm 8 at Pit'!N108+'gm 9 vs Oak'!N108+'gm 10 vs Bal'!N108+'gm 11 at Chi'!N108+'gm 12 vs NYG'!N108+'gm 13 vs Cle'!N108+'gm 14 at Hou'!N108</f>
        <v>0</v>
      </c>
      <c r="O108">
        <f>+'gm 1 at NE'!O108+'gm 2 vs Pit'!O108+'gm 3 at Cle'!O108+'gm 4 vs Den'!O108+'gm 5 at KC'!O108+'gm 6 at LA'!O108+'gm 7 vs Hou'!O108+'gm 8 at Pit'!O108+'gm 9 vs Oak'!O108+'gm 10 vs Bal'!O108+'gm 11 at Chi'!O108+'gm 12 vs NYG'!O108+'gm 13 vs Cle'!O108+'gm 14 at Hou'!O108</f>
        <v>0</v>
      </c>
      <c r="P108" s="15">
        <f>IF(D108=0,0,F108/D108)</f>
        <v>15</v>
      </c>
      <c r="Q108" s="15">
        <f>IF(C108=0,0,O108/(C108+O108))*100</f>
        <v>0</v>
      </c>
      <c r="R108" s="15"/>
      <c r="S108">
        <f>+(E108-30)/20</f>
        <v>3.5</v>
      </c>
      <c r="T108" s="2">
        <f>IF(S108&lt;0,0,IF(S108&gt;2.375,2.375,S108))</f>
        <v>2.375</v>
      </c>
      <c r="U108" s="6">
        <f>+(L108-3)/4</f>
        <v>3</v>
      </c>
      <c r="V108" s="2">
        <f>IF(U108&lt;0,0,IF(U108&gt;2.375,2.375,U108))</f>
        <v>2.375</v>
      </c>
      <c r="W108">
        <f>+J108/5</f>
        <v>0</v>
      </c>
      <c r="X108" s="2">
        <f>IF(W108&lt;0,0,IF(W108&gt;2.375,2.375,W108))</f>
        <v>0</v>
      </c>
      <c r="Y108">
        <f>(9.5-K108)/4</f>
        <v>2.375</v>
      </c>
      <c r="Z108" s="2">
        <f>IF(Y108&lt;0,0,Y108)</f>
        <v>2.375</v>
      </c>
    </row>
    <row r="109" spans="1:26" ht="12">
      <c r="A109" t="s">
        <v>136</v>
      </c>
      <c r="B109" t="s">
        <v>149</v>
      </c>
      <c r="C109">
        <f>+'gm 1 at NE'!C109+'gm 2 vs Pit'!C109+'gm 3 at Cle'!C109+'gm 4 vs Den'!C109+'gm 5 at KC'!C109+'gm 6 at LA'!C109+'gm 7 vs Hou'!C109+'gm 8 at Pit'!C109+'gm 9 vs Oak'!C109+'gm 10 vs Bal'!C109+'gm 11 at Chi'!C109+'gm 12 vs NYG'!C109+'gm 13 vs Cle'!C109+'gm 14 at Hou'!C109</f>
        <v>0</v>
      </c>
      <c r="D109">
        <f>+'gm 1 at NE'!D109+'gm 2 vs Pit'!D109+'gm 3 at Cle'!D109+'gm 4 vs Den'!D109+'gm 5 at KC'!D109+'gm 6 at LA'!D109+'gm 7 vs Hou'!D109+'gm 8 at Pit'!D109+'gm 9 vs Oak'!D109+'gm 10 vs Bal'!D109+'gm 11 at Chi'!D109+'gm 12 vs NYG'!D109+'gm 13 vs Cle'!D109+'gm 14 at Hou'!D109</f>
        <v>0</v>
      </c>
      <c r="E109" s="12">
        <f>IF(C109=0,0,+D109/C109*100)</f>
        <v>0</v>
      </c>
      <c r="F109">
        <f>+'gm 1 at NE'!F109+'gm 2 vs Pit'!F109+'gm 3 at Cle'!F109+'gm 4 vs Den'!F109+'gm 5 at KC'!F109+'gm 6 at LA'!F109+'gm 7 vs Hou'!F109+'gm 8 at Pit'!F109+'gm 9 vs Oak'!F109+'gm 10 vs Bal'!F109+'gm 11 at Chi'!F109+'gm 12 vs NYG'!F109+'gm 13 vs Cle'!F109+'gm 14 at Hou'!F109</f>
        <v>0</v>
      </c>
      <c r="G109">
        <f>+'gm 1 at NE'!G109+'gm 2 vs Pit'!G109+'gm 3 at Cle'!G109+'gm 4 vs Den'!G109+'gm 5 at KC'!G109+'gm 6 at LA'!G109+'gm 7 vs Hou'!G109+'gm 8 at Pit'!G109+'gm 9 vs Oak'!G109+'gm 10 vs Bal'!G109+'gm 11 at Chi'!G109+'gm 12 vs NYG'!G109+'gm 13 vs Cle'!G109+'gm 14 at Hou'!G109</f>
        <v>0</v>
      </c>
      <c r="H109">
        <f>MAX('gm 1 at NE'!H109,'gm 2 vs Pit'!H109,'gm 3 at Cle'!H109,'gm 4 vs Den'!H109,'gm 5 at KC'!H109,'gm 6 at LA'!H109,'gm 7 vs Hou'!H109,'gm 9 vs Oak'!H109,'gm 10 vs Bal'!H109,'gm 11 at Chi'!H109,'gm 12 vs NYG'!H109,'gm 13 vs Cle'!H109,'gm 14 at Hou'!H109,+'gm 8 at Pit'!H109)</f>
        <v>0</v>
      </c>
      <c r="I109">
        <f>+'gm 1 at NE'!I109+'gm 2 vs Pit'!I109+'gm 3 at Cle'!I109+'gm 4 vs Den'!I109+'gm 5 at KC'!I109+'gm 6 at LA'!I109+'gm 7 vs Hou'!I109+'gm 8 at Pit'!I109+'gm 9 vs Oak'!I109+'gm 10 vs Bal'!I109+'gm 11 at Chi'!I109+'gm 12 vs NYG'!I109+'gm 13 vs Cle'!I109+'gm 14 at Hou'!I109</f>
        <v>0</v>
      </c>
      <c r="J109" s="8">
        <f>IF(C109=0,0,+G109/C109*100)</f>
        <v>0</v>
      </c>
      <c r="K109" s="12">
        <f>IF(C109=0,0,+I109/C109*100)</f>
        <v>0</v>
      </c>
      <c r="L109" s="12">
        <f>IF(C109=0,0,+F109/C109)</f>
        <v>0</v>
      </c>
      <c r="M109" s="12">
        <f>IF(C109=0,0,100*(T109+V109+X109+Z109)/6)</f>
        <v>0</v>
      </c>
      <c r="N109">
        <f>+'gm 1 at NE'!N109+'gm 2 vs Pit'!N109+'gm 3 at Cle'!N109+'gm 4 vs Den'!N109+'gm 5 at KC'!N109+'gm 6 at LA'!N109+'gm 7 vs Hou'!N109+'gm 8 at Pit'!N109+'gm 9 vs Oak'!N109+'gm 10 vs Bal'!N109+'gm 11 at Chi'!N109+'gm 12 vs NYG'!N109+'gm 13 vs Cle'!N109+'gm 14 at Hou'!N109</f>
        <v>0</v>
      </c>
      <c r="O109">
        <f>+'gm 1 at NE'!O109+'gm 2 vs Pit'!O109+'gm 3 at Cle'!O109+'gm 4 vs Den'!O109+'gm 5 at KC'!O109+'gm 6 at LA'!O109+'gm 7 vs Hou'!O109+'gm 8 at Pit'!O109+'gm 9 vs Oak'!O109+'gm 10 vs Bal'!O109+'gm 11 at Chi'!O109+'gm 12 vs NYG'!O109+'gm 13 vs Cle'!O109+'gm 14 at Hou'!O109</f>
        <v>1</v>
      </c>
      <c r="P109" s="15">
        <f>IF(D109=0,0,F109/D109)</f>
        <v>0</v>
      </c>
      <c r="Q109" s="15">
        <f>O109/(C109+O109)*100</f>
        <v>100</v>
      </c>
      <c r="R109" s="15"/>
      <c r="S109">
        <f>+(E109-30)/20</f>
        <v>-1.5</v>
      </c>
      <c r="T109" s="2">
        <f>IF(S109&lt;0,0,IF(S109&gt;2.375,2.375,S109))</f>
        <v>0</v>
      </c>
      <c r="U109" s="6">
        <f>+(L109-3)/4</f>
        <v>-0.75</v>
      </c>
      <c r="V109" s="2">
        <f>IF(U109&lt;0,0,IF(U109&gt;2.375,2.375,U109))</f>
        <v>0</v>
      </c>
      <c r="W109">
        <f>+J109/5</f>
        <v>0</v>
      </c>
      <c r="X109" s="2">
        <f>IF(W109&lt;0,0,IF(W109&gt;2.375,2.375,W109))</f>
        <v>0</v>
      </c>
      <c r="Y109">
        <f>(9.5-K109)/4</f>
        <v>2.375</v>
      </c>
      <c r="Z109" s="2">
        <f>IF(Y109&lt;0,0,Y109)</f>
        <v>2.375</v>
      </c>
    </row>
    <row r="110" spans="5:26" ht="12">
      <c r="E110" s="12"/>
      <c r="J110" s="8"/>
      <c r="K110" s="12"/>
      <c r="L110" s="12"/>
      <c r="M110" s="12"/>
      <c r="P110" s="15"/>
      <c r="Q110" s="15"/>
      <c r="R110" s="15"/>
      <c r="T110" s="2"/>
      <c r="U110" s="6"/>
      <c r="V110" s="2"/>
      <c r="X110" s="2"/>
      <c r="Z110" s="2"/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">
      <c r="A113" t="s">
        <v>116</v>
      </c>
      <c r="B113" t="s">
        <v>149</v>
      </c>
      <c r="C113">
        <f>+'gm 1 at NE'!C113+'gm 2 vs Pit'!C113+'gm 3 at Cle'!C113+'gm 4 vs Den'!C113+'gm 5 at KC'!C113+'gm 6 at LA'!C113+'gm 7 vs Hou'!C113+'gm 8 at Pit'!C113+'gm 9 vs Oak'!C113+'gm 10 vs Bal'!C113+'gm 11 at Chi'!C113+'gm 12 vs NYG'!C113+'gm 13 vs Cle'!C113+'gm 14 at Hou'!C113</f>
        <v>32</v>
      </c>
      <c r="D113">
        <f>+'gm 1 at NE'!D113+'gm 2 vs Pit'!D113+'gm 3 at Cle'!D113+'gm 4 vs Den'!D113+'gm 5 at KC'!D113+'gm 6 at LA'!D113+'gm 7 vs Hou'!D113+'gm 8 at Pit'!D113+'gm 9 vs Oak'!D113+'gm 10 vs Bal'!D113+'gm 11 at Chi'!D113+'gm 12 vs NYG'!D113+'gm 13 vs Cle'!D113+'gm 14 at Hou'!D113</f>
        <v>19</v>
      </c>
      <c r="E113">
        <f>+'gm 1 at NE'!E113+'gm 2 vs Pit'!E113+'gm 3 at Cle'!E113+'gm 4 vs Den'!E113+'gm 5 at KC'!E113+'gm 6 at LA'!E113+'gm 7 vs Hou'!E113+'gm 8 at Pit'!E113+'gm 9 vs Oak'!E113+'gm 10 vs Bal'!E113+'gm 11 at Chi'!E113+'gm 12 vs NYG'!E113+'gm 13 vs Cle'!E113+'gm 14 at Hou'!E113</f>
        <v>309</v>
      </c>
      <c r="F113" s="12">
        <f aca="true" t="shared" si="8" ref="F113:F118">IF(C113=0,0,+E113/C113)</f>
        <v>9.65625</v>
      </c>
      <c r="G113">
        <f>MAX('gm 1 at NE'!G113,'gm 2 vs Pit'!G113,'gm 3 at Cle'!G113,'gm 4 vs Den'!G113,'gm 5 at KC'!G113,'gm 6 at LA'!G113,'gm 7 vs Hou'!G113,'gm 9 vs Oak'!G113,'gm 10 vs Bal'!G113,'gm 11 at Chi'!G113,'gm 12 vs NYG'!G113,'gm 13 vs Cle'!G113,'gm 14 at Hou'!G113,+'gm 8 at Pit'!G113)</f>
        <v>38</v>
      </c>
      <c r="H113">
        <f>+'gm 1 at NE'!H113+'gm 2 vs Pit'!H113+'gm 3 at Cle'!H113+'gm 4 vs Den'!H113+'gm 5 at KC'!H113+'gm 6 at LA'!H113+'gm 7 vs Hou'!H113+'gm 8 at Pit'!H113+'gm 9 vs Oak'!H113+'gm 10 vs Bal'!H113+'gm 11 at Chi'!H113+'gm 12 vs NYG'!H113+'gm 13 vs Cle'!H113+'gm 14 at Hou'!H113</f>
        <v>0</v>
      </c>
      <c r="I113">
        <f>+'gm 1 at NE'!I113+'gm 2 vs Pit'!I113+'gm 3 at Cle'!I113+'gm 4 vs Den'!I113+'gm 5 at KC'!I113+'gm 6 at LA'!I113+'gm 7 vs Hou'!I113+'gm 8 at Pit'!I113+'gm 9 vs Oak'!I113+'gm 10 vs Bal'!I113+'gm 11 at Chi'!I113+'gm 12 vs NYG'!I113+'gm 13 vs Cle'!I113+'gm 14 at Hou'!I113</f>
        <v>0</v>
      </c>
    </row>
    <row r="114" spans="1:9" ht="12">
      <c r="A114" t="s">
        <v>104</v>
      </c>
      <c r="B114" t="s">
        <v>149</v>
      </c>
      <c r="C114">
        <f>+'gm 1 at NE'!C114+'gm 2 vs Pit'!C114+'gm 3 at Cle'!C114+'gm 4 vs Den'!C114+'gm 5 at KC'!C114+'gm 6 at LA'!C114+'gm 7 vs Hou'!C114+'gm 8 at Pit'!C114+'gm 9 vs Oak'!C114+'gm 10 vs Bal'!C114+'gm 11 at Chi'!C114+'gm 12 vs NYG'!C114+'gm 13 vs Cle'!C114+'gm 14 at Hou'!C114</f>
        <v>1</v>
      </c>
      <c r="D114">
        <f>+'gm 1 at NE'!D114+'gm 2 vs Pit'!D114+'gm 3 at Cle'!D114+'gm 4 vs Den'!D114+'gm 5 at KC'!D114+'gm 6 at LA'!D114+'gm 7 vs Hou'!D114+'gm 8 at Pit'!D114+'gm 9 vs Oak'!D114+'gm 10 vs Bal'!D114+'gm 11 at Chi'!D114+'gm 12 vs NYG'!D114+'gm 13 vs Cle'!D114+'gm 14 at Hou'!D114</f>
        <v>0</v>
      </c>
      <c r="E114">
        <f>+'gm 1 at NE'!E114+'gm 2 vs Pit'!E114+'gm 3 at Cle'!E114+'gm 4 vs Den'!E114+'gm 5 at KC'!E114+'gm 6 at LA'!E114+'gm 7 vs Hou'!E114+'gm 8 at Pit'!E114+'gm 9 vs Oak'!E114+'gm 10 vs Bal'!E114+'gm 11 at Chi'!E114+'gm 12 vs NYG'!E114+'gm 13 vs Cle'!E114+'gm 14 at Hou'!E114</f>
        <v>3</v>
      </c>
      <c r="F114" s="12">
        <f t="shared" si="8"/>
        <v>3</v>
      </c>
      <c r="G114">
        <f>MAX('gm 1 at NE'!G114,'gm 2 vs Pit'!G114,'gm 3 at Cle'!G114,'gm 4 vs Den'!G114,'gm 5 at KC'!G114,'gm 6 at LA'!G114,'gm 7 vs Hou'!G114,'gm 9 vs Oak'!G114,'gm 10 vs Bal'!G114,'gm 11 at Chi'!G114,'gm 12 vs NYG'!G114,'gm 13 vs Cle'!G114,'gm 14 at Hou'!G114,+'gm 8 at Pit'!G114)</f>
        <v>3</v>
      </c>
      <c r="H114">
        <f>+'gm 1 at NE'!H114+'gm 2 vs Pit'!H114+'gm 3 at Cle'!H114+'gm 4 vs Den'!H114+'gm 5 at KC'!H114+'gm 6 at LA'!H114+'gm 7 vs Hou'!H114+'gm 8 at Pit'!H114+'gm 9 vs Oak'!H114+'gm 10 vs Bal'!H114+'gm 11 at Chi'!H114+'gm 12 vs NYG'!H114+'gm 13 vs Cle'!H114+'gm 14 at Hou'!H114</f>
        <v>0</v>
      </c>
      <c r="I114">
        <f>+'gm 1 at NE'!I114+'gm 2 vs Pit'!I114+'gm 3 at Cle'!I114+'gm 4 vs Den'!I114+'gm 5 at KC'!I114+'gm 6 at LA'!I114+'gm 7 vs Hou'!I114+'gm 8 at Pit'!I114+'gm 9 vs Oak'!I114+'gm 10 vs Bal'!I114+'gm 11 at Chi'!I114+'gm 12 vs NYG'!I114+'gm 13 vs Cle'!I114+'gm 14 at Hou'!I114</f>
        <v>0</v>
      </c>
    </row>
    <row r="115" spans="1:9" ht="12">
      <c r="A115" t="s">
        <v>117</v>
      </c>
      <c r="B115" t="s">
        <v>149</v>
      </c>
      <c r="C115">
        <f>+'gm 1 at NE'!C115+'gm 2 vs Pit'!C115+'gm 3 at Cle'!C115+'gm 4 vs Den'!C115+'gm 5 at KC'!C115+'gm 6 at LA'!C115+'gm 7 vs Hou'!C115+'gm 8 at Pit'!C115+'gm 9 vs Oak'!C115+'gm 10 vs Bal'!C115+'gm 11 at Chi'!C115+'gm 12 vs NYG'!C115+'gm 13 vs Cle'!C115+'gm 14 at Hou'!C115</f>
        <v>21</v>
      </c>
      <c r="D115">
        <f>+'gm 1 at NE'!D115+'gm 2 vs Pit'!D115+'gm 3 at Cle'!D115+'gm 4 vs Den'!D115+'gm 5 at KC'!D115+'gm 6 at LA'!D115+'gm 7 vs Hou'!D115+'gm 8 at Pit'!D115+'gm 9 vs Oak'!D115+'gm 10 vs Bal'!D115+'gm 11 at Chi'!D115+'gm 12 vs NYG'!D115+'gm 13 vs Cle'!D115+'gm 14 at Hou'!D115</f>
        <v>3</v>
      </c>
      <c r="E115">
        <f>+'gm 1 at NE'!E115+'gm 2 vs Pit'!E115+'gm 3 at Cle'!E115+'gm 4 vs Den'!E115+'gm 5 at KC'!E115+'gm 6 at LA'!E115+'gm 7 vs Hou'!E115+'gm 8 at Pit'!E115+'gm 9 vs Oak'!E115+'gm 10 vs Bal'!E115+'gm 11 at Chi'!E115+'gm 12 vs NYG'!E115+'gm 13 vs Cle'!E115+'gm 14 at Hou'!E115</f>
        <v>311</v>
      </c>
      <c r="F115" s="12">
        <f t="shared" si="8"/>
        <v>14.80952380952381</v>
      </c>
      <c r="G115">
        <f>MAX('gm 1 at NE'!G115,'gm 2 vs Pit'!G115,'gm 3 at Cle'!G115,'gm 4 vs Den'!G115,'gm 5 at KC'!G115,'gm 6 at LA'!G115,'gm 7 vs Hou'!G115,'gm 9 vs Oak'!G115,'gm 10 vs Bal'!G115,'gm 11 at Chi'!G115,'gm 12 vs NYG'!G115,'gm 13 vs Cle'!G115,'gm 14 at Hou'!G115,+'gm 8 at Pit'!G115)</f>
        <v>82</v>
      </c>
      <c r="H115">
        <f>+'gm 1 at NE'!H115+'gm 2 vs Pit'!H115+'gm 3 at Cle'!H115+'gm 4 vs Den'!H115+'gm 5 at KC'!H115+'gm 6 at LA'!H115+'gm 7 vs Hou'!H115+'gm 8 at Pit'!H115+'gm 9 vs Oak'!H115+'gm 10 vs Bal'!H115+'gm 11 at Chi'!H115+'gm 12 vs NYG'!H115+'gm 13 vs Cle'!H115+'gm 14 at Hou'!H115</f>
        <v>2</v>
      </c>
      <c r="I115">
        <f>+'gm 1 at NE'!I115+'gm 2 vs Pit'!I115+'gm 3 at Cle'!I115+'gm 4 vs Den'!I115+'gm 5 at KC'!I115+'gm 6 at LA'!I115+'gm 7 vs Hou'!I115+'gm 8 at Pit'!I115+'gm 9 vs Oak'!I115+'gm 10 vs Bal'!I115+'gm 11 at Chi'!I115+'gm 12 vs NYG'!I115+'gm 13 vs Cle'!I115+'gm 14 at Hou'!I115</f>
        <v>2</v>
      </c>
    </row>
    <row r="116" spans="3:9" ht="12">
      <c r="C116">
        <f>+'gm 1 at NE'!C116+'gm 2 vs Pit'!C116+'gm 3 at Cle'!C116+'gm 4 vs Den'!C116+'gm 5 at KC'!C116+'gm 6 at LA'!C116+'gm 7 vs Hou'!C116+'gm 8 at Pit'!C116+'gm 9 vs Oak'!C116+'gm 10 vs Bal'!C116+'gm 11 at Chi'!C116+'gm 12 vs NYG'!C116+'gm 13 vs Cle'!C116+'gm 14 at Hou'!C116</f>
        <v>0</v>
      </c>
      <c r="D116">
        <f>+'gm 1 at NE'!D116+'gm 2 vs Pit'!D116+'gm 3 at Cle'!D116+'gm 4 vs Den'!D116+'gm 5 at KC'!D116+'gm 6 at LA'!D116+'gm 7 vs Hou'!D116+'gm 8 at Pit'!D116+'gm 9 vs Oak'!D116+'gm 10 vs Bal'!D116+'gm 11 at Chi'!D116+'gm 12 vs NYG'!D116+'gm 13 vs Cle'!D116+'gm 14 at Hou'!D116</f>
        <v>0</v>
      </c>
      <c r="E116">
        <f>+'gm 1 at NE'!E116+'gm 2 vs Pit'!E116+'gm 3 at Cle'!E116+'gm 4 vs Den'!E116+'gm 5 at KC'!E116+'gm 6 at LA'!E116+'gm 7 vs Hou'!E116+'gm 8 at Pit'!E116+'gm 9 vs Oak'!E116+'gm 10 vs Bal'!E116+'gm 11 at Chi'!E116+'gm 12 vs NYG'!E116+'gm 13 vs Cle'!E116+'gm 14 at Hou'!E116</f>
        <v>0</v>
      </c>
      <c r="F116" s="12">
        <f t="shared" si="8"/>
        <v>0</v>
      </c>
      <c r="G116">
        <f>MAX('gm 1 at NE'!G116,'gm 2 vs Pit'!G116,'gm 3 at Cle'!G116,'gm 4 vs Den'!G116,'gm 5 at KC'!G116,'gm 6 at LA'!G116,'gm 7 vs Hou'!G116,'gm 9 vs Oak'!G116,'gm 10 vs Bal'!G116,'gm 11 at Chi'!G116,'gm 12 vs NYG'!G116,'gm 13 vs Cle'!G116,'gm 14 at Hou'!G116,+'gm 8 at Pit'!G116)</f>
        <v>0</v>
      </c>
      <c r="H116">
        <f>+'gm 1 at NE'!H116+'gm 2 vs Pit'!H116+'gm 3 at Cle'!H116+'gm 4 vs Den'!H116+'gm 5 at KC'!H116+'gm 6 at LA'!H116+'gm 7 vs Hou'!H116+'gm 8 at Pit'!H116+'gm 9 vs Oak'!H116+'gm 10 vs Bal'!H116+'gm 11 at Chi'!H116+'gm 12 vs NYG'!H116+'gm 13 vs Cle'!H116+'gm 14 at Hou'!H116</f>
        <v>0</v>
      </c>
      <c r="I116">
        <f>+'gm 1 at NE'!I116+'gm 2 vs Pit'!I116+'gm 3 at Cle'!I116+'gm 4 vs Den'!I116+'gm 5 at KC'!I116+'gm 6 at LA'!I116+'gm 7 vs Hou'!I116+'gm 8 at Pit'!I116+'gm 9 vs Oak'!I116+'gm 10 vs Bal'!I116+'gm 11 at Chi'!I116+'gm 12 vs NYG'!I116+'gm 13 vs Cle'!I116+'gm 14 at Hou'!I116</f>
        <v>0</v>
      </c>
    </row>
    <row r="117" spans="3:9" ht="12">
      <c r="C117">
        <f>+'gm 1 at NE'!C117+'gm 2 vs Pit'!C117+'gm 3 at Cle'!C117+'gm 4 vs Den'!C117+'gm 5 at KC'!C117+'gm 6 at LA'!C117+'gm 7 vs Hou'!C117+'gm 8 at Pit'!C117+'gm 9 vs Oak'!C117+'gm 10 vs Bal'!C117+'gm 11 at Chi'!C117+'gm 12 vs NYG'!C117+'gm 13 vs Cle'!C117+'gm 14 at Hou'!C117</f>
        <v>0</v>
      </c>
      <c r="D117">
        <f>+'gm 1 at NE'!D117+'gm 2 vs Pit'!D117+'gm 3 at Cle'!D117+'gm 4 vs Den'!D117+'gm 5 at KC'!D117+'gm 6 at LA'!D117+'gm 7 vs Hou'!D117+'gm 8 at Pit'!D117+'gm 9 vs Oak'!D117+'gm 10 vs Bal'!D117+'gm 11 at Chi'!D117+'gm 12 vs NYG'!D117+'gm 13 vs Cle'!D117+'gm 14 at Hou'!D117</f>
        <v>0</v>
      </c>
      <c r="E117">
        <f>+'gm 1 at NE'!E117+'gm 2 vs Pit'!E117+'gm 3 at Cle'!E117+'gm 4 vs Den'!E117+'gm 5 at KC'!E117+'gm 6 at LA'!E117+'gm 7 vs Hou'!E117+'gm 8 at Pit'!E117+'gm 9 vs Oak'!E117+'gm 10 vs Bal'!E117+'gm 11 at Chi'!E117+'gm 12 vs NYG'!E117+'gm 13 vs Cle'!E117+'gm 14 at Hou'!E117</f>
        <v>0</v>
      </c>
      <c r="F117" s="12">
        <f t="shared" si="8"/>
        <v>0</v>
      </c>
      <c r="G117">
        <f>MAX('gm 1 at NE'!G117,'gm 2 vs Pit'!G117,'gm 3 at Cle'!G117,'gm 4 vs Den'!G117,'gm 5 at KC'!G117,'gm 6 at LA'!G117,'gm 7 vs Hou'!G117,'gm 9 vs Oak'!G117,'gm 10 vs Bal'!G117,'gm 11 at Chi'!G117,'gm 12 vs NYG'!G117,'gm 13 vs Cle'!G117,'gm 14 at Hou'!G117,+'gm 8 at Pit'!G117)</f>
        <v>0</v>
      </c>
      <c r="H117">
        <f>+'gm 1 at NE'!H117+'gm 2 vs Pit'!H117+'gm 3 at Cle'!H117+'gm 4 vs Den'!H117+'gm 5 at KC'!H117+'gm 6 at LA'!H117+'gm 7 vs Hou'!H117+'gm 8 at Pit'!H117+'gm 9 vs Oak'!H117+'gm 10 vs Bal'!H117+'gm 11 at Chi'!H117+'gm 12 vs NYG'!H117+'gm 13 vs Cle'!H117+'gm 14 at Hou'!H117</f>
        <v>0</v>
      </c>
      <c r="I117">
        <f>+'gm 1 at NE'!I117+'gm 2 vs Pit'!I117+'gm 3 at Cle'!I117+'gm 4 vs Den'!I117+'gm 5 at KC'!I117+'gm 6 at LA'!I117+'gm 7 vs Hou'!I117+'gm 8 at Pit'!I117+'gm 9 vs Oak'!I117+'gm 10 vs Bal'!I117+'gm 11 at Chi'!I117+'gm 12 vs NYG'!I117+'gm 13 vs Cle'!I117+'gm 14 at Hou'!I117</f>
        <v>0</v>
      </c>
    </row>
    <row r="118" spans="3:9" ht="12">
      <c r="C118">
        <f>+'gm 1 at NE'!C118+'gm 2 vs Pit'!C118+'gm 3 at Cle'!C118+'gm 4 vs Den'!C118+'gm 5 at KC'!C118+'gm 6 at LA'!C118+'gm 7 vs Hou'!C118+'gm 8 at Pit'!C118+'gm 9 vs Oak'!C118+'gm 10 vs Bal'!C118+'gm 11 at Chi'!C118+'gm 12 vs NYG'!C118+'gm 13 vs Cle'!C118+'gm 14 at Hou'!C118</f>
        <v>0</v>
      </c>
      <c r="D118">
        <f>+'gm 1 at NE'!D118+'gm 2 vs Pit'!D118+'gm 3 at Cle'!D118+'gm 4 vs Den'!D118+'gm 5 at KC'!D118+'gm 6 at LA'!D118+'gm 7 vs Hou'!D118+'gm 8 at Pit'!D118+'gm 9 vs Oak'!D118+'gm 10 vs Bal'!D118+'gm 11 at Chi'!D118+'gm 12 vs NYG'!D118+'gm 13 vs Cle'!D118+'gm 14 at Hou'!D118</f>
        <v>0</v>
      </c>
      <c r="E118">
        <f>+'gm 1 at NE'!E118+'gm 2 vs Pit'!E118+'gm 3 at Cle'!E118+'gm 4 vs Den'!E118+'gm 5 at KC'!E118+'gm 6 at LA'!E118+'gm 7 vs Hou'!E118+'gm 8 at Pit'!E118+'gm 9 vs Oak'!E118+'gm 10 vs Bal'!E118+'gm 11 at Chi'!E118+'gm 12 vs NYG'!E118+'gm 13 vs Cle'!E118+'gm 14 at Hou'!E118</f>
        <v>0</v>
      </c>
      <c r="F118" s="12">
        <f t="shared" si="8"/>
        <v>0</v>
      </c>
      <c r="G118">
        <f>MAX('gm 1 at NE'!G118,'gm 2 vs Pit'!G118,'gm 3 at Cle'!G118,'gm 4 vs Den'!G118,'gm 5 at KC'!G118,'gm 6 at LA'!G118,'gm 7 vs Hou'!G118,'gm 9 vs Oak'!G118,'gm 10 vs Bal'!G118,'gm 11 at Chi'!G118,'gm 12 vs NYG'!G118,'gm 13 vs Cle'!G118,'gm 14 at Hou'!G118,+'gm 8 at Pit'!G118)</f>
        <v>0</v>
      </c>
      <c r="H118">
        <f>+'gm 1 at NE'!H118+'gm 2 vs Pit'!H118+'gm 3 at Cle'!H118+'gm 4 vs Den'!H118+'gm 5 at KC'!H118+'gm 6 at LA'!H118+'gm 7 vs Hou'!H118+'gm 8 at Pit'!H118+'gm 9 vs Oak'!H118+'gm 10 vs Bal'!H118+'gm 11 at Chi'!H118+'gm 12 vs NYG'!H118+'gm 13 vs Cle'!H118+'gm 14 at Hou'!H118</f>
        <v>0</v>
      </c>
      <c r="I118">
        <f>+'gm 1 at NE'!I118+'gm 2 vs Pit'!I118+'gm 3 at Cle'!I118+'gm 4 vs Den'!I118+'gm 5 at KC'!I118+'gm 6 at LA'!I118+'gm 7 vs Hou'!I118+'gm 8 at Pit'!I118+'gm 9 vs Oak'!I118+'gm 10 vs Bal'!I118+'gm 11 at Chi'!I118+'gm 12 vs NYG'!I118+'gm 13 vs Cle'!I118+'gm 14 at Hou'!I118</f>
        <v>0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8" ht="12">
      <c r="A123" t="s">
        <v>116</v>
      </c>
      <c r="B123" t="s">
        <v>149</v>
      </c>
      <c r="C123">
        <f>+'gm 1 at NE'!C123+'gm 2 vs Pit'!C123+'gm 3 at Cle'!C123+'gm 4 vs Den'!C123+'gm 5 at KC'!C123+'gm 6 at LA'!C123+'gm 7 vs Hou'!C123+'gm 8 at Pit'!C123+'gm 9 vs Oak'!C123+'gm 10 vs Bal'!C123+'gm 11 at Chi'!C123+'gm 12 vs NYG'!C123+'gm 13 vs Cle'!C123+'gm 14 at Hou'!C123</f>
        <v>3</v>
      </c>
      <c r="D123">
        <f>+'gm 1 at NE'!D123+'gm 2 vs Pit'!D123+'gm 3 at Cle'!D123+'gm 4 vs Den'!D123+'gm 5 at KC'!D123+'gm 6 at LA'!D123+'gm 7 vs Hou'!D123+'gm 8 at Pit'!D123+'gm 9 vs Oak'!D123+'gm 10 vs Bal'!D123+'gm 11 at Chi'!D123+'gm 12 vs NYG'!D123+'gm 13 vs Cle'!D123+'gm 14 at Hou'!D123</f>
        <v>82</v>
      </c>
      <c r="E123" s="12">
        <f aca="true" t="shared" si="9" ref="E123:E130">IF(C123=0,0,+D123/C123)</f>
        <v>27.333333333333332</v>
      </c>
      <c r="F123">
        <f>MAX('gm 1 at NE'!F123,'gm 2 vs Pit'!F123,'gm 3 at Cle'!F123,'gm 4 vs Den'!F123,'gm 5 at KC'!F123,'gm 6 at LA'!F123,'gm 7 vs Hou'!F123,'gm 9 vs Oak'!F123,'gm 10 vs Bal'!F123,'gm 11 at Chi'!F123,'gm 12 vs NYG'!F123,'gm 13 vs Cle'!F123,'gm 14 at Hou'!F123,+'gm 8 at Pit'!F123)</f>
        <v>31</v>
      </c>
      <c r="G123">
        <f>+'gm 1 at NE'!G123+'gm 2 vs Pit'!G123+'gm 3 at Cle'!G123+'gm 4 vs Den'!G123+'gm 5 at KC'!G123+'gm 6 at LA'!G123+'gm 7 vs Hou'!G123+'gm 8 at Pit'!G123+'gm 9 vs Oak'!G123+'gm 10 vs Bal'!G123+'gm 11 at Chi'!G123+'gm 12 vs NYG'!G123+'gm 13 vs Cle'!G123+'gm 14 at Hou'!G123</f>
        <v>0</v>
      </c>
      <c r="H123">
        <f>+'gm 1 at NE'!H123+'gm 2 vs Pit'!H123+'gm 3 at Cle'!H123+'gm 4 vs Den'!H123+'gm 5 at KC'!H123+'gm 6 at LA'!H123+'gm 7 vs Hou'!H123+'gm 8 at Pit'!H123+'gm 9 vs Oak'!H123+'gm 10 vs Bal'!H123+'gm 11 at Chi'!H123+'gm 12 vs NYG'!H123+'gm 13 vs Cle'!H123+'gm 14 at Hou'!H123</f>
        <v>0</v>
      </c>
    </row>
    <row r="124" spans="1:8" ht="12">
      <c r="A124" t="s">
        <v>118</v>
      </c>
      <c r="B124" t="s">
        <v>149</v>
      </c>
      <c r="C124">
        <f>+'gm 1 at NE'!C124+'gm 2 vs Pit'!C124+'gm 3 at Cle'!C124+'gm 4 vs Den'!C124+'gm 5 at KC'!C124+'gm 6 at LA'!C124+'gm 7 vs Hou'!C124+'gm 8 at Pit'!C124+'gm 9 vs Oak'!C124+'gm 10 vs Bal'!C124+'gm 11 at Chi'!C124+'gm 12 vs NYG'!C124+'gm 13 vs Cle'!C124+'gm 14 at Hou'!C124</f>
        <v>2</v>
      </c>
      <c r="D124">
        <f>+'gm 1 at NE'!D124+'gm 2 vs Pit'!D124+'gm 3 at Cle'!D124+'gm 4 vs Den'!D124+'gm 5 at KC'!D124+'gm 6 at LA'!D124+'gm 7 vs Hou'!D124+'gm 8 at Pit'!D124+'gm 9 vs Oak'!D124+'gm 10 vs Bal'!D124+'gm 11 at Chi'!D124+'gm 12 vs NYG'!D124+'gm 13 vs Cle'!D124+'gm 14 at Hou'!D124</f>
        <v>25</v>
      </c>
      <c r="E124" s="12">
        <f t="shared" si="9"/>
        <v>12.5</v>
      </c>
      <c r="F124">
        <f>MAX('gm 1 at NE'!F124,'gm 2 vs Pit'!F124,'gm 3 at Cle'!F124,'gm 4 vs Den'!F124,'gm 5 at KC'!F124,'gm 6 at LA'!F124,'gm 7 vs Hou'!F124,'gm 9 vs Oak'!F124,'gm 10 vs Bal'!F124,'gm 11 at Chi'!F124,'gm 12 vs NYG'!F124,'gm 13 vs Cle'!F124,'gm 14 at Hou'!F124,+'gm 8 at Pit'!F124)</f>
        <v>13</v>
      </c>
      <c r="G124">
        <f>+'gm 1 at NE'!G124+'gm 2 vs Pit'!G124+'gm 3 at Cle'!G124+'gm 4 vs Den'!G124+'gm 5 at KC'!G124+'gm 6 at LA'!G124+'gm 7 vs Hou'!G124+'gm 8 at Pit'!G124+'gm 9 vs Oak'!G124+'gm 10 vs Bal'!G124+'gm 11 at Chi'!G124+'gm 12 vs NYG'!G124+'gm 13 vs Cle'!G124+'gm 14 at Hou'!G124</f>
        <v>0</v>
      </c>
      <c r="H124">
        <f>+'gm 1 at NE'!H124+'gm 2 vs Pit'!H124+'gm 3 at Cle'!H124+'gm 4 vs Den'!H124+'gm 5 at KC'!H124+'gm 6 at LA'!H124+'gm 7 vs Hou'!H124+'gm 8 at Pit'!H124+'gm 9 vs Oak'!H124+'gm 10 vs Bal'!H124+'gm 11 at Chi'!H124+'gm 12 vs NYG'!H124+'gm 13 vs Cle'!H124+'gm 14 at Hou'!H124</f>
        <v>0</v>
      </c>
    </row>
    <row r="125" spans="1:8" ht="12">
      <c r="A125" t="s">
        <v>119</v>
      </c>
      <c r="B125" t="s">
        <v>149</v>
      </c>
      <c r="C125">
        <f>+'gm 1 at NE'!C125+'gm 2 vs Pit'!C125+'gm 3 at Cle'!C125+'gm 4 vs Den'!C125+'gm 5 at KC'!C125+'gm 6 at LA'!C125+'gm 7 vs Hou'!C125+'gm 8 at Pit'!C125+'gm 9 vs Oak'!C125+'gm 10 vs Bal'!C125+'gm 11 at Chi'!C125+'gm 12 vs NYG'!C125+'gm 13 vs Cle'!C125+'gm 14 at Hou'!C125</f>
        <v>17</v>
      </c>
      <c r="D125">
        <f>+'gm 1 at NE'!D125+'gm 2 vs Pit'!D125+'gm 3 at Cle'!D125+'gm 4 vs Den'!D125+'gm 5 at KC'!D125+'gm 6 at LA'!D125+'gm 7 vs Hou'!D125+'gm 8 at Pit'!D125+'gm 9 vs Oak'!D125+'gm 10 vs Bal'!D125+'gm 11 at Chi'!D125+'gm 12 vs NYG'!D125+'gm 13 vs Cle'!D125+'gm 14 at Hou'!D125</f>
        <v>393</v>
      </c>
      <c r="E125" s="12">
        <f t="shared" si="9"/>
        <v>23.11764705882353</v>
      </c>
      <c r="F125">
        <f>MAX('gm 1 at NE'!F125,'gm 2 vs Pit'!F125,'gm 3 at Cle'!F125,'gm 4 vs Den'!F125,'gm 5 at KC'!F125,'gm 6 at LA'!F125,'gm 7 vs Hou'!F125,'gm 9 vs Oak'!F125,'gm 10 vs Bal'!F125,'gm 11 at Chi'!F125,'gm 12 vs NYG'!F125,'gm 13 vs Cle'!F125,'gm 14 at Hou'!F125,+'gm 8 at Pit'!F125)</f>
        <v>40</v>
      </c>
      <c r="G125">
        <f>+'gm 1 at NE'!G125+'gm 2 vs Pit'!G125+'gm 3 at Cle'!G125+'gm 4 vs Den'!G125+'gm 5 at KC'!G125+'gm 6 at LA'!G125+'gm 7 vs Hou'!G125+'gm 8 at Pit'!G125+'gm 9 vs Oak'!G125+'gm 10 vs Bal'!G125+'gm 11 at Chi'!G125+'gm 12 vs NYG'!G125+'gm 13 vs Cle'!G125+'gm 14 at Hou'!G125</f>
        <v>0</v>
      </c>
      <c r="H125">
        <f>+'gm 1 at NE'!H125+'gm 2 vs Pit'!H125+'gm 3 at Cle'!H125+'gm 4 vs Den'!H125+'gm 5 at KC'!H125+'gm 6 at LA'!H125+'gm 7 vs Hou'!H125+'gm 8 at Pit'!H125+'gm 9 vs Oak'!H125+'gm 10 vs Bal'!H125+'gm 11 at Chi'!H125+'gm 12 vs NYG'!H125+'gm 13 vs Cle'!H125+'gm 14 at Hou'!H125</f>
        <v>2</v>
      </c>
    </row>
    <row r="126" spans="1:8" ht="12">
      <c r="A126" t="s">
        <v>104</v>
      </c>
      <c r="B126" t="s">
        <v>149</v>
      </c>
      <c r="C126">
        <f>+'gm 1 at NE'!C126+'gm 2 vs Pit'!C126+'gm 3 at Cle'!C126+'gm 4 vs Den'!C126+'gm 5 at KC'!C126+'gm 6 at LA'!C126+'gm 7 vs Hou'!C126+'gm 8 at Pit'!C126+'gm 9 vs Oak'!C126+'gm 10 vs Bal'!C126+'gm 11 at Chi'!C126+'gm 12 vs NYG'!C126+'gm 13 vs Cle'!C126+'gm 14 at Hou'!C126</f>
        <v>2</v>
      </c>
      <c r="D126">
        <f>+'gm 1 at NE'!D126+'gm 2 vs Pit'!D126+'gm 3 at Cle'!D126+'gm 4 vs Den'!D126+'gm 5 at KC'!D126+'gm 6 at LA'!D126+'gm 7 vs Hou'!D126+'gm 8 at Pit'!D126+'gm 9 vs Oak'!D126+'gm 10 vs Bal'!D126+'gm 11 at Chi'!D126+'gm 12 vs NYG'!D126+'gm 13 vs Cle'!D126+'gm 14 at Hou'!D126</f>
        <v>26</v>
      </c>
      <c r="E126" s="12">
        <f t="shared" si="9"/>
        <v>13</v>
      </c>
      <c r="F126">
        <f>MAX('gm 1 at NE'!F126,'gm 2 vs Pit'!F126,'gm 3 at Cle'!F126,'gm 4 vs Den'!F126,'gm 5 at KC'!F126,'gm 6 at LA'!F126,'gm 7 vs Hou'!F126,'gm 9 vs Oak'!F126,'gm 10 vs Bal'!F126,'gm 11 at Chi'!F126,'gm 12 vs NYG'!F126,'gm 13 vs Cle'!F126,'gm 14 at Hou'!F126,+'gm 8 at Pit'!F126)</f>
        <v>20</v>
      </c>
      <c r="G126">
        <f>+'gm 1 at NE'!G126+'gm 2 vs Pit'!G126+'gm 3 at Cle'!G126+'gm 4 vs Den'!G126+'gm 5 at KC'!G126+'gm 6 at LA'!G126+'gm 7 vs Hou'!G126+'gm 8 at Pit'!G126+'gm 9 vs Oak'!G126+'gm 10 vs Bal'!G126+'gm 11 at Chi'!G126+'gm 12 vs NYG'!G126+'gm 13 vs Cle'!G126+'gm 14 at Hou'!G126</f>
        <v>0</v>
      </c>
      <c r="H126">
        <f>+'gm 1 at NE'!H126+'gm 2 vs Pit'!H126+'gm 3 at Cle'!H126+'gm 4 vs Den'!H126+'gm 5 at KC'!H126+'gm 6 at LA'!H126+'gm 7 vs Hou'!H126+'gm 8 at Pit'!H126+'gm 9 vs Oak'!H126+'gm 10 vs Bal'!H126+'gm 11 at Chi'!H126+'gm 12 vs NYG'!H126+'gm 13 vs Cle'!H126+'gm 14 at Hou'!H126</f>
        <v>0</v>
      </c>
    </row>
    <row r="127" spans="1:8" ht="12">
      <c r="A127" t="s">
        <v>105</v>
      </c>
      <c r="B127" t="s">
        <v>149</v>
      </c>
      <c r="C127">
        <f>+'gm 1 at NE'!C127+'gm 2 vs Pit'!C127+'gm 3 at Cle'!C127+'gm 4 vs Den'!C127+'gm 5 at KC'!C127+'gm 6 at LA'!C127+'gm 7 vs Hou'!C127+'gm 8 at Pit'!C127+'gm 9 vs Oak'!C127+'gm 10 vs Bal'!C127+'gm 11 at Chi'!C127+'gm 12 vs NYG'!C127+'gm 13 vs Cle'!C127+'gm 14 at Hou'!C127</f>
        <v>3</v>
      </c>
      <c r="D127">
        <f>+'gm 1 at NE'!D127+'gm 2 vs Pit'!D127+'gm 3 at Cle'!D127+'gm 4 vs Den'!D127+'gm 5 at KC'!D127+'gm 6 at LA'!D127+'gm 7 vs Hou'!D127+'gm 8 at Pit'!D127+'gm 9 vs Oak'!D127+'gm 10 vs Bal'!D127+'gm 11 at Chi'!D127+'gm 12 vs NYG'!D127+'gm 13 vs Cle'!D127+'gm 14 at Hou'!D127</f>
        <v>33</v>
      </c>
      <c r="E127" s="12">
        <f t="shared" si="9"/>
        <v>11</v>
      </c>
      <c r="F127">
        <f>MAX('gm 1 at NE'!F127,'gm 2 vs Pit'!F127,'gm 3 at Cle'!F127,'gm 4 vs Den'!F127,'gm 5 at KC'!F127,'gm 6 at LA'!F127,'gm 7 vs Hou'!F127,'gm 9 vs Oak'!F127,'gm 10 vs Bal'!F127,'gm 11 at Chi'!F127,'gm 12 vs NYG'!F127,'gm 13 vs Cle'!F127,'gm 14 at Hou'!F127,+'gm 8 at Pit'!F127)</f>
        <v>13</v>
      </c>
      <c r="G127">
        <f>+'gm 1 at NE'!G127+'gm 2 vs Pit'!G127+'gm 3 at Cle'!G127+'gm 4 vs Den'!G127+'gm 5 at KC'!G127+'gm 6 at LA'!G127+'gm 7 vs Hou'!G127+'gm 8 at Pit'!G127+'gm 9 vs Oak'!G127+'gm 10 vs Bal'!G127+'gm 11 at Chi'!G127+'gm 12 vs NYG'!G127+'gm 13 vs Cle'!G127+'gm 14 at Hou'!G127</f>
        <v>0</v>
      </c>
      <c r="H127">
        <f>+'gm 1 at NE'!H127+'gm 2 vs Pit'!H127+'gm 3 at Cle'!H127+'gm 4 vs Den'!H127+'gm 5 at KC'!H127+'gm 6 at LA'!H127+'gm 7 vs Hou'!H127+'gm 8 at Pit'!H127+'gm 9 vs Oak'!H127+'gm 10 vs Bal'!H127+'gm 11 at Chi'!H127+'gm 12 vs NYG'!H127+'gm 13 vs Cle'!H127+'gm 14 at Hou'!H127</f>
        <v>0</v>
      </c>
    </row>
    <row r="128" spans="1:8" ht="12">
      <c r="A128" t="s">
        <v>120</v>
      </c>
      <c r="B128" t="s">
        <v>149</v>
      </c>
      <c r="C128">
        <f>+'gm 1 at NE'!C128+'gm 2 vs Pit'!C128+'gm 3 at Cle'!C128+'gm 4 vs Den'!C128+'gm 5 at KC'!C128+'gm 6 at LA'!C128+'gm 7 vs Hou'!C128+'gm 8 at Pit'!C128+'gm 9 vs Oak'!C128+'gm 10 vs Bal'!C128+'gm 11 at Chi'!C128+'gm 12 vs NYG'!C128+'gm 13 vs Cle'!C128+'gm 14 at Hou'!C128</f>
        <v>0</v>
      </c>
      <c r="D128">
        <f>+'gm 1 at NE'!D128+'gm 2 vs Pit'!D128+'gm 3 at Cle'!D128+'gm 4 vs Den'!D128+'gm 5 at KC'!D128+'gm 6 at LA'!D128+'gm 7 vs Hou'!D128+'gm 8 at Pit'!D128+'gm 9 vs Oak'!D128+'gm 10 vs Bal'!D128+'gm 11 at Chi'!D128+'gm 12 vs NYG'!D128+'gm 13 vs Cle'!D128+'gm 14 at Hou'!D128</f>
        <v>0</v>
      </c>
      <c r="E128" s="12">
        <f t="shared" si="9"/>
        <v>0</v>
      </c>
      <c r="F128">
        <f>MAX('gm 1 at NE'!F128,'gm 2 vs Pit'!F128,'gm 3 at Cle'!F128,'gm 4 vs Den'!F128,'gm 5 at KC'!F128,'gm 6 at LA'!F128,'gm 7 vs Hou'!F128,'gm 9 vs Oak'!F128,'gm 10 vs Bal'!F128,'gm 11 at Chi'!F128,'gm 12 vs NYG'!F128,'gm 13 vs Cle'!F128,'gm 14 at Hou'!F128,+'gm 8 at Pit'!F128)</f>
        <v>0</v>
      </c>
      <c r="G128">
        <f>+'gm 1 at NE'!G128+'gm 2 vs Pit'!G128+'gm 3 at Cle'!G128+'gm 4 vs Den'!G128+'gm 5 at KC'!G128+'gm 6 at LA'!G128+'gm 7 vs Hou'!G128+'gm 8 at Pit'!G128+'gm 9 vs Oak'!G128+'gm 10 vs Bal'!G128+'gm 11 at Chi'!G128+'gm 12 vs NYG'!G128+'gm 13 vs Cle'!G128+'gm 14 at Hou'!G128</f>
        <v>0</v>
      </c>
      <c r="H128">
        <f>+'gm 1 at NE'!H128+'gm 2 vs Pit'!H128+'gm 3 at Cle'!H128+'gm 4 vs Den'!H128+'gm 5 at KC'!H128+'gm 6 at LA'!H128+'gm 7 vs Hou'!H128+'gm 8 at Pit'!H128+'gm 9 vs Oak'!H128+'gm 10 vs Bal'!H128+'gm 11 at Chi'!H128+'gm 12 vs NYG'!H128+'gm 13 vs Cle'!H128+'gm 14 at Hou'!H128</f>
        <v>0</v>
      </c>
    </row>
    <row r="129" spans="1:8" ht="12">
      <c r="A129" t="s">
        <v>106</v>
      </c>
      <c r="B129" t="s">
        <v>149</v>
      </c>
      <c r="C129">
        <f>+'gm 1 at NE'!C129+'gm 2 vs Pit'!C129+'gm 3 at Cle'!C129+'gm 4 vs Den'!C129+'gm 5 at KC'!C129+'gm 6 at LA'!C129+'gm 7 vs Hou'!C129+'gm 8 at Pit'!C129+'gm 9 vs Oak'!C129+'gm 10 vs Bal'!C129+'gm 11 at Chi'!C129+'gm 12 vs NYG'!C129+'gm 13 vs Cle'!C129+'gm 14 at Hou'!C129</f>
        <v>1</v>
      </c>
      <c r="D129">
        <f>+'gm 1 at NE'!D129+'gm 2 vs Pit'!D129+'gm 3 at Cle'!D129+'gm 4 vs Den'!D129+'gm 5 at KC'!D129+'gm 6 at LA'!D129+'gm 7 vs Hou'!D129+'gm 8 at Pit'!D129+'gm 9 vs Oak'!D129+'gm 10 vs Bal'!D129+'gm 11 at Chi'!D129+'gm 12 vs NYG'!D129+'gm 13 vs Cle'!D129+'gm 14 at Hou'!D129</f>
        <v>15</v>
      </c>
      <c r="E129" s="12">
        <f t="shared" si="9"/>
        <v>15</v>
      </c>
      <c r="F129">
        <f>MAX('gm 1 at NE'!F129,'gm 2 vs Pit'!F129,'gm 3 at Cle'!F129,'gm 4 vs Den'!F129,'gm 5 at KC'!F129,'gm 6 at LA'!F129,'gm 7 vs Hou'!F129,'gm 9 vs Oak'!F129,'gm 10 vs Bal'!F129,'gm 11 at Chi'!F129,'gm 12 vs NYG'!F129,'gm 13 vs Cle'!F129,'gm 14 at Hou'!F129,+'gm 8 at Pit'!F129)</f>
        <v>15</v>
      </c>
      <c r="G129">
        <f>+'gm 1 at NE'!G129+'gm 2 vs Pit'!G129+'gm 3 at Cle'!G129+'gm 4 vs Den'!G129+'gm 5 at KC'!G129+'gm 6 at LA'!G129+'gm 7 vs Hou'!G129+'gm 8 at Pit'!G129+'gm 9 vs Oak'!G129+'gm 10 vs Bal'!G129+'gm 11 at Chi'!G129+'gm 12 vs NYG'!G129+'gm 13 vs Cle'!G129+'gm 14 at Hou'!G129</f>
        <v>0</v>
      </c>
      <c r="H129">
        <f>+'gm 1 at NE'!H129+'gm 2 vs Pit'!H129+'gm 3 at Cle'!H129+'gm 4 vs Den'!H129+'gm 5 at KC'!H129+'gm 6 at LA'!H129+'gm 7 vs Hou'!H129+'gm 8 at Pit'!H129+'gm 9 vs Oak'!H129+'gm 10 vs Bal'!H129+'gm 11 at Chi'!H129+'gm 12 vs NYG'!H129+'gm 13 vs Cle'!H129+'gm 14 at Hou'!H129</f>
        <v>0</v>
      </c>
    </row>
    <row r="130" spans="1:8" ht="12">
      <c r="A130" t="s">
        <v>117</v>
      </c>
      <c r="B130" t="s">
        <v>149</v>
      </c>
      <c r="C130">
        <f>+'gm 1 at NE'!C130+'gm 2 vs Pit'!C130+'gm 3 at Cle'!C130+'gm 4 vs Den'!C130+'gm 5 at KC'!C130+'gm 6 at LA'!C130+'gm 7 vs Hou'!C130+'gm 8 at Pit'!C130+'gm 9 vs Oak'!C130+'gm 10 vs Bal'!C130+'gm 11 at Chi'!C130+'gm 12 vs NYG'!C130+'gm 13 vs Cle'!C130+'gm 14 at Hou'!C130</f>
        <v>11</v>
      </c>
      <c r="D130">
        <f>+'gm 1 at NE'!D130+'gm 2 vs Pit'!D130+'gm 3 at Cle'!D130+'gm 4 vs Den'!D130+'gm 5 at KC'!D130+'gm 6 at LA'!D130+'gm 7 vs Hou'!D130+'gm 8 at Pit'!D130+'gm 9 vs Oak'!D130+'gm 10 vs Bal'!D130+'gm 11 at Chi'!D130+'gm 12 vs NYG'!D130+'gm 13 vs Cle'!D130+'gm 14 at Hou'!D130</f>
        <v>241</v>
      </c>
      <c r="E130" s="12">
        <f t="shared" si="9"/>
        <v>21.90909090909091</v>
      </c>
      <c r="F130">
        <f>MAX('gm 1 at NE'!F130,'gm 2 vs Pit'!F130,'gm 3 at Cle'!F130,'gm 4 vs Den'!F130,'gm 5 at KC'!F130,'gm 6 at LA'!F130,'gm 7 vs Hou'!F130,'gm 9 vs Oak'!F130,'gm 10 vs Bal'!F130,'gm 11 at Chi'!F130,'gm 12 vs NYG'!F130,'gm 13 vs Cle'!F130,'gm 14 at Hou'!F130,+'gm 8 at Pit'!F130)</f>
        <v>35</v>
      </c>
      <c r="G130">
        <f>+'gm 1 at NE'!G130+'gm 2 vs Pit'!G130+'gm 3 at Cle'!G130+'gm 4 vs Den'!G130+'gm 5 at KC'!G130+'gm 6 at LA'!G130+'gm 7 vs Hou'!G130+'gm 8 at Pit'!G130+'gm 9 vs Oak'!G130+'gm 10 vs Bal'!G130+'gm 11 at Chi'!G130+'gm 12 vs NYG'!G130+'gm 13 vs Cle'!G130+'gm 14 at Hou'!G130</f>
        <v>0</v>
      </c>
      <c r="H130">
        <f>+'gm 1 at NE'!H130+'gm 2 vs Pit'!H130+'gm 3 at Cle'!H130+'gm 4 vs Den'!H130+'gm 5 at KC'!H130+'gm 6 at LA'!H130+'gm 7 vs Hou'!H130+'gm 8 at Pit'!H130+'gm 9 vs Oak'!H130+'gm 10 vs Bal'!H130+'gm 11 at Chi'!H130+'gm 12 vs NYG'!H130+'gm 13 vs Cle'!H130+'gm 14 at Hou'!H130</f>
        <v>1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">
      <c r="A133" t="s">
        <v>106</v>
      </c>
      <c r="B133" t="s">
        <v>149</v>
      </c>
      <c r="C133">
        <f>+'gm 1 at NE'!C133+'gm 2 vs Pit'!C133+'gm 3 at Cle'!C133+'gm 4 vs Den'!C133+'gm 5 at KC'!C133+'gm 6 at LA'!C133+'gm 7 vs Hou'!C133+'gm 8 at Pit'!C133+'gm 9 vs Oak'!C133+'gm 10 vs Bal'!C133+'gm 11 at Chi'!C133+'gm 12 vs NYG'!C133+'gm 13 vs Cle'!C133+'gm 14 at Hou'!C133</f>
        <v>66</v>
      </c>
      <c r="D133">
        <f>+'gm 1 at NE'!D133+'gm 2 vs Pit'!D133+'gm 3 at Cle'!D133+'gm 4 vs Den'!D133+'gm 5 at KC'!D133+'gm 6 at LA'!D133+'gm 7 vs Hou'!D133+'gm 8 at Pit'!D133+'gm 9 vs Oak'!D133+'gm 10 vs Bal'!D133+'gm 11 at Chi'!D133+'gm 12 vs NYG'!D133+'gm 13 vs Cle'!D133+'gm 14 at Hou'!D133</f>
        <v>2854</v>
      </c>
      <c r="E133" s="12">
        <f>IF(C133=0,0,+D133/C133)</f>
        <v>43.24242424242424</v>
      </c>
      <c r="F133">
        <f>MAX('gm 1 at NE'!F133,'gm 2 vs Pit'!F133,'gm 3 at Cle'!F133,'gm 4 vs Den'!F133,'gm 5 at KC'!F133,'gm 6 at LA'!F133,'gm 7 vs Hou'!F133,'gm 9 vs Oak'!F133,'gm 10 vs Bal'!F133,'gm 11 at Chi'!F133,'gm 12 vs NYG'!F133,'gm 13 vs Cle'!F133,'gm 14 at Hou'!F133,+'gm 8 at Pit'!F133)</f>
        <v>54</v>
      </c>
      <c r="G133">
        <f>+'gm 1 at NE'!G133+'gm 2 vs Pit'!G133+'gm 3 at Cle'!G133+'gm 4 vs Den'!G133+'gm 5 at KC'!G133+'gm 6 at LA'!G133+'gm 7 vs Hou'!G133+'gm 8 at Pit'!G133+'gm 9 vs Oak'!G133+'gm 10 vs Bal'!G133+'gm 11 at Chi'!G133+'gm 12 vs NYG'!G133+'gm 13 vs Cle'!G133+'gm 14 at Hou'!G133</f>
        <v>0</v>
      </c>
      <c r="H133">
        <f>+'gm 1 at NE'!H133+'gm 2 vs Pit'!H133+'gm 3 at Cle'!H133+'gm 4 vs Den'!H133+'gm 5 at KC'!H133+'gm 6 at LA'!H133+'gm 7 vs Hou'!H133+'gm 8 at Pit'!H133+'gm 9 vs Oak'!H133+'gm 10 vs Bal'!H133+'gm 11 at Chi'!H133+'gm 12 vs NYG'!H133+'gm 13 vs Cle'!H133+'gm 14 at Hou'!H133</f>
        <v>0</v>
      </c>
    </row>
    <row r="134" spans="3:8" ht="12">
      <c r="C134">
        <f>+'gm 1 at NE'!C134+'gm 2 vs Pit'!C134+'gm 3 at Cle'!C134+'gm 4 vs Den'!C134+'gm 5 at KC'!C134+'gm 6 at LA'!C134+'gm 7 vs Hou'!C134+'gm 8 at Pit'!C134+'gm 9 vs Oak'!C134+'gm 10 vs Bal'!C134+'gm 11 at Chi'!C134+'gm 12 vs NYG'!C134+'gm 13 vs Cle'!C134+'gm 14 at Hou'!C134</f>
        <v>0</v>
      </c>
      <c r="D134">
        <f>+'gm 1 at NE'!D134+'gm 2 vs Pit'!D134+'gm 3 at Cle'!D134+'gm 4 vs Den'!D134+'gm 5 at KC'!D134+'gm 6 at LA'!D134+'gm 7 vs Hou'!D134+'gm 8 at Pit'!D134+'gm 9 vs Oak'!D134+'gm 10 vs Bal'!D134+'gm 11 at Chi'!D134+'gm 12 vs NYG'!D134+'gm 13 vs Cle'!D134+'gm 14 at Hou'!D134</f>
        <v>0</v>
      </c>
      <c r="E134" s="12">
        <f>IF(C134=0,0,+D134/C134)</f>
        <v>0</v>
      </c>
      <c r="F134">
        <f>MAX('gm 1 at NE'!F134,'gm 2 vs Pit'!F134,'gm 3 at Cle'!F134,'gm 4 vs Den'!F134,'gm 5 at KC'!F134,'gm 6 at LA'!F134,'gm 7 vs Hou'!F134,'gm 9 vs Oak'!F134,'gm 10 vs Bal'!F134,'gm 11 at Chi'!F134,'gm 12 vs NYG'!F134,'gm 13 vs Cle'!F134,'gm 14 at Hou'!F134,+'gm 8 at Pit'!F134)</f>
        <v>0</v>
      </c>
      <c r="G134">
        <f>+'gm 1 at NE'!G134+'gm 2 vs Pit'!G134+'gm 3 at Cle'!G134+'gm 4 vs Den'!G134+'gm 5 at KC'!G134+'gm 6 at LA'!G134+'gm 7 vs Hou'!G134+'gm 8 at Pit'!G134+'gm 9 vs Oak'!G134+'gm 10 vs Bal'!G134+'gm 11 at Chi'!G134+'gm 12 vs NYG'!G134+'gm 13 vs Cle'!G134+'gm 14 at Hou'!G134</f>
        <v>0</v>
      </c>
      <c r="H134">
        <f>+'gm 1 at NE'!H134+'gm 2 vs Pit'!H134+'gm 3 at Cle'!H134+'gm 4 vs Den'!H134+'gm 5 at KC'!H134+'gm 6 at LA'!H134+'gm 7 vs Hou'!H134+'gm 8 at Pit'!H134+'gm 9 vs Oak'!H134+'gm 10 vs Bal'!H134+'gm 11 at Chi'!H134+'gm 12 vs NYG'!H134+'gm 13 vs Cle'!H134+'gm 14 at Hou'!H134</f>
        <v>0</v>
      </c>
    </row>
    <row r="135" ht="12">
      <c r="E135" s="12"/>
    </row>
    <row r="136" ht="12">
      <c r="E136" s="12"/>
    </row>
    <row r="137" ht="12">
      <c r="E137" s="12"/>
    </row>
    <row r="138" ht="12">
      <c r="E138" s="12"/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3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  <c r="V140" s="3" t="s">
        <v>81</v>
      </c>
      <c r="W140" s="3" t="s">
        <v>82</v>
      </c>
    </row>
    <row r="141" spans="1:23" ht="12">
      <c r="A141" t="s">
        <v>121</v>
      </c>
      <c r="B141" t="s">
        <v>149</v>
      </c>
      <c r="C141">
        <f>+'gm 1 at NE'!C141+'gm 2 vs Pit'!C141+'gm 3 at Cle'!C141+'gm 4 vs Den'!C141+'gm 5 at KC'!C141+'gm 6 at LA'!C141+'gm 7 vs Hou'!C141+'gm 8 at Pit'!C141+'gm 9 vs Oak'!C141+'gm 10 vs Bal'!C141+'gm 11 at Chi'!C141+'gm 12 vs NYG'!C141+'gm 13 vs Cle'!C141+'gm 14 at Hou'!C141</f>
        <v>66</v>
      </c>
      <c r="D141">
        <f>+'gm 1 at NE'!D141+'gm 2 vs Pit'!D141+'gm 3 at Cle'!D141+'gm 4 vs Den'!D141+'gm 5 at KC'!D141+'gm 6 at LA'!D141+'gm 7 vs Hou'!D141+'gm 8 at Pit'!D141+'gm 9 vs Oak'!D141+'gm 10 vs Bal'!D141+'gm 11 at Chi'!D141+'gm 12 vs NYG'!D141+'gm 13 vs Cle'!D141+'gm 14 at Hou'!D141</f>
        <v>30</v>
      </c>
      <c r="E141">
        <f>+'gm 1 at NE'!E141+'gm 2 vs Pit'!E141+'gm 3 at Cle'!E141+'gm 4 vs Den'!E141+'gm 5 at KC'!E141+'gm 6 at LA'!E141+'gm 7 vs Hou'!E141+'gm 8 at Pit'!E141+'gm 9 vs Oak'!E141+'gm 10 vs Bal'!E141+'gm 11 at Chi'!E141+'gm 12 vs NYG'!E141+'gm 13 vs Cle'!E141+'gm 14 at Hou'!E141</f>
        <v>29</v>
      </c>
      <c r="F141">
        <f>+'gm 1 at NE'!F141+'gm 2 vs Pit'!F141+'gm 3 at Cle'!F141+'gm 4 vs Den'!F141+'gm 5 at KC'!F141+'gm 6 at LA'!F141+'gm 7 vs Hou'!F141+'gm 8 at Pit'!F141+'gm 9 vs Oak'!F141+'gm 10 vs Bal'!F141+'gm 11 at Chi'!F141+'gm 12 vs NYG'!F141+'gm 13 vs Cle'!F141+'gm 14 at Hou'!F141</f>
        <v>29</v>
      </c>
      <c r="G141">
        <f>+'gm 1 at NE'!G141+'gm 2 vs Pit'!G141+'gm 3 at Cle'!G141+'gm 4 vs Den'!G141+'gm 5 at KC'!G141+'gm 6 at LA'!G141+'gm 7 vs Hou'!G141+'gm 8 at Pit'!G141+'gm 9 vs Oak'!G141+'gm 10 vs Bal'!G141+'gm 11 at Chi'!G141+'gm 12 vs NYG'!G141+'gm 13 vs Cle'!G141+'gm 14 at Hou'!G141</f>
        <v>34</v>
      </c>
      <c r="H141">
        <f>+'gm 1 at NE'!H141+'gm 2 vs Pit'!H141+'gm 3 at Cle'!H141+'gm 4 vs Den'!H141+'gm 5 at KC'!H141+'gm 6 at LA'!H141+'gm 7 vs Hou'!H141+'gm 8 at Pit'!H141+'gm 9 vs Oak'!H141+'gm 10 vs Bal'!H141+'gm 11 at Chi'!H141+'gm 12 vs NYG'!H141+'gm 13 vs Cle'!H141+'gm 14 at Hou'!H141</f>
        <v>24</v>
      </c>
      <c r="I141" s="12">
        <f>IF(G141=0,0,+H141/G141*100)</f>
        <v>70.58823529411765</v>
      </c>
      <c r="J141">
        <f>MAX('gm 1 at NE'!J141,'gm 2 vs Pit'!J141,'gm 3 at Cle'!J141,'gm 4 vs Den'!J141,'gm 5 at KC'!J141,'gm 6 at LA'!J141,'gm 7 vs Hou'!J141,'gm 9 vs Oak'!J141,'gm 10 vs Bal'!J141,'gm 11 at Chi'!J141,'gm 12 vs NYG'!J141,'gm 13 vs Cle'!J141,'gm 14 at Hou'!J141,+'gm 8 at Pit'!J141)</f>
        <v>44</v>
      </c>
      <c r="L141" s="9">
        <f>+'gm 1 at NE'!L141+'gm 2 vs Pit'!L141+'gm 3 at Cle'!L141+'gm 4 vs Den'!L141+'gm 5 at KC'!L141+'gm 6 at LA'!L141+'gm 7 vs Hou'!L141+'gm 8 at Pit'!L141+'gm 9 vs Oak'!L141+'gm 10 vs Bal'!L141+'gm 11 at Chi'!L141+'gm 12 vs NYG'!L141+'gm 13 vs Cle'!L141+'gm 14 at Hou'!L141</f>
        <v>5</v>
      </c>
      <c r="M141" s="9">
        <f>+'gm 1 at NE'!M141+'gm 2 vs Pit'!M141+'gm 3 at Cle'!M141+'gm 4 vs Den'!M141+'gm 5 at KC'!M141+'gm 6 at LA'!M141+'gm 7 vs Hou'!M141+'gm 8 at Pit'!M141+'gm 9 vs Oak'!M141+'gm 10 vs Bal'!M141+'gm 11 at Chi'!M141+'gm 12 vs NYG'!M141+'gm 13 vs Cle'!M141+'gm 14 at Hou'!M141</f>
        <v>5</v>
      </c>
      <c r="N141" s="9">
        <f>+'gm 1 at NE'!N141+'gm 2 vs Pit'!N141+'gm 3 at Cle'!N141+'gm 4 vs Den'!N141+'gm 5 at KC'!N141+'gm 6 at LA'!N141+'gm 7 vs Hou'!N141+'gm 8 at Pit'!N141+'gm 9 vs Oak'!N141+'gm 10 vs Bal'!N141+'gm 11 at Chi'!N141+'gm 12 vs NYG'!N141+'gm 13 vs Cle'!N141+'gm 14 at Hou'!N141</f>
        <v>13</v>
      </c>
      <c r="O141" s="9">
        <f>+'gm 1 at NE'!O141+'gm 2 vs Pit'!O141+'gm 3 at Cle'!O141+'gm 4 vs Den'!O141+'gm 5 at KC'!O141+'gm 6 at LA'!O141+'gm 7 vs Hou'!O141+'gm 8 at Pit'!O141+'gm 9 vs Oak'!O141+'gm 10 vs Bal'!O141+'gm 11 at Chi'!O141+'gm 12 vs NYG'!O141+'gm 13 vs Cle'!O141+'gm 14 at Hou'!O141</f>
        <v>11</v>
      </c>
      <c r="P141" s="9">
        <f>+'gm 1 at NE'!P141+'gm 2 vs Pit'!P141+'gm 3 at Cle'!P141+'gm 4 vs Den'!P141+'gm 5 at KC'!P141+'gm 6 at LA'!P141+'gm 7 vs Hou'!P141+'gm 8 at Pit'!P141+'gm 9 vs Oak'!P141+'gm 10 vs Bal'!P141+'gm 11 at Chi'!P141+'gm 12 vs NYG'!P141+'gm 13 vs Cle'!P141+'gm 14 at Hou'!P141</f>
        <v>7</v>
      </c>
      <c r="Q141" s="9">
        <f>+'gm 1 at NE'!Q141+'gm 2 vs Pit'!Q141+'gm 3 at Cle'!Q141+'gm 4 vs Den'!Q141+'gm 5 at KC'!Q141+'gm 6 at LA'!Q141+'gm 7 vs Hou'!Q141+'gm 8 at Pit'!Q141+'gm 9 vs Oak'!Q141+'gm 10 vs Bal'!Q141+'gm 11 at Chi'!Q141+'gm 12 vs NYG'!Q141+'gm 13 vs Cle'!Q141+'gm 14 at Hou'!Q141</f>
        <v>5</v>
      </c>
      <c r="R141" s="9">
        <f>+'gm 1 at NE'!R141+'gm 2 vs Pit'!R141+'gm 3 at Cle'!R141+'gm 4 vs Den'!R141+'gm 5 at KC'!R141+'gm 6 at LA'!R141+'gm 7 vs Hou'!R141+'gm 8 at Pit'!R141+'gm 9 vs Oak'!R141+'gm 10 vs Bal'!R141+'gm 11 at Chi'!R141+'gm 12 vs NYG'!R141+'gm 13 vs Cle'!R141+'gm 14 at Hou'!R141</f>
        <v>7</v>
      </c>
      <c r="S141" s="9">
        <f>+'gm 1 at NE'!S141+'gm 2 vs Pit'!S141+'gm 3 at Cle'!S141+'gm 4 vs Den'!S141+'gm 5 at KC'!S141+'gm 6 at LA'!S141+'gm 7 vs Hou'!S141+'gm 8 at Pit'!S141+'gm 9 vs Oak'!S141+'gm 10 vs Bal'!S141+'gm 11 at Chi'!S141+'gm 12 vs NYG'!S141+'gm 13 vs Cle'!S141+'gm 14 at Hou'!S141</f>
        <v>3</v>
      </c>
      <c r="T141" s="9">
        <f>+'gm 1 at NE'!T141+'gm 2 vs Pit'!T141+'gm 3 at Cle'!T141+'gm 4 vs Den'!T141+'gm 5 at KC'!T141+'gm 6 at LA'!T141+'gm 7 vs Hou'!T141+'gm 8 at Pit'!T141+'gm 9 vs Oak'!T141+'gm 10 vs Bal'!T141+'gm 11 at Chi'!T141+'gm 12 vs NYG'!T141+'gm 13 vs Cle'!T141+'gm 14 at Hou'!T141</f>
        <v>2</v>
      </c>
      <c r="U141" s="9">
        <f>+'gm 1 at NE'!U141+'gm 2 vs Pit'!U141+'gm 3 at Cle'!U141+'gm 4 vs Den'!U141+'gm 5 at KC'!U141+'gm 6 at LA'!U141+'gm 7 vs Hou'!U141+'gm 8 at Pit'!U141+'gm 9 vs Oak'!U141+'gm 10 vs Bal'!U141+'gm 11 at Chi'!U141+'gm 12 vs NYG'!U141+'gm 13 vs Cle'!U141+'gm 14 at Hou'!U141</f>
        <v>0</v>
      </c>
      <c r="V141" t="str">
        <f aca="true" t="shared" si="10" ref="V141:W143">IF(G141=L141+N141+P141+R141+T141,"ok","ERR")</f>
        <v>ok</v>
      </c>
      <c r="W141" t="str">
        <f t="shared" si="10"/>
        <v>ok</v>
      </c>
    </row>
    <row r="142" spans="3:23" ht="12">
      <c r="C142">
        <f>+'gm 1 at NE'!C142+'gm 2 vs Pit'!C142+'gm 3 at Cle'!C142+'gm 4 vs Den'!C142+'gm 5 at KC'!C142+'gm 6 at LA'!C142+'gm 7 vs Hou'!C142+'gm 8 at Pit'!C142+'gm 9 vs Oak'!C142+'gm 10 vs Bal'!C142+'gm 11 at Chi'!C142+'gm 12 vs NYG'!C142+'gm 13 vs Cle'!C142+'gm 14 at Hou'!C142</f>
        <v>0</v>
      </c>
      <c r="D142">
        <f>+'gm 1 at NE'!D142+'gm 2 vs Pit'!D142+'gm 3 at Cle'!D142+'gm 4 vs Den'!D142+'gm 5 at KC'!D142+'gm 6 at LA'!D142+'gm 7 vs Hou'!D142+'gm 8 at Pit'!D142+'gm 9 vs Oak'!D142+'gm 10 vs Bal'!D142+'gm 11 at Chi'!D142+'gm 12 vs NYG'!D142+'gm 13 vs Cle'!D142+'gm 14 at Hou'!D142</f>
        <v>0</v>
      </c>
      <c r="E142">
        <f>+'gm 1 at NE'!E142+'gm 2 vs Pit'!E142+'gm 3 at Cle'!E142+'gm 4 vs Den'!E142+'gm 5 at KC'!E142+'gm 6 at LA'!E142+'gm 7 vs Hou'!E142+'gm 8 at Pit'!E142+'gm 9 vs Oak'!E142+'gm 10 vs Bal'!E142+'gm 11 at Chi'!E142+'gm 12 vs NYG'!E142+'gm 13 vs Cle'!E142+'gm 14 at Hou'!E142</f>
        <v>0</v>
      </c>
      <c r="F142">
        <f>+'gm 1 at NE'!F142+'gm 2 vs Pit'!F142+'gm 3 at Cle'!F142+'gm 4 vs Den'!F142+'gm 5 at KC'!F142+'gm 6 at LA'!F142+'gm 7 vs Hou'!F142+'gm 8 at Pit'!F142+'gm 9 vs Oak'!F142+'gm 10 vs Bal'!F142+'gm 11 at Chi'!F142+'gm 12 vs NYG'!F142+'gm 13 vs Cle'!F142+'gm 14 at Hou'!F142</f>
        <v>0</v>
      </c>
      <c r="G142">
        <f>+'gm 1 at NE'!G142+'gm 2 vs Pit'!G142+'gm 3 at Cle'!G142+'gm 4 vs Den'!G142+'gm 5 at KC'!G142+'gm 6 at LA'!G142+'gm 7 vs Hou'!G142+'gm 8 at Pit'!G142+'gm 9 vs Oak'!G142+'gm 10 vs Bal'!G142+'gm 11 at Chi'!G142+'gm 12 vs NYG'!G142+'gm 13 vs Cle'!G142+'gm 14 at Hou'!G142</f>
        <v>0</v>
      </c>
      <c r="H142">
        <f>+'gm 1 at NE'!H142+'gm 2 vs Pit'!H142+'gm 3 at Cle'!H142+'gm 4 vs Den'!H142+'gm 5 at KC'!H142+'gm 6 at LA'!H142+'gm 7 vs Hou'!H142+'gm 8 at Pit'!H142+'gm 9 vs Oak'!H142+'gm 10 vs Bal'!H142+'gm 11 at Chi'!H142+'gm 12 vs NYG'!H142+'gm 13 vs Cle'!H142+'gm 14 at Hou'!H142</f>
        <v>0</v>
      </c>
      <c r="I142" s="12">
        <f>IF(G142=0,0,+H142/G142*100)</f>
        <v>0</v>
      </c>
      <c r="J142">
        <f>MAX('gm 1 at NE'!J142,'gm 2 vs Pit'!J142,'gm 3 at Cle'!J142,'gm 4 vs Den'!J142,'gm 5 at KC'!J142,'gm 6 at LA'!J142,'gm 7 vs Hou'!J142,'gm 9 vs Oak'!J142,'gm 10 vs Bal'!J142,'gm 11 at Chi'!J142,'gm 12 vs NYG'!J142,'gm 13 vs Cle'!J142,'gm 14 at Hou'!J142,+'gm 8 at Pit'!J142)</f>
        <v>0</v>
      </c>
      <c r="V142" t="str">
        <f t="shared" si="10"/>
        <v>ok</v>
      </c>
      <c r="W142" t="str">
        <f t="shared" si="10"/>
        <v>ok</v>
      </c>
    </row>
    <row r="143" spans="3:23" ht="12">
      <c r="C143">
        <f>+'gm 1 at NE'!C143+'gm 2 vs Pit'!C143+'gm 3 at Cle'!C143+'gm 4 vs Den'!C143+'gm 5 at KC'!C143+'gm 6 at LA'!C143+'gm 7 vs Hou'!C143+'gm 8 at Pit'!C143+'gm 9 vs Oak'!C143+'gm 10 vs Bal'!C143+'gm 11 at Chi'!C143+'gm 12 vs NYG'!C143+'gm 13 vs Cle'!C143+'gm 14 at Hou'!C143</f>
        <v>0</v>
      </c>
      <c r="D143">
        <f>+'gm 1 at NE'!D143+'gm 2 vs Pit'!D143+'gm 3 at Cle'!D143+'gm 4 vs Den'!D143+'gm 5 at KC'!D143+'gm 6 at LA'!D143+'gm 7 vs Hou'!D143+'gm 8 at Pit'!D143+'gm 9 vs Oak'!D143+'gm 10 vs Bal'!D143+'gm 11 at Chi'!D143+'gm 12 vs NYG'!D143+'gm 13 vs Cle'!D143+'gm 14 at Hou'!D143</f>
        <v>0</v>
      </c>
      <c r="E143">
        <f>+'gm 1 at NE'!E143+'gm 2 vs Pit'!E143+'gm 3 at Cle'!E143+'gm 4 vs Den'!E143+'gm 5 at KC'!E143+'gm 6 at LA'!E143+'gm 7 vs Hou'!E143+'gm 8 at Pit'!E143+'gm 9 vs Oak'!E143+'gm 10 vs Bal'!E143+'gm 11 at Chi'!E143+'gm 12 vs NYG'!E143+'gm 13 vs Cle'!E143+'gm 14 at Hou'!E143</f>
        <v>0</v>
      </c>
      <c r="F143">
        <f>+'gm 1 at NE'!F143+'gm 2 vs Pit'!F143+'gm 3 at Cle'!F143+'gm 4 vs Den'!F143+'gm 5 at KC'!F143+'gm 6 at LA'!F143+'gm 7 vs Hou'!F143+'gm 8 at Pit'!F143+'gm 9 vs Oak'!F143+'gm 10 vs Bal'!F143+'gm 11 at Chi'!F143+'gm 12 vs NYG'!F143+'gm 13 vs Cle'!F143+'gm 14 at Hou'!F143</f>
        <v>0</v>
      </c>
      <c r="G143">
        <f>+'gm 1 at NE'!G143+'gm 2 vs Pit'!G143+'gm 3 at Cle'!G143+'gm 4 vs Den'!G143+'gm 5 at KC'!G143+'gm 6 at LA'!G143+'gm 7 vs Hou'!G143+'gm 8 at Pit'!G143+'gm 9 vs Oak'!G143+'gm 10 vs Bal'!G143+'gm 11 at Chi'!G143+'gm 12 vs NYG'!G143+'gm 13 vs Cle'!G143+'gm 14 at Hou'!G143</f>
        <v>0</v>
      </c>
      <c r="H143">
        <f>+'gm 1 at NE'!H143+'gm 2 vs Pit'!H143+'gm 3 at Cle'!H143+'gm 4 vs Den'!H143+'gm 5 at KC'!H143+'gm 6 at LA'!H143+'gm 7 vs Hou'!H143+'gm 8 at Pit'!H143+'gm 9 vs Oak'!H143+'gm 10 vs Bal'!H143+'gm 11 at Chi'!H143+'gm 12 vs NYG'!H143+'gm 13 vs Cle'!H143+'gm 14 at Hou'!H143</f>
        <v>0</v>
      </c>
      <c r="I143" s="12">
        <f>IF(G143=0,0,+H143/G143*100)</f>
        <v>0</v>
      </c>
      <c r="J143">
        <f>MAX('gm 1 at NE'!J143,'gm 2 vs Pit'!J143,'gm 3 at Cle'!J143,'gm 4 vs Den'!J143,'gm 5 at KC'!J143,'gm 6 at LA'!J143,'gm 7 vs Hou'!J143,'gm 9 vs Oak'!J143,'gm 10 vs Bal'!J143,'gm 11 at Chi'!J143,'gm 12 vs NYG'!J143,'gm 13 vs Cle'!J143,'gm 14 at Hou'!J143,+'gm 8 at Pit'!J143)</f>
        <v>0</v>
      </c>
      <c r="V143" t="str">
        <f t="shared" si="10"/>
        <v>ok</v>
      </c>
      <c r="W143" t="str">
        <f t="shared" si="10"/>
        <v>ok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8" ht="12">
      <c r="A147" t="s">
        <v>122</v>
      </c>
      <c r="B147" t="s">
        <v>149</v>
      </c>
      <c r="C147">
        <f>+'gm 1 at NE'!C147+'gm 2 vs Pit'!C147+'gm 3 at Cle'!C147+'gm 4 vs Den'!C147+'gm 5 at KC'!C147+'gm 6 at LA'!C147+'gm 7 vs Hou'!C147+'gm 8 at Pit'!C147+'gm 9 vs Oak'!C147+'gm 10 vs Bal'!C147+'gm 11 at Chi'!C147+'gm 12 vs NYG'!C147+'gm 13 vs Cle'!C147+'gm 14 at Hou'!C147</f>
        <v>1</v>
      </c>
      <c r="D147">
        <f>+'gm 1 at NE'!D147+'gm 2 vs Pit'!D147+'gm 3 at Cle'!D147+'gm 4 vs Den'!D147+'gm 5 at KC'!D147+'gm 6 at LA'!D147+'gm 7 vs Hou'!D147+'gm 8 at Pit'!D147+'gm 9 vs Oak'!D147+'gm 10 vs Bal'!D147+'gm 11 at Chi'!D147+'gm 12 vs NYG'!D147+'gm 13 vs Cle'!D147+'gm 14 at Hou'!D147</f>
        <v>15</v>
      </c>
      <c r="E147" s="12">
        <f aca="true" t="shared" si="11" ref="E147:E159">IF(C147=0,0,+D147/C147)</f>
        <v>15</v>
      </c>
      <c r="F147">
        <f>MAX('gm 1 at NE'!F147,'gm 2 vs Pit'!F147,'gm 3 at Cle'!F147,'gm 4 vs Den'!F147,'gm 5 at KC'!F147,'gm 6 at LA'!F147,'gm 7 vs Hou'!F147,'gm 9 vs Oak'!F147,'gm 10 vs Bal'!F147,'gm 11 at Chi'!F147,'gm 12 vs NYG'!F147,'gm 13 vs Cle'!F147,'gm 14 at Hou'!F147,+'gm 8 at Pit'!F147)</f>
        <v>15</v>
      </c>
      <c r="G147">
        <f>+'gm 1 at NE'!G147+'gm 2 vs Pit'!G147+'gm 3 at Cle'!G147+'gm 4 vs Den'!G147+'gm 5 at KC'!G147+'gm 6 at LA'!G147+'gm 7 vs Hou'!G147+'gm 8 at Pit'!G147+'gm 9 vs Oak'!G147+'gm 10 vs Bal'!G147+'gm 11 at Chi'!G147+'gm 12 vs NYG'!G147+'gm 13 vs Cle'!G147+'gm 14 at Hou'!G147</f>
        <v>0</v>
      </c>
      <c r="H147">
        <f>+'gm 1 at NE'!H147+'gm 2 vs Pit'!H147+'gm 3 at Cle'!H147+'gm 4 vs Den'!H147+'gm 5 at KC'!H147+'gm 6 at LA'!H147+'gm 7 vs Hou'!H147+'gm 8 at Pit'!H147+'gm 9 vs Oak'!H147+'gm 10 vs Bal'!H147+'gm 11 at Chi'!H147+'gm 12 vs NYG'!H147+'gm 13 vs Cle'!H147+'gm 14 at Hou'!H147</f>
        <v>0</v>
      </c>
    </row>
    <row r="148" spans="1:8" ht="12">
      <c r="A148" t="s">
        <v>123</v>
      </c>
      <c r="B148" t="s">
        <v>149</v>
      </c>
      <c r="C148">
        <f>+'gm 1 at NE'!C148+'gm 2 vs Pit'!C148+'gm 3 at Cle'!C148+'gm 4 vs Den'!C148+'gm 5 at KC'!C148+'gm 6 at LA'!C148+'gm 7 vs Hou'!C148+'gm 8 at Pit'!C148+'gm 9 vs Oak'!C148+'gm 10 vs Bal'!C148+'gm 11 at Chi'!C148+'gm 12 vs NYG'!C148+'gm 13 vs Cle'!C148+'gm 14 at Hou'!C148</f>
        <v>1</v>
      </c>
      <c r="D148">
        <f>+'gm 1 at NE'!D148+'gm 2 vs Pit'!D148+'gm 3 at Cle'!D148+'gm 4 vs Den'!D148+'gm 5 at KC'!D148+'gm 6 at LA'!D148+'gm 7 vs Hou'!D148+'gm 8 at Pit'!D148+'gm 9 vs Oak'!D148+'gm 10 vs Bal'!D148+'gm 11 at Chi'!D148+'gm 12 vs NYG'!D148+'gm 13 vs Cle'!D148+'gm 14 at Hou'!D148</f>
        <v>9</v>
      </c>
      <c r="E148" s="12">
        <f t="shared" si="11"/>
        <v>9</v>
      </c>
      <c r="F148">
        <f>MAX('gm 1 at NE'!F148,'gm 2 vs Pit'!F148,'gm 3 at Cle'!F148,'gm 4 vs Den'!F148,'gm 5 at KC'!F148,'gm 6 at LA'!F148,'gm 7 vs Hou'!F148,'gm 9 vs Oak'!F148,'gm 10 vs Bal'!F148,'gm 11 at Chi'!F148,'gm 12 vs NYG'!F148,'gm 13 vs Cle'!F148,'gm 14 at Hou'!F148,+'gm 8 at Pit'!F148)</f>
        <v>9</v>
      </c>
      <c r="G148">
        <f>+'gm 1 at NE'!G148+'gm 2 vs Pit'!G148+'gm 3 at Cle'!G148+'gm 4 vs Den'!G148+'gm 5 at KC'!G148+'gm 6 at LA'!G148+'gm 7 vs Hou'!G148+'gm 8 at Pit'!G148+'gm 9 vs Oak'!G148+'gm 10 vs Bal'!G148+'gm 11 at Chi'!G148+'gm 12 vs NYG'!G148+'gm 13 vs Cle'!G148+'gm 14 at Hou'!G148</f>
        <v>0</v>
      </c>
      <c r="H148">
        <f>+'gm 1 at NE'!H148+'gm 2 vs Pit'!H148+'gm 3 at Cle'!H148+'gm 4 vs Den'!H148+'gm 5 at KC'!H148+'gm 6 at LA'!H148+'gm 7 vs Hou'!H148+'gm 8 at Pit'!H148+'gm 9 vs Oak'!H148+'gm 10 vs Bal'!H148+'gm 11 at Chi'!H148+'gm 12 vs NYG'!H148+'gm 13 vs Cle'!H148+'gm 14 at Hou'!H148</f>
        <v>0</v>
      </c>
    </row>
    <row r="149" spans="1:8" ht="12">
      <c r="A149" t="s">
        <v>116</v>
      </c>
      <c r="B149" t="s">
        <v>149</v>
      </c>
      <c r="C149">
        <f>+'gm 1 at NE'!C149+'gm 2 vs Pit'!C149+'gm 3 at Cle'!C149+'gm 4 vs Den'!C149+'gm 5 at KC'!C149+'gm 6 at LA'!C149+'gm 7 vs Hou'!C149+'gm 8 at Pit'!C149+'gm 9 vs Oak'!C149+'gm 10 vs Bal'!C149+'gm 11 at Chi'!C149+'gm 12 vs NYG'!C149+'gm 13 vs Cle'!C149+'gm 14 at Hou'!C149</f>
        <v>9</v>
      </c>
      <c r="D149">
        <f>+'gm 1 at NE'!D149+'gm 2 vs Pit'!D149+'gm 3 at Cle'!D149+'gm 4 vs Den'!D149+'gm 5 at KC'!D149+'gm 6 at LA'!D149+'gm 7 vs Hou'!D149+'gm 8 at Pit'!D149+'gm 9 vs Oak'!D149+'gm 10 vs Bal'!D149+'gm 11 at Chi'!D149+'gm 12 vs NYG'!D149+'gm 13 vs Cle'!D149+'gm 14 at Hou'!D149</f>
        <v>146</v>
      </c>
      <c r="E149" s="12">
        <f t="shared" si="11"/>
        <v>16.22222222222222</v>
      </c>
      <c r="F149">
        <f>MAX('gm 1 at NE'!F149,'gm 2 vs Pit'!F149,'gm 3 at Cle'!F149,'gm 4 vs Den'!F149,'gm 5 at KC'!F149,'gm 6 at LA'!F149,'gm 7 vs Hou'!F149,'gm 9 vs Oak'!F149,'gm 10 vs Bal'!F149,'gm 11 at Chi'!F149,'gm 12 vs NYG'!F149,'gm 13 vs Cle'!F149,'gm 14 at Hou'!F149,+'gm 8 at Pit'!F149)</f>
        <v>34</v>
      </c>
      <c r="G149">
        <f>+'gm 1 at NE'!G149+'gm 2 vs Pit'!G149+'gm 3 at Cle'!G149+'gm 4 vs Den'!G149+'gm 5 at KC'!G149+'gm 6 at LA'!G149+'gm 7 vs Hou'!G149+'gm 8 at Pit'!G149+'gm 9 vs Oak'!G149+'gm 10 vs Bal'!G149+'gm 11 at Chi'!G149+'gm 12 vs NYG'!G149+'gm 13 vs Cle'!G149+'gm 14 at Hou'!G149</f>
        <v>1</v>
      </c>
      <c r="H149">
        <f>+'gm 1 at NE'!H149+'gm 2 vs Pit'!H149+'gm 3 at Cle'!H149+'gm 4 vs Den'!H149+'gm 5 at KC'!H149+'gm 6 at LA'!H149+'gm 7 vs Hou'!H149+'gm 8 at Pit'!H149+'gm 9 vs Oak'!H149+'gm 10 vs Bal'!H149+'gm 11 at Chi'!H149+'gm 12 vs NYG'!H149+'gm 13 vs Cle'!H149+'gm 14 at Hou'!H149</f>
        <v>0</v>
      </c>
    </row>
    <row r="150" spans="1:8" ht="12">
      <c r="A150" t="s">
        <v>124</v>
      </c>
      <c r="B150" t="s">
        <v>149</v>
      </c>
      <c r="C150">
        <f>+'gm 1 at NE'!C150+'gm 2 vs Pit'!C150+'gm 3 at Cle'!C150+'gm 4 vs Den'!C150+'gm 5 at KC'!C150+'gm 6 at LA'!C150+'gm 7 vs Hou'!C150+'gm 8 at Pit'!C150+'gm 9 vs Oak'!C150+'gm 10 vs Bal'!C150+'gm 11 at Chi'!C150+'gm 12 vs NYG'!C150+'gm 13 vs Cle'!C150+'gm 14 at Hou'!C150</f>
        <v>2</v>
      </c>
      <c r="D150">
        <f>+'gm 1 at NE'!D150+'gm 2 vs Pit'!D150+'gm 3 at Cle'!D150+'gm 4 vs Den'!D150+'gm 5 at KC'!D150+'gm 6 at LA'!D150+'gm 7 vs Hou'!D150+'gm 8 at Pit'!D150+'gm 9 vs Oak'!D150+'gm 10 vs Bal'!D150+'gm 11 at Chi'!D150+'gm 12 vs NYG'!D150+'gm 13 vs Cle'!D150+'gm 14 at Hou'!D150</f>
        <v>79</v>
      </c>
      <c r="E150" s="12">
        <f t="shared" si="11"/>
        <v>39.5</v>
      </c>
      <c r="F150">
        <f>MAX('gm 1 at NE'!F150,'gm 2 vs Pit'!F150,'gm 3 at Cle'!F150,'gm 4 vs Den'!F150,'gm 5 at KC'!F150,'gm 6 at LA'!F150,'gm 7 vs Hou'!F150,'gm 9 vs Oak'!F150,'gm 10 vs Bal'!F150,'gm 11 at Chi'!F150,'gm 12 vs NYG'!F150,'gm 13 vs Cle'!F150,'gm 14 at Hou'!F150,+'gm 8 at Pit'!F150)</f>
        <v>68</v>
      </c>
      <c r="G150">
        <f>+'gm 1 at NE'!G150+'gm 2 vs Pit'!G150+'gm 3 at Cle'!G150+'gm 4 vs Den'!G150+'gm 5 at KC'!G150+'gm 6 at LA'!G150+'gm 7 vs Hou'!G150+'gm 8 at Pit'!G150+'gm 9 vs Oak'!G150+'gm 10 vs Bal'!G150+'gm 11 at Chi'!G150+'gm 12 vs NYG'!G150+'gm 13 vs Cle'!G150+'gm 14 at Hou'!G150</f>
        <v>0</v>
      </c>
      <c r="H150">
        <f>+'gm 1 at NE'!H150+'gm 2 vs Pit'!H150+'gm 3 at Cle'!H150+'gm 4 vs Den'!H150+'gm 5 at KC'!H150+'gm 6 at LA'!H150+'gm 7 vs Hou'!H150+'gm 8 at Pit'!H150+'gm 9 vs Oak'!H150+'gm 10 vs Bal'!H150+'gm 11 at Chi'!H150+'gm 12 vs NYG'!H150+'gm 13 vs Cle'!H150+'gm 14 at Hou'!H150</f>
        <v>0</v>
      </c>
    </row>
    <row r="151" spans="1:8" ht="12">
      <c r="A151" t="s">
        <v>119</v>
      </c>
      <c r="B151" t="s">
        <v>149</v>
      </c>
      <c r="C151">
        <f>+'gm 1 at NE'!C151+'gm 2 vs Pit'!C151+'gm 3 at Cle'!C151+'gm 4 vs Den'!C151+'gm 5 at KC'!C151+'gm 6 at LA'!C151+'gm 7 vs Hou'!C151+'gm 8 at Pit'!C151+'gm 9 vs Oak'!C151+'gm 10 vs Bal'!C151+'gm 11 at Chi'!C151+'gm 12 vs NYG'!C151+'gm 13 vs Cle'!C151+'gm 14 at Hou'!C151</f>
        <v>1</v>
      </c>
      <c r="D151">
        <f>+'gm 1 at NE'!D151+'gm 2 vs Pit'!D151+'gm 3 at Cle'!D151+'gm 4 vs Den'!D151+'gm 5 at KC'!D151+'gm 6 at LA'!D151+'gm 7 vs Hou'!D151+'gm 8 at Pit'!D151+'gm 9 vs Oak'!D151+'gm 10 vs Bal'!D151+'gm 11 at Chi'!D151+'gm 12 vs NYG'!D151+'gm 13 vs Cle'!D151+'gm 14 at Hou'!D151</f>
        <v>0</v>
      </c>
      <c r="E151" s="12">
        <f t="shared" si="11"/>
        <v>0</v>
      </c>
      <c r="F151">
        <f>MAX('gm 1 at NE'!F151,'gm 2 vs Pit'!F151,'gm 3 at Cle'!F151,'gm 4 vs Den'!F151,'gm 5 at KC'!F151,'gm 6 at LA'!F151,'gm 7 vs Hou'!F151,'gm 9 vs Oak'!F151,'gm 10 vs Bal'!F151,'gm 11 at Chi'!F151,'gm 12 vs NYG'!F151,'gm 13 vs Cle'!F151,'gm 14 at Hou'!F151,+'gm 8 at Pit'!F151)</f>
        <v>0</v>
      </c>
      <c r="G151">
        <f>+'gm 1 at NE'!G151+'gm 2 vs Pit'!G151+'gm 3 at Cle'!G151+'gm 4 vs Den'!G151+'gm 5 at KC'!G151+'gm 6 at LA'!G151+'gm 7 vs Hou'!G151+'gm 8 at Pit'!G151+'gm 9 vs Oak'!G151+'gm 10 vs Bal'!G151+'gm 11 at Chi'!G151+'gm 12 vs NYG'!G151+'gm 13 vs Cle'!G151+'gm 14 at Hou'!G151</f>
        <v>0</v>
      </c>
      <c r="H151">
        <f>+'gm 1 at NE'!H151+'gm 2 vs Pit'!H151+'gm 3 at Cle'!H151+'gm 4 vs Den'!H151+'gm 5 at KC'!H151+'gm 6 at LA'!H151+'gm 7 vs Hou'!H151+'gm 8 at Pit'!H151+'gm 9 vs Oak'!H151+'gm 10 vs Bal'!H151+'gm 11 at Chi'!H151+'gm 12 vs NYG'!H151+'gm 13 vs Cle'!H151+'gm 14 at Hou'!H151</f>
        <v>0</v>
      </c>
    </row>
    <row r="152" spans="1:8" ht="12">
      <c r="A152" t="s">
        <v>117</v>
      </c>
      <c r="B152" t="s">
        <v>149</v>
      </c>
      <c r="C152">
        <f>+'gm 1 at NE'!C152+'gm 2 vs Pit'!C152+'gm 3 at Cle'!C152+'gm 4 vs Den'!C152+'gm 5 at KC'!C152+'gm 6 at LA'!C152+'gm 7 vs Hou'!C152+'gm 8 at Pit'!C152+'gm 9 vs Oak'!C152+'gm 10 vs Bal'!C152+'gm 11 at Chi'!C152+'gm 12 vs NYG'!C152+'gm 13 vs Cle'!C152+'gm 14 at Hou'!C152</f>
        <v>4</v>
      </c>
      <c r="D152">
        <f>+'gm 1 at NE'!D152+'gm 2 vs Pit'!D152+'gm 3 at Cle'!D152+'gm 4 vs Den'!D152+'gm 5 at KC'!D152+'gm 6 at LA'!D152+'gm 7 vs Hou'!D152+'gm 8 at Pit'!D152+'gm 9 vs Oak'!D152+'gm 10 vs Bal'!D152+'gm 11 at Chi'!D152+'gm 12 vs NYG'!D152+'gm 13 vs Cle'!D152+'gm 14 at Hou'!D152</f>
        <v>31</v>
      </c>
      <c r="E152" s="12">
        <f t="shared" si="11"/>
        <v>7.75</v>
      </c>
      <c r="F152">
        <f>MAX('gm 1 at NE'!F152,'gm 2 vs Pit'!F152,'gm 3 at Cle'!F152,'gm 4 vs Den'!F152,'gm 5 at KC'!F152,'gm 6 at LA'!F152,'gm 7 vs Hou'!F152,'gm 9 vs Oak'!F152,'gm 10 vs Bal'!F152,'gm 11 at Chi'!F152,'gm 12 vs NYG'!F152,'gm 13 vs Cle'!F152,'gm 14 at Hou'!F152,+'gm 8 at Pit'!F152)</f>
        <v>20</v>
      </c>
      <c r="G152">
        <f>+'gm 1 at NE'!G152+'gm 2 vs Pit'!G152+'gm 3 at Cle'!G152+'gm 4 vs Den'!G152+'gm 5 at KC'!G152+'gm 6 at LA'!G152+'gm 7 vs Hou'!G152+'gm 8 at Pit'!G152+'gm 9 vs Oak'!G152+'gm 10 vs Bal'!G152+'gm 11 at Chi'!G152+'gm 12 vs NYG'!G152+'gm 13 vs Cle'!G152+'gm 14 at Hou'!G152</f>
        <v>0</v>
      </c>
      <c r="H152">
        <f>+'gm 1 at NE'!H152+'gm 2 vs Pit'!H152+'gm 3 at Cle'!H152+'gm 4 vs Den'!H152+'gm 5 at KC'!H152+'gm 6 at LA'!H152+'gm 7 vs Hou'!H152+'gm 8 at Pit'!H152+'gm 9 vs Oak'!H152+'gm 10 vs Bal'!H152+'gm 11 at Chi'!H152+'gm 12 vs NYG'!H152+'gm 13 vs Cle'!H152+'gm 14 at Hou'!H152</f>
        <v>1</v>
      </c>
    </row>
    <row r="153" spans="1:8" ht="12">
      <c r="A153" t="s">
        <v>125</v>
      </c>
      <c r="B153" t="s">
        <v>149</v>
      </c>
      <c r="C153">
        <f>+'gm 1 at NE'!C153+'gm 2 vs Pit'!C153+'gm 3 at Cle'!C153+'gm 4 vs Den'!C153+'gm 5 at KC'!C153+'gm 6 at LA'!C153+'gm 7 vs Hou'!C153+'gm 8 at Pit'!C153+'gm 9 vs Oak'!C153+'gm 10 vs Bal'!C153+'gm 11 at Chi'!C153+'gm 12 vs NYG'!C153+'gm 13 vs Cle'!C153+'gm 14 at Hou'!C153</f>
        <v>2</v>
      </c>
      <c r="D153">
        <f>+'gm 1 at NE'!D153+'gm 2 vs Pit'!D153+'gm 3 at Cle'!D153+'gm 4 vs Den'!D153+'gm 5 at KC'!D153+'gm 6 at LA'!D153+'gm 7 vs Hou'!D153+'gm 8 at Pit'!D153+'gm 9 vs Oak'!D153+'gm 10 vs Bal'!D153+'gm 11 at Chi'!D153+'gm 12 vs NYG'!D153+'gm 13 vs Cle'!D153+'gm 14 at Hou'!D153</f>
        <v>0</v>
      </c>
      <c r="E153" s="12">
        <f t="shared" si="11"/>
        <v>0</v>
      </c>
      <c r="F153">
        <f>MAX('gm 1 at NE'!F153,'gm 2 vs Pit'!F153,'gm 3 at Cle'!F153,'gm 4 vs Den'!F153,'gm 5 at KC'!F153,'gm 6 at LA'!F153,'gm 7 vs Hou'!F153,'gm 9 vs Oak'!F153,'gm 10 vs Bal'!F153,'gm 11 at Chi'!F153,'gm 12 vs NYG'!F153,'gm 13 vs Cle'!F153,'gm 14 at Hou'!F153,+'gm 8 at Pit'!F153)</f>
        <v>0</v>
      </c>
      <c r="G153">
        <f>+'gm 1 at NE'!G153+'gm 2 vs Pit'!G153+'gm 3 at Cle'!G153+'gm 4 vs Den'!G153+'gm 5 at KC'!G153+'gm 6 at LA'!G153+'gm 7 vs Hou'!G153+'gm 8 at Pit'!G153+'gm 9 vs Oak'!G153+'gm 10 vs Bal'!G153+'gm 11 at Chi'!G153+'gm 12 vs NYG'!G153+'gm 13 vs Cle'!G153+'gm 14 at Hou'!G153</f>
        <v>0</v>
      </c>
      <c r="H153">
        <f>+'gm 1 at NE'!H153+'gm 2 vs Pit'!H153+'gm 3 at Cle'!H153+'gm 4 vs Den'!H153+'gm 5 at KC'!H153+'gm 6 at LA'!H153+'gm 7 vs Hou'!H153+'gm 8 at Pit'!H153+'gm 9 vs Oak'!H153+'gm 10 vs Bal'!H153+'gm 11 at Chi'!H153+'gm 12 vs NYG'!H153+'gm 13 vs Cle'!H153+'gm 14 at Hou'!H153</f>
        <v>0</v>
      </c>
    </row>
    <row r="154" spans="3:8" ht="12">
      <c r="C154">
        <f>+'gm 1 at NE'!C154+'gm 2 vs Pit'!C154+'gm 3 at Cle'!C154+'gm 4 vs Den'!C154+'gm 5 at KC'!C154+'gm 6 at LA'!C154+'gm 7 vs Hou'!C154+'gm 8 at Pit'!C154+'gm 9 vs Oak'!C154+'gm 10 vs Bal'!C154+'gm 11 at Chi'!C154+'gm 12 vs NYG'!C154+'gm 13 vs Cle'!C154+'gm 14 at Hou'!C154</f>
        <v>0</v>
      </c>
      <c r="D154">
        <f>+'gm 1 at NE'!D154+'gm 2 vs Pit'!D154+'gm 3 at Cle'!D154+'gm 4 vs Den'!D154+'gm 5 at KC'!D154+'gm 6 at LA'!D154+'gm 7 vs Hou'!D154+'gm 8 at Pit'!D154+'gm 9 vs Oak'!D154+'gm 10 vs Bal'!D154+'gm 11 at Chi'!D154+'gm 12 vs NYG'!D154+'gm 13 vs Cle'!D154+'gm 14 at Hou'!D154</f>
        <v>0</v>
      </c>
      <c r="E154" s="12">
        <f t="shared" si="11"/>
        <v>0</v>
      </c>
      <c r="F154">
        <f>MAX('gm 1 at NE'!F154,'gm 2 vs Pit'!F154,'gm 3 at Cle'!F154,'gm 4 vs Den'!F154,'gm 5 at KC'!F154,'gm 6 at LA'!F154,'gm 7 vs Hou'!F154,'gm 9 vs Oak'!F154,'gm 10 vs Bal'!F154,'gm 11 at Chi'!F154,'gm 12 vs NYG'!F154,'gm 13 vs Cle'!F154,'gm 14 at Hou'!F154,+'gm 8 at Pit'!F154)</f>
        <v>0</v>
      </c>
      <c r="G154">
        <f>+'gm 1 at NE'!G154+'gm 2 vs Pit'!G154+'gm 3 at Cle'!G154+'gm 4 vs Den'!G154+'gm 5 at KC'!G154+'gm 6 at LA'!G154+'gm 7 vs Hou'!G154+'gm 8 at Pit'!G154+'gm 9 vs Oak'!G154+'gm 10 vs Bal'!G154+'gm 11 at Chi'!G154+'gm 12 vs NYG'!G154+'gm 13 vs Cle'!G154+'gm 14 at Hou'!G154</f>
        <v>0</v>
      </c>
      <c r="H154">
        <f>+'gm 1 at NE'!H154+'gm 2 vs Pit'!H154+'gm 3 at Cle'!H154+'gm 4 vs Den'!H154+'gm 5 at KC'!H154+'gm 6 at LA'!H154+'gm 7 vs Hou'!H154+'gm 8 at Pit'!H154+'gm 9 vs Oak'!H154+'gm 10 vs Bal'!H154+'gm 11 at Chi'!H154+'gm 12 vs NYG'!H154+'gm 13 vs Cle'!H154+'gm 14 at Hou'!H154</f>
        <v>0</v>
      </c>
    </row>
    <row r="155" spans="3:8" ht="12">
      <c r="C155">
        <f>+'gm 1 at NE'!C155+'gm 2 vs Pit'!C155+'gm 3 at Cle'!C155+'gm 4 vs Den'!C155+'gm 5 at KC'!C155+'gm 6 at LA'!C155+'gm 7 vs Hou'!C155+'gm 8 at Pit'!C155+'gm 9 vs Oak'!C155+'gm 10 vs Bal'!C155+'gm 11 at Chi'!C155+'gm 12 vs NYG'!C155+'gm 13 vs Cle'!C155+'gm 14 at Hou'!C155</f>
        <v>0</v>
      </c>
      <c r="D155">
        <f>+'gm 1 at NE'!D155+'gm 2 vs Pit'!D155+'gm 3 at Cle'!D155+'gm 4 vs Den'!D155+'gm 5 at KC'!D155+'gm 6 at LA'!D155+'gm 7 vs Hou'!D155+'gm 8 at Pit'!D155+'gm 9 vs Oak'!D155+'gm 10 vs Bal'!D155+'gm 11 at Chi'!D155+'gm 12 vs NYG'!D155+'gm 13 vs Cle'!D155+'gm 14 at Hou'!D155</f>
        <v>0</v>
      </c>
      <c r="E155" s="12">
        <f t="shared" si="11"/>
        <v>0</v>
      </c>
      <c r="F155">
        <f>MAX('gm 1 at NE'!F155,'gm 2 vs Pit'!F155,'gm 3 at Cle'!F155,'gm 4 vs Den'!F155,'gm 5 at KC'!F155,'gm 6 at LA'!F155,'gm 7 vs Hou'!F155,'gm 9 vs Oak'!F155,'gm 10 vs Bal'!F155,'gm 11 at Chi'!F155,'gm 12 vs NYG'!F155,'gm 13 vs Cle'!F155,'gm 14 at Hou'!F155,+'gm 8 at Pit'!F155)</f>
        <v>0</v>
      </c>
      <c r="G155">
        <f>+'gm 1 at NE'!G155+'gm 2 vs Pit'!G155+'gm 3 at Cle'!G155+'gm 4 vs Den'!G155+'gm 5 at KC'!G155+'gm 6 at LA'!G155+'gm 7 vs Hou'!G155+'gm 8 at Pit'!G155+'gm 9 vs Oak'!G155+'gm 10 vs Bal'!G155+'gm 11 at Chi'!G155+'gm 12 vs NYG'!G155+'gm 13 vs Cle'!G155+'gm 14 at Hou'!G155</f>
        <v>0</v>
      </c>
      <c r="H155">
        <f>+'gm 1 at NE'!H155+'gm 2 vs Pit'!H155+'gm 3 at Cle'!H155+'gm 4 vs Den'!H155+'gm 5 at KC'!H155+'gm 6 at LA'!H155+'gm 7 vs Hou'!H155+'gm 8 at Pit'!H155+'gm 9 vs Oak'!H155+'gm 10 vs Bal'!H155+'gm 11 at Chi'!H155+'gm 12 vs NYG'!H155+'gm 13 vs Cle'!H155+'gm 14 at Hou'!H155</f>
        <v>0</v>
      </c>
    </row>
    <row r="156" spans="3:8" ht="12">
      <c r="C156">
        <f>+'gm 1 at NE'!C156+'gm 2 vs Pit'!C156+'gm 3 at Cle'!C156+'gm 4 vs Den'!C156+'gm 5 at KC'!C156+'gm 6 at LA'!C156+'gm 7 vs Hou'!C156+'gm 8 at Pit'!C156+'gm 9 vs Oak'!C156+'gm 10 vs Bal'!C156+'gm 11 at Chi'!C156+'gm 12 vs NYG'!C156+'gm 13 vs Cle'!C156+'gm 14 at Hou'!C156</f>
        <v>0</v>
      </c>
      <c r="D156">
        <f>+'gm 1 at NE'!D156+'gm 2 vs Pit'!D156+'gm 3 at Cle'!D156+'gm 4 vs Den'!D156+'gm 5 at KC'!D156+'gm 6 at LA'!D156+'gm 7 vs Hou'!D156+'gm 8 at Pit'!D156+'gm 9 vs Oak'!D156+'gm 10 vs Bal'!D156+'gm 11 at Chi'!D156+'gm 12 vs NYG'!D156+'gm 13 vs Cle'!D156+'gm 14 at Hou'!D156</f>
        <v>0</v>
      </c>
      <c r="E156" s="12">
        <f t="shared" si="11"/>
        <v>0</v>
      </c>
      <c r="F156">
        <f>MAX('gm 1 at NE'!F156,'gm 2 vs Pit'!F156,'gm 3 at Cle'!F156,'gm 4 vs Den'!F156,'gm 5 at KC'!F156,'gm 6 at LA'!F156,'gm 7 vs Hou'!F156,'gm 9 vs Oak'!F156,'gm 10 vs Bal'!F156,'gm 11 at Chi'!F156,'gm 12 vs NYG'!F156,'gm 13 vs Cle'!F156,'gm 14 at Hou'!F156,+'gm 8 at Pit'!F156)</f>
        <v>0</v>
      </c>
      <c r="G156">
        <f>+'gm 1 at NE'!G156+'gm 2 vs Pit'!G156+'gm 3 at Cle'!G156+'gm 4 vs Den'!G156+'gm 5 at KC'!G156+'gm 6 at LA'!G156+'gm 7 vs Hou'!G156+'gm 8 at Pit'!G156+'gm 9 vs Oak'!G156+'gm 10 vs Bal'!G156+'gm 11 at Chi'!G156+'gm 12 vs NYG'!G156+'gm 13 vs Cle'!G156+'gm 14 at Hou'!G156</f>
        <v>0</v>
      </c>
      <c r="H156">
        <f>+'gm 1 at NE'!H156+'gm 2 vs Pit'!H156+'gm 3 at Cle'!H156+'gm 4 vs Den'!H156+'gm 5 at KC'!H156+'gm 6 at LA'!H156+'gm 7 vs Hou'!H156+'gm 8 at Pit'!H156+'gm 9 vs Oak'!H156+'gm 10 vs Bal'!H156+'gm 11 at Chi'!H156+'gm 12 vs NYG'!H156+'gm 13 vs Cle'!H156+'gm 14 at Hou'!H156</f>
        <v>0</v>
      </c>
    </row>
    <row r="157" spans="3:8" ht="12">
      <c r="C157">
        <f>+'gm 1 at NE'!C157+'gm 2 vs Pit'!C157+'gm 3 at Cle'!C157+'gm 4 vs Den'!C157+'gm 5 at KC'!C157+'gm 6 at LA'!C157+'gm 7 vs Hou'!C157+'gm 8 at Pit'!C157+'gm 9 vs Oak'!C157+'gm 10 vs Bal'!C157+'gm 11 at Chi'!C157+'gm 12 vs NYG'!C157+'gm 13 vs Cle'!C157+'gm 14 at Hou'!C157</f>
        <v>0</v>
      </c>
      <c r="D157">
        <f>+'gm 1 at NE'!D157+'gm 2 vs Pit'!D157+'gm 3 at Cle'!D157+'gm 4 vs Den'!D157+'gm 5 at KC'!D157+'gm 6 at LA'!D157+'gm 7 vs Hou'!D157+'gm 8 at Pit'!D157+'gm 9 vs Oak'!D157+'gm 10 vs Bal'!D157+'gm 11 at Chi'!D157+'gm 12 vs NYG'!D157+'gm 13 vs Cle'!D157+'gm 14 at Hou'!D157</f>
        <v>0</v>
      </c>
      <c r="E157" s="12">
        <f t="shared" si="11"/>
        <v>0</v>
      </c>
      <c r="F157">
        <f>MAX('gm 1 at NE'!F157,'gm 2 vs Pit'!F157,'gm 3 at Cle'!F157,'gm 4 vs Den'!F157,'gm 5 at KC'!F157,'gm 6 at LA'!F157,'gm 7 vs Hou'!F157,'gm 9 vs Oak'!F157,'gm 10 vs Bal'!F157,'gm 11 at Chi'!F157,'gm 12 vs NYG'!F157,'gm 13 vs Cle'!F157,'gm 14 at Hou'!F157,+'gm 8 at Pit'!F157)</f>
        <v>0</v>
      </c>
      <c r="G157">
        <f>+'gm 1 at NE'!G157+'gm 2 vs Pit'!G157+'gm 3 at Cle'!G157+'gm 4 vs Den'!G157+'gm 5 at KC'!G157+'gm 6 at LA'!G157+'gm 7 vs Hou'!G157+'gm 8 at Pit'!G157+'gm 9 vs Oak'!G157+'gm 10 vs Bal'!G157+'gm 11 at Chi'!G157+'gm 12 vs NYG'!G157+'gm 13 vs Cle'!G157+'gm 14 at Hou'!G157</f>
        <v>0</v>
      </c>
      <c r="H157">
        <f>+'gm 1 at NE'!H157+'gm 2 vs Pit'!H157+'gm 3 at Cle'!H157+'gm 4 vs Den'!H157+'gm 5 at KC'!H157+'gm 6 at LA'!H157+'gm 7 vs Hou'!H157+'gm 8 at Pit'!H157+'gm 9 vs Oak'!H157+'gm 10 vs Bal'!H157+'gm 11 at Chi'!H157+'gm 12 vs NYG'!H157+'gm 13 vs Cle'!H157+'gm 14 at Hou'!H157</f>
        <v>0</v>
      </c>
    </row>
    <row r="158" spans="3:8" ht="12">
      <c r="C158">
        <f>+'gm 1 at NE'!C158+'gm 2 vs Pit'!C158+'gm 3 at Cle'!C158+'gm 4 vs Den'!C158+'gm 5 at KC'!C158+'gm 6 at LA'!C158+'gm 7 vs Hou'!C158+'gm 8 at Pit'!C158+'gm 9 vs Oak'!C158+'gm 10 vs Bal'!C158+'gm 11 at Chi'!C158+'gm 12 vs NYG'!C158+'gm 13 vs Cle'!C158+'gm 14 at Hou'!C158</f>
        <v>0</v>
      </c>
      <c r="D158">
        <f>+'gm 1 at NE'!D158+'gm 2 vs Pit'!D158+'gm 3 at Cle'!D158+'gm 4 vs Den'!D158+'gm 5 at KC'!D158+'gm 6 at LA'!D158+'gm 7 vs Hou'!D158+'gm 8 at Pit'!D158+'gm 9 vs Oak'!D158+'gm 10 vs Bal'!D158+'gm 11 at Chi'!D158+'gm 12 vs NYG'!D158+'gm 13 vs Cle'!D158+'gm 14 at Hou'!D158</f>
        <v>0</v>
      </c>
      <c r="E158" s="12">
        <f t="shared" si="11"/>
        <v>0</v>
      </c>
      <c r="F158">
        <f>MAX('gm 1 at NE'!F158,'gm 2 vs Pit'!F158,'gm 3 at Cle'!F158,'gm 4 vs Den'!F158,'gm 5 at KC'!F158,'gm 6 at LA'!F158,'gm 7 vs Hou'!F158,'gm 9 vs Oak'!F158,'gm 10 vs Bal'!F158,'gm 11 at Chi'!F158,'gm 12 vs NYG'!F158,'gm 13 vs Cle'!F158,'gm 14 at Hou'!F158,+'gm 8 at Pit'!F158)</f>
        <v>0</v>
      </c>
      <c r="G158">
        <f>+'gm 1 at NE'!G158+'gm 2 vs Pit'!G158+'gm 3 at Cle'!G158+'gm 4 vs Den'!G158+'gm 5 at KC'!G158+'gm 6 at LA'!G158+'gm 7 vs Hou'!G158+'gm 8 at Pit'!G158+'gm 9 vs Oak'!G158+'gm 10 vs Bal'!G158+'gm 11 at Chi'!G158+'gm 12 vs NYG'!G158+'gm 13 vs Cle'!G158+'gm 14 at Hou'!G158</f>
        <v>0</v>
      </c>
      <c r="H158">
        <f>+'gm 1 at NE'!H158+'gm 2 vs Pit'!H158+'gm 3 at Cle'!H158+'gm 4 vs Den'!H158+'gm 5 at KC'!H158+'gm 6 at LA'!H158+'gm 7 vs Hou'!H158+'gm 8 at Pit'!H158+'gm 9 vs Oak'!H158+'gm 10 vs Bal'!H158+'gm 11 at Chi'!H158+'gm 12 vs NYG'!H158+'gm 13 vs Cle'!H158+'gm 14 at Hou'!H158</f>
        <v>0</v>
      </c>
    </row>
    <row r="159" spans="3:8" ht="12">
      <c r="C159">
        <f>+'gm 1 at NE'!C159+'gm 2 vs Pit'!C159+'gm 3 at Cle'!C159+'gm 4 vs Den'!C159+'gm 5 at KC'!C159+'gm 6 at LA'!C159+'gm 7 vs Hou'!C159+'gm 8 at Pit'!C159+'gm 9 vs Oak'!C159+'gm 10 vs Bal'!C159+'gm 11 at Chi'!C159+'gm 12 vs NYG'!C159+'gm 13 vs Cle'!C159+'gm 14 at Hou'!C159</f>
        <v>0</v>
      </c>
      <c r="D159">
        <f>+'gm 1 at NE'!D159+'gm 2 vs Pit'!D159+'gm 3 at Cle'!D159+'gm 4 vs Den'!D159+'gm 5 at KC'!D159+'gm 6 at LA'!D159+'gm 7 vs Hou'!D159+'gm 8 at Pit'!D159+'gm 9 vs Oak'!D159+'gm 10 vs Bal'!D159+'gm 11 at Chi'!D159+'gm 12 vs NYG'!D159+'gm 13 vs Cle'!D159+'gm 14 at Hou'!D159</f>
        <v>0</v>
      </c>
      <c r="E159" s="12">
        <f t="shared" si="11"/>
        <v>0</v>
      </c>
      <c r="F159">
        <f>MAX('gm 1 at NE'!F159,'gm 2 vs Pit'!F159,'gm 3 at Cle'!F159,'gm 4 vs Den'!F159,'gm 5 at KC'!F159,'gm 6 at LA'!F159,'gm 7 vs Hou'!F159,'gm 9 vs Oak'!F159,'gm 10 vs Bal'!F159,'gm 11 at Chi'!F159,'gm 12 vs NYG'!F159,'gm 13 vs Cle'!F159,'gm 14 at Hou'!F159,+'gm 8 at Pit'!F159)</f>
        <v>0</v>
      </c>
      <c r="G159">
        <f>+'gm 1 at NE'!G159+'gm 2 vs Pit'!G159+'gm 3 at Cle'!G159+'gm 4 vs Den'!G159+'gm 5 at KC'!G159+'gm 6 at LA'!G159+'gm 7 vs Hou'!G159+'gm 8 at Pit'!G159+'gm 9 vs Oak'!G159+'gm 10 vs Bal'!G159+'gm 11 at Chi'!G159+'gm 12 vs NYG'!G159+'gm 13 vs Cle'!G159+'gm 14 at Hou'!G159</f>
        <v>0</v>
      </c>
      <c r="H159">
        <f>+'gm 1 at NE'!H159+'gm 2 vs Pit'!H159+'gm 3 at Cle'!H159+'gm 4 vs Den'!H159+'gm 5 at KC'!H159+'gm 6 at LA'!H159+'gm 7 vs Hou'!H159+'gm 8 at Pit'!H159+'gm 9 vs Oak'!H159+'gm 10 vs Bal'!H159+'gm 11 at Chi'!H159+'gm 12 vs NYG'!H159+'gm 13 vs Cle'!H159+'gm 14 at Hou'!H159</f>
        <v>0</v>
      </c>
    </row>
    <row r="160" ht="12"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B162" t="s">
        <v>149</v>
      </c>
      <c r="C162">
        <f>+'gm 1 at NE'!C162+'gm 2 vs Pit'!C162+'gm 3 at Cle'!C162+'gm 4 vs Den'!C162+'gm 5 at KC'!C162+'gm 6 at LA'!C162+'gm 7 vs Hou'!C162+'gm 8 at Pit'!C162+'gm 9 vs Oak'!C162+'gm 10 vs Bal'!C162+'gm 11 at Chi'!C162+'gm 12 vs NYG'!C162+'gm 13 vs Cle'!C162+'gm 14 at Hou'!C162</f>
        <v>0</v>
      </c>
      <c r="D162">
        <f>+'gm 1 at NE'!D162+'gm 2 vs Pit'!D162+'gm 3 at Cle'!D162+'gm 4 vs Den'!D162+'gm 5 at KC'!D162+'gm 6 at LA'!D162+'gm 7 vs Hou'!D162+'gm 8 at Pit'!D162+'gm 9 vs Oak'!D162+'gm 10 vs Bal'!D162+'gm 11 at Chi'!D162+'gm 12 vs NYG'!D162+'gm 13 vs Cle'!D162+'gm 14 at Hou'!D162</f>
        <v>0</v>
      </c>
    </row>
    <row r="163" spans="1:4" ht="12">
      <c r="A163" t="s">
        <v>126</v>
      </c>
      <c r="B163" t="s">
        <v>149</v>
      </c>
      <c r="C163">
        <f>+'gm 1 at NE'!C163+'gm 2 vs Pit'!C163+'gm 3 at Cle'!C163+'gm 4 vs Den'!C163+'gm 5 at KC'!C163+'gm 6 at LA'!C163+'gm 7 vs Hou'!C163+'gm 8 at Pit'!C163+'gm 9 vs Oak'!C163+'gm 10 vs Bal'!C163+'gm 11 at Chi'!C163+'gm 12 vs NYG'!C163+'gm 13 vs Cle'!C163+'gm 14 at Hou'!C163</f>
        <v>1</v>
      </c>
      <c r="D163">
        <f>+'gm 1 at NE'!D163+'gm 2 vs Pit'!D163+'gm 3 at Cle'!D163+'gm 4 vs Den'!D163+'gm 5 at KC'!D163+'gm 6 at LA'!D163+'gm 7 vs Hou'!D163+'gm 8 at Pit'!D163+'gm 9 vs Oak'!D163+'gm 10 vs Bal'!D163+'gm 11 at Chi'!D163+'gm 12 vs NYG'!D163+'gm 13 vs Cle'!D163+'gm 14 at Hou'!D163</f>
        <v>4</v>
      </c>
    </row>
    <row r="164" spans="1:4" ht="12">
      <c r="A164" t="s">
        <v>127</v>
      </c>
      <c r="B164" t="s">
        <v>149</v>
      </c>
      <c r="C164">
        <f>+'gm 1 at NE'!C164+'gm 2 vs Pit'!C164+'gm 3 at Cle'!C164+'gm 4 vs Den'!C164+'gm 5 at KC'!C164+'gm 6 at LA'!C164+'gm 7 vs Hou'!C164+'gm 8 at Pit'!C164+'gm 9 vs Oak'!C164+'gm 10 vs Bal'!C164+'gm 11 at Chi'!C164+'gm 12 vs NYG'!C164+'gm 13 vs Cle'!C164+'gm 14 at Hou'!C164</f>
        <v>0</v>
      </c>
      <c r="D164">
        <f>+'gm 1 at NE'!D164+'gm 2 vs Pit'!D164+'gm 3 at Cle'!D164+'gm 4 vs Den'!D164+'gm 5 at KC'!D164+'gm 6 at LA'!D164+'gm 7 vs Hou'!D164+'gm 8 at Pit'!D164+'gm 9 vs Oak'!D164+'gm 10 vs Bal'!D164+'gm 11 at Chi'!D164+'gm 12 vs NYG'!D164+'gm 13 vs Cle'!D164+'gm 14 at Hou'!D164</f>
        <v>0</v>
      </c>
    </row>
    <row r="165" spans="1:4" ht="12">
      <c r="A165" t="s">
        <v>128</v>
      </c>
      <c r="B165" t="s">
        <v>149</v>
      </c>
      <c r="C165">
        <f>+'gm 1 at NE'!C165+'gm 2 vs Pit'!C165+'gm 3 at Cle'!C165+'gm 4 vs Den'!C165+'gm 5 at KC'!C165+'gm 6 at LA'!C165+'gm 7 vs Hou'!C165+'gm 8 at Pit'!C165+'gm 9 vs Oak'!C165+'gm 10 vs Bal'!C165+'gm 11 at Chi'!C165+'gm 12 vs NYG'!C165+'gm 13 vs Cle'!C165+'gm 14 at Hou'!C165</f>
        <v>6</v>
      </c>
      <c r="D165">
        <f>+'gm 1 at NE'!D165+'gm 2 vs Pit'!D165+'gm 3 at Cle'!D165+'gm 4 vs Den'!D165+'gm 5 at KC'!D165+'gm 6 at LA'!D165+'gm 7 vs Hou'!D165+'gm 8 at Pit'!D165+'gm 9 vs Oak'!D165+'gm 10 vs Bal'!D165+'gm 11 at Chi'!D165+'gm 12 vs NYG'!D165+'gm 13 vs Cle'!D165+'gm 14 at Hou'!D165</f>
        <v>41</v>
      </c>
    </row>
    <row r="166" spans="1:4" ht="12">
      <c r="A166" t="s">
        <v>129</v>
      </c>
      <c r="B166" t="s">
        <v>149</v>
      </c>
      <c r="C166">
        <f>+'gm 1 at NE'!C166+'gm 2 vs Pit'!C166+'gm 3 at Cle'!C166+'gm 4 vs Den'!C166+'gm 5 at KC'!C166+'gm 6 at LA'!C166+'gm 7 vs Hou'!C166+'gm 8 at Pit'!C166+'gm 9 vs Oak'!C166+'gm 10 vs Bal'!C166+'gm 11 at Chi'!C166+'gm 12 vs NYG'!C166+'gm 13 vs Cle'!C166+'gm 14 at Hou'!C166</f>
        <v>1</v>
      </c>
      <c r="D166">
        <f>+'gm 1 at NE'!D166+'gm 2 vs Pit'!D166+'gm 3 at Cle'!D166+'gm 4 vs Den'!D166+'gm 5 at KC'!D166+'gm 6 at LA'!D166+'gm 7 vs Hou'!D166+'gm 8 at Pit'!D166+'gm 9 vs Oak'!D166+'gm 10 vs Bal'!D166+'gm 11 at Chi'!D166+'gm 12 vs NYG'!D166+'gm 13 vs Cle'!D166+'gm 14 at Hou'!D166</f>
        <v>7</v>
      </c>
    </row>
    <row r="167" spans="1:4" ht="12">
      <c r="A167" t="s">
        <v>116</v>
      </c>
      <c r="B167" t="s">
        <v>149</v>
      </c>
      <c r="C167">
        <f>+'gm 1 at NE'!C167+'gm 2 vs Pit'!C167+'gm 3 at Cle'!C167+'gm 4 vs Den'!C167+'gm 5 at KC'!C167+'gm 6 at LA'!C167+'gm 7 vs Hou'!C167+'gm 8 at Pit'!C167+'gm 9 vs Oak'!C167+'gm 10 vs Bal'!C167+'gm 11 at Chi'!C167+'gm 12 vs NYG'!C167+'gm 13 vs Cle'!C167+'gm 14 at Hou'!C167</f>
        <v>0</v>
      </c>
      <c r="D167">
        <f>+'gm 1 at NE'!D167+'gm 2 vs Pit'!D167+'gm 3 at Cle'!D167+'gm 4 vs Den'!D167+'gm 5 at KC'!D167+'gm 6 at LA'!D167+'gm 7 vs Hou'!D167+'gm 8 at Pit'!D167+'gm 9 vs Oak'!D167+'gm 10 vs Bal'!D167+'gm 11 at Chi'!D167+'gm 12 vs NYG'!D167+'gm 13 vs Cle'!D167+'gm 14 at Hou'!D167</f>
        <v>0</v>
      </c>
    </row>
    <row r="168" spans="1:4" ht="12">
      <c r="A168" t="s">
        <v>130</v>
      </c>
      <c r="B168" t="s">
        <v>149</v>
      </c>
      <c r="C168">
        <f>+'gm 1 at NE'!C168+'gm 2 vs Pit'!C168+'gm 3 at Cle'!C168+'gm 4 vs Den'!C168+'gm 5 at KC'!C168+'gm 6 at LA'!C168+'gm 7 vs Hou'!C168+'gm 8 at Pit'!C168+'gm 9 vs Oak'!C168+'gm 10 vs Bal'!C168+'gm 11 at Chi'!C168+'gm 12 vs NYG'!C168+'gm 13 vs Cle'!C168+'gm 14 at Hou'!C168</f>
        <v>3.5</v>
      </c>
      <c r="D168">
        <f>+'gm 1 at NE'!D168+'gm 2 vs Pit'!D168+'gm 3 at Cle'!D168+'gm 4 vs Den'!D168+'gm 5 at KC'!D168+'gm 6 at LA'!D168+'gm 7 vs Hou'!D168+'gm 8 at Pit'!D168+'gm 9 vs Oak'!D168+'gm 10 vs Bal'!D168+'gm 11 at Chi'!D168+'gm 12 vs NYG'!D168+'gm 13 vs Cle'!D168+'gm 14 at Hou'!D168</f>
        <v>24</v>
      </c>
    </row>
    <row r="169" spans="1:4" ht="12">
      <c r="A169" t="s">
        <v>131</v>
      </c>
      <c r="B169" t="s">
        <v>149</v>
      </c>
      <c r="C169">
        <f>+'gm 1 at NE'!C169+'gm 2 vs Pit'!C169+'gm 3 at Cle'!C169+'gm 4 vs Den'!C169+'gm 5 at KC'!C169+'gm 6 at LA'!C169+'gm 7 vs Hou'!C169+'gm 8 at Pit'!C169+'gm 9 vs Oak'!C169+'gm 10 vs Bal'!C169+'gm 11 at Chi'!C169+'gm 12 vs NYG'!C169+'gm 13 vs Cle'!C169+'gm 14 at Hou'!C169</f>
        <v>2.5</v>
      </c>
      <c r="D169">
        <f>+'gm 1 at NE'!D169+'gm 2 vs Pit'!D169+'gm 3 at Cle'!D169+'gm 4 vs Den'!D169+'gm 5 at KC'!D169+'gm 6 at LA'!D169+'gm 7 vs Hou'!D169+'gm 8 at Pit'!D169+'gm 9 vs Oak'!D169+'gm 10 vs Bal'!D169+'gm 11 at Chi'!D169+'gm 12 vs NYG'!D169+'gm 13 vs Cle'!D169+'gm 14 at Hou'!D169</f>
        <v>21</v>
      </c>
    </row>
    <row r="170" spans="1:4" ht="12">
      <c r="A170" t="s">
        <v>132</v>
      </c>
      <c r="B170" t="s">
        <v>149</v>
      </c>
      <c r="C170">
        <f>+'gm 1 at NE'!C170+'gm 2 vs Pit'!C170+'gm 3 at Cle'!C170+'gm 4 vs Den'!C170+'gm 5 at KC'!C170+'gm 6 at LA'!C170+'gm 7 vs Hou'!C170+'gm 8 at Pit'!C170+'gm 9 vs Oak'!C170+'gm 10 vs Bal'!C170+'gm 11 at Chi'!C170+'gm 12 vs NYG'!C170+'gm 13 vs Cle'!C170+'gm 14 at Hou'!C170</f>
        <v>10.5</v>
      </c>
      <c r="D170">
        <f>+'gm 1 at NE'!D170+'gm 2 vs Pit'!D170+'gm 3 at Cle'!D170+'gm 4 vs Den'!D170+'gm 5 at KC'!D170+'gm 6 at LA'!D170+'gm 7 vs Hou'!D170+'gm 8 at Pit'!D170+'gm 9 vs Oak'!D170+'gm 10 vs Bal'!D170+'gm 11 at Chi'!D170+'gm 12 vs NYG'!D170+'gm 13 vs Cle'!D170+'gm 14 at Hou'!D170</f>
        <v>71</v>
      </c>
    </row>
    <row r="171" spans="1:4" ht="12">
      <c r="A171" t="s">
        <v>133</v>
      </c>
      <c r="B171" t="s">
        <v>149</v>
      </c>
      <c r="C171">
        <f>+'gm 1 at NE'!C171+'gm 2 vs Pit'!C171+'gm 3 at Cle'!C171+'gm 4 vs Den'!C171+'gm 5 at KC'!C171+'gm 6 at LA'!C171+'gm 7 vs Hou'!C171+'gm 8 at Pit'!C171+'gm 9 vs Oak'!C171+'gm 10 vs Bal'!C171+'gm 11 at Chi'!C171+'gm 12 vs NYG'!C171+'gm 13 vs Cle'!C171+'gm 14 at Hou'!C171</f>
        <v>9.5</v>
      </c>
      <c r="D171">
        <f>+'gm 1 at NE'!D171+'gm 2 vs Pit'!D171+'gm 3 at Cle'!D171+'gm 4 vs Den'!D171+'gm 5 at KC'!D171+'gm 6 at LA'!D171+'gm 7 vs Hou'!D171+'gm 8 at Pit'!D171+'gm 9 vs Oak'!D171+'gm 10 vs Bal'!D171+'gm 11 at Chi'!D171+'gm 12 vs NYG'!D171+'gm 13 vs Cle'!D171+'gm 14 at Hou'!D171</f>
        <v>59</v>
      </c>
    </row>
    <row r="172" spans="1:4" ht="12">
      <c r="A172" s="2"/>
      <c r="C172">
        <f>+'gm 1 at NE'!C172+'gm 2 vs Pit'!C172+'gm 3 at Cle'!C172+'gm 4 vs Den'!C172+'gm 5 at KC'!C172+'gm 6 at LA'!C172+'gm 7 vs Hou'!C172+'gm 8 at Pit'!C172+'gm 9 vs Oak'!C172+'gm 10 vs Bal'!C172+'gm 11 at Chi'!C172+'gm 12 vs NYG'!C172+'gm 13 vs Cle'!C172+'gm 14 at Hou'!C172</f>
        <v>0</v>
      </c>
      <c r="D172">
        <f>+'gm 1 at NE'!D172+'gm 2 vs Pit'!D172+'gm 3 at Cle'!D172+'gm 4 vs Den'!D172+'gm 5 at KC'!D172+'gm 6 at LA'!D172+'gm 7 vs Hou'!D172+'gm 8 at Pit'!D172+'gm 9 vs Oak'!D172+'gm 10 vs Bal'!D172+'gm 11 at Chi'!D172+'gm 12 vs NYG'!D172+'gm 13 vs Cle'!D172+'gm 14 at Hou'!D172</f>
        <v>0</v>
      </c>
    </row>
    <row r="173" spans="1:4" ht="12">
      <c r="A173" s="2"/>
      <c r="C173">
        <f>+'gm 1 at NE'!C173+'gm 2 vs Pit'!C173+'gm 3 at Cle'!C173+'gm 4 vs Den'!C173+'gm 5 at KC'!C173+'gm 6 at LA'!C173+'gm 7 vs Hou'!C173+'gm 8 at Pit'!C173+'gm 9 vs Oak'!C173+'gm 10 vs Bal'!C173+'gm 11 at Chi'!C173+'gm 12 vs NYG'!C173+'gm 13 vs Cle'!C173+'gm 14 at Hou'!C173</f>
        <v>0</v>
      </c>
      <c r="D173">
        <f>+'gm 1 at NE'!D173+'gm 2 vs Pit'!D173+'gm 3 at Cle'!D173+'gm 4 vs Den'!D173+'gm 5 at KC'!D173+'gm 6 at LA'!D173+'gm 7 vs Hou'!D173+'gm 8 at Pit'!D173+'gm 9 vs Oak'!D173+'gm 10 vs Bal'!D173+'gm 11 at Chi'!D173+'gm 12 vs NYG'!D173+'gm 13 vs Cle'!D173+'gm 14 at Hou'!D173</f>
        <v>0</v>
      </c>
    </row>
    <row r="174" spans="1:4" ht="12">
      <c r="A174" s="2"/>
      <c r="C174">
        <f>+'gm 1 at NE'!C174+'gm 2 vs Pit'!C174+'gm 3 at Cle'!C174+'gm 4 vs Den'!C174+'gm 5 at KC'!C174+'gm 6 at LA'!C174+'gm 7 vs Hou'!C174+'gm 8 at Pit'!C174+'gm 9 vs Oak'!C174+'gm 10 vs Bal'!C174+'gm 11 at Chi'!C174+'gm 12 vs NYG'!C174+'gm 13 vs Cle'!C174+'gm 14 at Hou'!C174</f>
        <v>0</v>
      </c>
      <c r="D174">
        <f>+'gm 1 at NE'!D174+'gm 2 vs Pit'!D174+'gm 3 at Cle'!D174+'gm 4 vs Den'!D174+'gm 5 at KC'!D174+'gm 6 at LA'!D174+'gm 7 vs Hou'!D174+'gm 8 at Pit'!D174+'gm 9 vs Oak'!D174+'gm 10 vs Bal'!D174+'gm 11 at Chi'!D174+'gm 12 vs NYG'!D174+'gm 13 vs Cle'!D174+'gm 14 at Hou'!D174</f>
        <v>0</v>
      </c>
    </row>
    <row r="175" spans="1:4" ht="12">
      <c r="A175" s="2"/>
      <c r="C175">
        <f>+'gm 1 at NE'!C175+'gm 2 vs Pit'!C175+'gm 3 at Cle'!C175+'gm 4 vs Den'!C175+'gm 5 at KC'!C175+'gm 6 at LA'!C175+'gm 7 vs Hou'!C175+'gm 8 at Pit'!C175+'gm 9 vs Oak'!C175+'gm 10 vs Bal'!C175+'gm 11 at Chi'!C175+'gm 12 vs NYG'!C175+'gm 13 vs Cle'!C175+'gm 14 at Hou'!C175</f>
        <v>0</v>
      </c>
      <c r="D175">
        <f>+'gm 1 at NE'!D175+'gm 2 vs Pit'!D175+'gm 3 at Cle'!D175+'gm 4 vs Den'!D175+'gm 5 at KC'!D175+'gm 6 at LA'!D175+'gm 7 vs Hou'!D175+'gm 8 at Pit'!D175+'gm 9 vs Oak'!D175+'gm 10 vs Bal'!D175+'gm 11 at Chi'!D175+'gm 12 vs NYG'!D175+'gm 13 vs Cle'!D175+'gm 14 at Hou'!D175</f>
        <v>0</v>
      </c>
    </row>
    <row r="176" spans="1:4" ht="12">
      <c r="A176" s="2"/>
      <c r="C176">
        <f>+'gm 1 at NE'!C176+'gm 2 vs Pit'!C176+'gm 3 at Cle'!C176+'gm 4 vs Den'!C176+'gm 5 at KC'!C176+'gm 6 at LA'!C176+'gm 7 vs Hou'!C176+'gm 8 at Pit'!C176+'gm 9 vs Oak'!C176+'gm 10 vs Bal'!C176+'gm 11 at Chi'!C176+'gm 12 vs NYG'!C176+'gm 13 vs Cle'!C176+'gm 14 at Hou'!C176</f>
        <v>0</v>
      </c>
      <c r="D176">
        <f>+'gm 1 at NE'!D176+'gm 2 vs Pit'!D176+'gm 3 at Cle'!D176+'gm 4 vs Den'!D176+'gm 5 at KC'!D176+'gm 6 at LA'!D176+'gm 7 vs Hou'!D176+'gm 8 at Pit'!D176+'gm 9 vs Oak'!D176+'gm 10 vs Bal'!D176+'gm 11 at Chi'!D176+'gm 12 vs NYG'!D176+'gm 13 vs Cle'!D176+'gm 14 at Hou'!D176</f>
        <v>0</v>
      </c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spans="1:7" ht="12">
      <c r="A180" t="s">
        <v>122</v>
      </c>
      <c r="B180" t="s">
        <v>149</v>
      </c>
      <c r="C180">
        <f>+'gm 1 at NE'!C180+'gm 2 vs Pit'!C180+'gm 3 at Cle'!C180+'gm 4 vs Den'!C180+'gm 5 at KC'!C180+'gm 6 at LA'!C180+'gm 7 vs Hou'!C180+'gm 8 at Pit'!C180+'gm 9 vs Oak'!C180+'gm 10 vs Bal'!C180+'gm 11 at Chi'!C180+'gm 12 vs NYG'!C180+'gm 13 vs Cle'!C180+'gm 14 at Hou'!C180</f>
        <v>1</v>
      </c>
      <c r="D180">
        <f>+'gm 1 at NE'!D180+'gm 2 vs Pit'!D180+'gm 3 at Cle'!D180+'gm 4 vs Den'!D180+'gm 5 at KC'!D180+'gm 6 at LA'!D180+'gm 7 vs Hou'!D180+'gm 8 at Pit'!D180+'gm 9 vs Oak'!D180+'gm 10 vs Bal'!D180+'gm 11 at Chi'!D180+'gm 12 vs NYG'!D180+'gm 13 vs Cle'!D180+'gm 14 at Hou'!D180</f>
        <v>0</v>
      </c>
      <c r="E180">
        <f>MAX('gm 1 at NE'!E180,'gm 2 vs Pit'!E180,'gm 3 at Cle'!E180,'gm 4 vs Den'!E180,'gm 5 at KC'!E180,'gm 6 at LA'!E180,'gm 7 vs Hou'!E180,'gm 9 vs Oak'!E180,'gm 10 vs Bal'!E180,'gm 11 at Chi'!E180,'gm 12 vs NYG'!E180,'gm 13 vs Cle'!E180,'gm 14 at Hou'!E180,+'gm 8 at Pit'!E180)</f>
        <v>0</v>
      </c>
      <c r="F180">
        <f>+'gm 1 at NE'!F180+'gm 2 vs Pit'!F180+'gm 3 at Cle'!F180+'gm 4 vs Den'!F180+'gm 5 at KC'!F180+'gm 6 at LA'!F180+'gm 7 vs Hou'!F180+'gm 8 at Pit'!F180+'gm 9 vs Oak'!F180+'gm 10 vs Bal'!F180+'gm 11 at Chi'!F180+'gm 12 vs NYG'!F180+'gm 13 vs Cle'!F180+'gm 14 at Hou'!F180</f>
        <v>0</v>
      </c>
      <c r="G180">
        <f>+'gm 1 at NE'!G180+'gm 2 vs Pit'!G180+'gm 3 at Cle'!G180+'gm 4 vs Den'!G180+'gm 5 at KC'!G180+'gm 6 at LA'!G180+'gm 7 vs Hou'!G180+'gm 8 at Pit'!G180+'gm 9 vs Oak'!G180+'gm 10 vs Bal'!G180+'gm 11 at Chi'!G180+'gm 12 vs NYG'!G180+'gm 13 vs Cle'!G180+'gm 14 at Hou'!G180</f>
        <v>0</v>
      </c>
    </row>
    <row r="181" spans="1:7" ht="12">
      <c r="A181" t="s">
        <v>100</v>
      </c>
      <c r="B181" t="s">
        <v>149</v>
      </c>
      <c r="C181">
        <f>+'gm 1 at NE'!C181+'gm 2 vs Pit'!C181+'gm 3 at Cle'!C181+'gm 4 vs Den'!C181+'gm 5 at KC'!C181+'gm 6 at LA'!C181+'gm 7 vs Hou'!C181+'gm 8 at Pit'!C181+'gm 9 vs Oak'!C181+'gm 10 vs Bal'!C181+'gm 11 at Chi'!C181+'gm 12 vs NYG'!C181+'gm 13 vs Cle'!C181+'gm 14 at Hou'!C181</f>
        <v>0</v>
      </c>
      <c r="D181">
        <f>+'gm 1 at NE'!D181+'gm 2 vs Pit'!D181+'gm 3 at Cle'!D181+'gm 4 vs Den'!D181+'gm 5 at KC'!D181+'gm 6 at LA'!D181+'gm 7 vs Hou'!D181+'gm 8 at Pit'!D181+'gm 9 vs Oak'!D181+'gm 10 vs Bal'!D181+'gm 11 at Chi'!D181+'gm 12 vs NYG'!D181+'gm 13 vs Cle'!D181+'gm 14 at Hou'!D181</f>
        <v>0</v>
      </c>
      <c r="E181">
        <f>MAX('gm 1 at NE'!E181,'gm 2 vs Pit'!E181,'gm 3 at Cle'!E181,'gm 4 vs Den'!E181,'gm 5 at KC'!E181,'gm 6 at LA'!E181,'gm 7 vs Hou'!E181,'gm 9 vs Oak'!E181,'gm 10 vs Bal'!E181,'gm 11 at Chi'!E181,'gm 12 vs NYG'!E181,'gm 13 vs Cle'!E181,'gm 14 at Hou'!E181,+'gm 8 at Pit'!E181)</f>
        <v>0</v>
      </c>
      <c r="F181">
        <f>+'gm 1 at NE'!F181+'gm 2 vs Pit'!F181+'gm 3 at Cle'!F181+'gm 4 vs Den'!F181+'gm 5 at KC'!F181+'gm 6 at LA'!F181+'gm 7 vs Hou'!F181+'gm 8 at Pit'!F181+'gm 9 vs Oak'!F181+'gm 10 vs Bal'!F181+'gm 11 at Chi'!F181+'gm 12 vs NYG'!F181+'gm 13 vs Cle'!F181+'gm 14 at Hou'!F181</f>
        <v>0</v>
      </c>
      <c r="G181">
        <f>+'gm 1 at NE'!G181+'gm 2 vs Pit'!G181+'gm 3 at Cle'!G181+'gm 4 vs Den'!G181+'gm 5 at KC'!G181+'gm 6 at LA'!G181+'gm 7 vs Hou'!G181+'gm 8 at Pit'!G181+'gm 9 vs Oak'!G181+'gm 10 vs Bal'!G181+'gm 11 at Chi'!G181+'gm 12 vs NYG'!G181+'gm 13 vs Cle'!G181+'gm 14 at Hou'!G181</f>
        <v>0</v>
      </c>
    </row>
    <row r="182" spans="1:7" ht="12">
      <c r="A182" t="s">
        <v>126</v>
      </c>
      <c r="B182" t="s">
        <v>149</v>
      </c>
      <c r="C182">
        <f>+'gm 1 at NE'!C182+'gm 2 vs Pit'!C182+'gm 3 at Cle'!C182+'gm 4 vs Den'!C182+'gm 5 at KC'!C182+'gm 6 at LA'!C182+'gm 7 vs Hou'!C182+'gm 8 at Pit'!C182+'gm 9 vs Oak'!C182+'gm 10 vs Bal'!C182+'gm 11 at Chi'!C182+'gm 12 vs NYG'!C182+'gm 13 vs Cle'!C182+'gm 14 at Hou'!C182</f>
        <v>0</v>
      </c>
      <c r="D182">
        <f>+'gm 1 at NE'!D182+'gm 2 vs Pit'!D182+'gm 3 at Cle'!D182+'gm 4 vs Den'!D182+'gm 5 at KC'!D182+'gm 6 at LA'!D182+'gm 7 vs Hou'!D182+'gm 8 at Pit'!D182+'gm 9 vs Oak'!D182+'gm 10 vs Bal'!D182+'gm 11 at Chi'!D182+'gm 12 vs NYG'!D182+'gm 13 vs Cle'!D182+'gm 14 at Hou'!D182</f>
        <v>0</v>
      </c>
      <c r="E182">
        <f>MAX('gm 1 at NE'!E182,'gm 2 vs Pit'!E182,'gm 3 at Cle'!E182,'gm 4 vs Den'!E182,'gm 5 at KC'!E182,'gm 6 at LA'!E182,'gm 7 vs Hou'!E182,'gm 9 vs Oak'!E182,'gm 10 vs Bal'!E182,'gm 11 at Chi'!E182,'gm 12 vs NYG'!E182,'gm 13 vs Cle'!E182,'gm 14 at Hou'!E182,+'gm 8 at Pit'!E182)</f>
        <v>0</v>
      </c>
      <c r="F182">
        <f>+'gm 1 at NE'!F182+'gm 2 vs Pit'!F182+'gm 3 at Cle'!F182+'gm 4 vs Den'!F182+'gm 5 at KC'!F182+'gm 6 at LA'!F182+'gm 7 vs Hou'!F182+'gm 8 at Pit'!F182+'gm 9 vs Oak'!F182+'gm 10 vs Bal'!F182+'gm 11 at Chi'!F182+'gm 12 vs NYG'!F182+'gm 13 vs Cle'!F182+'gm 14 at Hou'!F182</f>
        <v>0</v>
      </c>
      <c r="G182">
        <f>+'gm 1 at NE'!G182+'gm 2 vs Pit'!G182+'gm 3 at Cle'!G182+'gm 4 vs Den'!G182+'gm 5 at KC'!G182+'gm 6 at LA'!G182+'gm 7 vs Hou'!G182+'gm 8 at Pit'!G182+'gm 9 vs Oak'!G182+'gm 10 vs Bal'!G182+'gm 11 at Chi'!G182+'gm 12 vs NYG'!G182+'gm 13 vs Cle'!G182+'gm 14 at Hou'!G182</f>
        <v>0</v>
      </c>
    </row>
    <row r="183" spans="1:7" ht="12">
      <c r="A183" t="s">
        <v>123</v>
      </c>
      <c r="B183" t="s">
        <v>149</v>
      </c>
      <c r="C183">
        <f>+'gm 1 at NE'!C183+'gm 2 vs Pit'!C183+'gm 3 at Cle'!C183+'gm 4 vs Den'!C183+'gm 5 at KC'!C183+'gm 6 at LA'!C183+'gm 7 vs Hou'!C183+'gm 8 at Pit'!C183+'gm 9 vs Oak'!C183+'gm 10 vs Bal'!C183+'gm 11 at Chi'!C183+'gm 12 vs NYG'!C183+'gm 13 vs Cle'!C183+'gm 14 at Hou'!C183</f>
        <v>0</v>
      </c>
      <c r="D183">
        <f>+'gm 1 at NE'!D183+'gm 2 vs Pit'!D183+'gm 3 at Cle'!D183+'gm 4 vs Den'!D183+'gm 5 at KC'!D183+'gm 6 at LA'!D183+'gm 7 vs Hou'!D183+'gm 8 at Pit'!D183+'gm 9 vs Oak'!D183+'gm 10 vs Bal'!D183+'gm 11 at Chi'!D183+'gm 12 vs NYG'!D183+'gm 13 vs Cle'!D183+'gm 14 at Hou'!D183</f>
        <v>0</v>
      </c>
      <c r="E183">
        <f>MAX('gm 1 at NE'!E183,'gm 2 vs Pit'!E183,'gm 3 at Cle'!E183,'gm 4 vs Den'!E183,'gm 5 at KC'!E183,'gm 6 at LA'!E183,'gm 7 vs Hou'!E183,'gm 9 vs Oak'!E183,'gm 10 vs Bal'!E183,'gm 11 at Chi'!E183,'gm 12 vs NYG'!E183,'gm 13 vs Cle'!E183,'gm 14 at Hou'!E183,+'gm 8 at Pit'!E183)</f>
        <v>0</v>
      </c>
      <c r="F183">
        <f>+'gm 1 at NE'!F183+'gm 2 vs Pit'!F183+'gm 3 at Cle'!F183+'gm 4 vs Den'!F183+'gm 5 at KC'!F183+'gm 6 at LA'!F183+'gm 7 vs Hou'!F183+'gm 8 at Pit'!F183+'gm 9 vs Oak'!F183+'gm 10 vs Bal'!F183+'gm 11 at Chi'!F183+'gm 12 vs NYG'!F183+'gm 13 vs Cle'!F183+'gm 14 at Hou'!F183</f>
        <v>0</v>
      </c>
      <c r="G183">
        <f>+'gm 1 at NE'!G183+'gm 2 vs Pit'!G183+'gm 3 at Cle'!G183+'gm 4 vs Den'!G183+'gm 5 at KC'!G183+'gm 6 at LA'!G183+'gm 7 vs Hou'!G183+'gm 8 at Pit'!G183+'gm 9 vs Oak'!G183+'gm 10 vs Bal'!G183+'gm 11 at Chi'!G183+'gm 12 vs NYG'!G183+'gm 13 vs Cle'!G183+'gm 14 at Hou'!G183</f>
        <v>0</v>
      </c>
    </row>
    <row r="184" spans="1:7" ht="12">
      <c r="A184" t="s">
        <v>127</v>
      </c>
      <c r="B184" t="s">
        <v>149</v>
      </c>
      <c r="C184">
        <f>+'gm 1 at NE'!C184+'gm 2 vs Pit'!C184+'gm 3 at Cle'!C184+'gm 4 vs Den'!C184+'gm 5 at KC'!C184+'gm 6 at LA'!C184+'gm 7 vs Hou'!C184+'gm 8 at Pit'!C184+'gm 9 vs Oak'!C184+'gm 10 vs Bal'!C184+'gm 11 at Chi'!C184+'gm 12 vs NYG'!C184+'gm 13 vs Cle'!C184+'gm 14 at Hou'!C184</f>
        <v>0</v>
      </c>
      <c r="D184">
        <f>+'gm 1 at NE'!D184+'gm 2 vs Pit'!D184+'gm 3 at Cle'!D184+'gm 4 vs Den'!D184+'gm 5 at KC'!D184+'gm 6 at LA'!D184+'gm 7 vs Hou'!D184+'gm 8 at Pit'!D184+'gm 9 vs Oak'!D184+'gm 10 vs Bal'!D184+'gm 11 at Chi'!D184+'gm 12 vs NYG'!D184+'gm 13 vs Cle'!D184+'gm 14 at Hou'!D184</f>
        <v>0</v>
      </c>
      <c r="E184">
        <f>MAX('gm 1 at NE'!E184,'gm 2 vs Pit'!E184,'gm 3 at Cle'!E184,'gm 4 vs Den'!E184,'gm 5 at KC'!E184,'gm 6 at LA'!E184,'gm 7 vs Hou'!E184,'gm 9 vs Oak'!E184,'gm 10 vs Bal'!E184,'gm 11 at Chi'!E184,'gm 12 vs NYG'!E184,'gm 13 vs Cle'!E184,'gm 14 at Hou'!E184,+'gm 8 at Pit'!E184)</f>
        <v>0</v>
      </c>
      <c r="F184">
        <f>+'gm 1 at NE'!F184+'gm 2 vs Pit'!F184+'gm 3 at Cle'!F184+'gm 4 vs Den'!F184+'gm 5 at KC'!F184+'gm 6 at LA'!F184+'gm 7 vs Hou'!F184+'gm 8 at Pit'!F184+'gm 9 vs Oak'!F184+'gm 10 vs Bal'!F184+'gm 11 at Chi'!F184+'gm 12 vs NYG'!F184+'gm 13 vs Cle'!F184+'gm 14 at Hou'!F184</f>
        <v>0</v>
      </c>
      <c r="G184">
        <f>+'gm 1 at NE'!G184+'gm 2 vs Pit'!G184+'gm 3 at Cle'!G184+'gm 4 vs Den'!G184+'gm 5 at KC'!G184+'gm 6 at LA'!G184+'gm 7 vs Hou'!G184+'gm 8 at Pit'!G184+'gm 9 vs Oak'!G184+'gm 10 vs Bal'!G184+'gm 11 at Chi'!G184+'gm 12 vs NYG'!G184+'gm 13 vs Cle'!G184+'gm 14 at Hou'!G184</f>
        <v>0</v>
      </c>
    </row>
    <row r="185" spans="1:7" ht="12">
      <c r="A185" t="s">
        <v>128</v>
      </c>
      <c r="B185" t="s">
        <v>149</v>
      </c>
      <c r="C185">
        <f>+'gm 1 at NE'!C185+'gm 2 vs Pit'!C185+'gm 3 at Cle'!C185+'gm 4 vs Den'!C185+'gm 5 at KC'!C185+'gm 6 at LA'!C185+'gm 7 vs Hou'!C185+'gm 8 at Pit'!C185+'gm 9 vs Oak'!C185+'gm 10 vs Bal'!C185+'gm 11 at Chi'!C185+'gm 12 vs NYG'!C185+'gm 13 vs Cle'!C185+'gm 14 at Hou'!C185</f>
        <v>1</v>
      </c>
      <c r="D185">
        <f>+'gm 1 at NE'!D185+'gm 2 vs Pit'!D185+'gm 3 at Cle'!D185+'gm 4 vs Den'!D185+'gm 5 at KC'!D185+'gm 6 at LA'!D185+'gm 7 vs Hou'!D185+'gm 8 at Pit'!D185+'gm 9 vs Oak'!D185+'gm 10 vs Bal'!D185+'gm 11 at Chi'!D185+'gm 12 vs NYG'!D185+'gm 13 vs Cle'!D185+'gm 14 at Hou'!D185</f>
        <v>0</v>
      </c>
      <c r="E185">
        <f>MAX('gm 1 at NE'!E185,'gm 2 vs Pit'!E185,'gm 3 at Cle'!E185,'gm 4 vs Den'!E185,'gm 5 at KC'!E185,'gm 6 at LA'!E185,'gm 7 vs Hou'!E185,'gm 9 vs Oak'!E185,'gm 10 vs Bal'!E185,'gm 11 at Chi'!E185,'gm 12 vs NYG'!E185,'gm 13 vs Cle'!E185,'gm 14 at Hou'!E185,+'gm 8 at Pit'!E185)</f>
        <v>0</v>
      </c>
      <c r="F185">
        <f>+'gm 1 at NE'!F185+'gm 2 vs Pit'!F185+'gm 3 at Cle'!F185+'gm 4 vs Den'!F185+'gm 5 at KC'!F185+'gm 6 at LA'!F185+'gm 7 vs Hou'!F185+'gm 8 at Pit'!F185+'gm 9 vs Oak'!F185+'gm 10 vs Bal'!F185+'gm 11 at Chi'!F185+'gm 12 vs NYG'!F185+'gm 13 vs Cle'!F185+'gm 14 at Hou'!F185</f>
        <v>0</v>
      </c>
      <c r="G185">
        <f>+'gm 1 at NE'!G185+'gm 2 vs Pit'!G185+'gm 3 at Cle'!G185+'gm 4 vs Den'!G185+'gm 5 at KC'!G185+'gm 6 at LA'!G185+'gm 7 vs Hou'!G185+'gm 8 at Pit'!G185+'gm 9 vs Oak'!G185+'gm 10 vs Bal'!G185+'gm 11 at Chi'!G185+'gm 12 vs NYG'!G185+'gm 13 vs Cle'!G185+'gm 14 at Hou'!G185</f>
        <v>0</v>
      </c>
    </row>
    <row r="186" spans="1:7" ht="12">
      <c r="A186" t="s">
        <v>111</v>
      </c>
      <c r="B186" t="s">
        <v>149</v>
      </c>
      <c r="C186">
        <f>+'gm 1 at NE'!C186+'gm 2 vs Pit'!C186+'gm 3 at Cle'!C186+'gm 4 vs Den'!C186+'gm 5 at KC'!C186+'gm 6 at LA'!C186+'gm 7 vs Hou'!C186+'gm 8 at Pit'!C186+'gm 9 vs Oak'!C186+'gm 10 vs Bal'!C186+'gm 11 at Chi'!C186+'gm 12 vs NYG'!C186+'gm 13 vs Cle'!C186+'gm 14 at Hou'!C186</f>
        <v>0</v>
      </c>
      <c r="D186">
        <f>+'gm 1 at NE'!D186+'gm 2 vs Pit'!D186+'gm 3 at Cle'!D186+'gm 4 vs Den'!D186+'gm 5 at KC'!D186+'gm 6 at LA'!D186+'gm 7 vs Hou'!D186+'gm 8 at Pit'!D186+'gm 9 vs Oak'!D186+'gm 10 vs Bal'!D186+'gm 11 at Chi'!D186+'gm 12 vs NYG'!D186+'gm 13 vs Cle'!D186+'gm 14 at Hou'!D186</f>
        <v>0</v>
      </c>
      <c r="E186">
        <f>MAX('gm 1 at NE'!E186,'gm 2 vs Pit'!E186,'gm 3 at Cle'!E186,'gm 4 vs Den'!E186,'gm 5 at KC'!E186,'gm 6 at LA'!E186,'gm 7 vs Hou'!E186,'gm 9 vs Oak'!E186,'gm 10 vs Bal'!E186,'gm 11 at Chi'!E186,'gm 12 vs NYG'!E186,'gm 13 vs Cle'!E186,'gm 14 at Hou'!E186,+'gm 8 at Pit'!E186)</f>
        <v>0</v>
      </c>
      <c r="F186">
        <f>+'gm 1 at NE'!F186+'gm 2 vs Pit'!F186+'gm 3 at Cle'!F186+'gm 4 vs Den'!F186+'gm 5 at KC'!F186+'gm 6 at LA'!F186+'gm 7 vs Hou'!F186+'gm 8 at Pit'!F186+'gm 9 vs Oak'!F186+'gm 10 vs Bal'!F186+'gm 11 at Chi'!F186+'gm 12 vs NYG'!F186+'gm 13 vs Cle'!F186+'gm 14 at Hou'!F186</f>
        <v>0</v>
      </c>
      <c r="G186">
        <f>+'gm 1 at NE'!G186+'gm 2 vs Pit'!G186+'gm 3 at Cle'!G186+'gm 4 vs Den'!G186+'gm 5 at KC'!G186+'gm 6 at LA'!G186+'gm 7 vs Hou'!G186+'gm 8 at Pit'!G186+'gm 9 vs Oak'!G186+'gm 10 vs Bal'!G186+'gm 11 at Chi'!G186+'gm 12 vs NYG'!G186+'gm 13 vs Cle'!G186+'gm 14 at Hou'!G186</f>
        <v>0</v>
      </c>
    </row>
    <row r="187" spans="1:7" ht="12">
      <c r="A187" t="s">
        <v>129</v>
      </c>
      <c r="B187" t="s">
        <v>149</v>
      </c>
      <c r="C187">
        <f>+'gm 1 at NE'!C187+'gm 2 vs Pit'!C187+'gm 3 at Cle'!C187+'gm 4 vs Den'!C187+'gm 5 at KC'!C187+'gm 6 at LA'!C187+'gm 7 vs Hou'!C187+'gm 8 at Pit'!C187+'gm 9 vs Oak'!C187+'gm 10 vs Bal'!C187+'gm 11 at Chi'!C187+'gm 12 vs NYG'!C187+'gm 13 vs Cle'!C187+'gm 14 at Hou'!C187</f>
        <v>1</v>
      </c>
      <c r="D187">
        <f>+'gm 1 at NE'!D187+'gm 2 vs Pit'!D187+'gm 3 at Cle'!D187+'gm 4 vs Den'!D187+'gm 5 at KC'!D187+'gm 6 at LA'!D187+'gm 7 vs Hou'!D187+'gm 8 at Pit'!D187+'gm 9 vs Oak'!D187+'gm 10 vs Bal'!D187+'gm 11 at Chi'!D187+'gm 12 vs NYG'!D187+'gm 13 vs Cle'!D187+'gm 14 at Hou'!D187</f>
        <v>0</v>
      </c>
      <c r="E187">
        <f>MAX('gm 1 at NE'!E187,'gm 2 vs Pit'!E187,'gm 3 at Cle'!E187,'gm 4 vs Den'!E187,'gm 5 at KC'!E187,'gm 6 at LA'!E187,'gm 7 vs Hou'!E187,'gm 9 vs Oak'!E187,'gm 10 vs Bal'!E187,'gm 11 at Chi'!E187,'gm 12 vs NYG'!E187,'gm 13 vs Cle'!E187,'gm 14 at Hou'!E187,+'gm 8 at Pit'!E187)</f>
        <v>0</v>
      </c>
      <c r="F187">
        <f>+'gm 1 at NE'!F187+'gm 2 vs Pit'!F187+'gm 3 at Cle'!F187+'gm 4 vs Den'!F187+'gm 5 at KC'!F187+'gm 6 at LA'!F187+'gm 7 vs Hou'!F187+'gm 8 at Pit'!F187+'gm 9 vs Oak'!F187+'gm 10 vs Bal'!F187+'gm 11 at Chi'!F187+'gm 12 vs NYG'!F187+'gm 13 vs Cle'!F187+'gm 14 at Hou'!F187</f>
        <v>0</v>
      </c>
      <c r="G187">
        <f>+'gm 1 at NE'!G187+'gm 2 vs Pit'!G187+'gm 3 at Cle'!G187+'gm 4 vs Den'!G187+'gm 5 at KC'!G187+'gm 6 at LA'!G187+'gm 7 vs Hou'!G187+'gm 8 at Pit'!G187+'gm 9 vs Oak'!G187+'gm 10 vs Bal'!G187+'gm 11 at Chi'!G187+'gm 12 vs NYG'!G187+'gm 13 vs Cle'!G187+'gm 14 at Hou'!G187</f>
        <v>0</v>
      </c>
    </row>
    <row r="188" spans="1:7" ht="12">
      <c r="A188" t="s">
        <v>101</v>
      </c>
      <c r="B188" t="s">
        <v>149</v>
      </c>
      <c r="C188">
        <f>+'gm 1 at NE'!C188+'gm 2 vs Pit'!C188+'gm 3 at Cle'!C188+'gm 4 vs Den'!C188+'gm 5 at KC'!C188+'gm 6 at LA'!C188+'gm 7 vs Hou'!C188+'gm 8 at Pit'!C188+'gm 9 vs Oak'!C188+'gm 10 vs Bal'!C188+'gm 11 at Chi'!C188+'gm 12 vs NYG'!C188+'gm 13 vs Cle'!C188+'gm 14 at Hou'!C188</f>
        <v>0</v>
      </c>
      <c r="D188">
        <f>+'gm 1 at NE'!D188+'gm 2 vs Pit'!D188+'gm 3 at Cle'!D188+'gm 4 vs Den'!D188+'gm 5 at KC'!D188+'gm 6 at LA'!D188+'gm 7 vs Hou'!D188+'gm 8 at Pit'!D188+'gm 9 vs Oak'!D188+'gm 10 vs Bal'!D188+'gm 11 at Chi'!D188+'gm 12 vs NYG'!D188+'gm 13 vs Cle'!D188+'gm 14 at Hou'!D188</f>
        <v>0</v>
      </c>
      <c r="E188">
        <f>MAX('gm 1 at NE'!E188,'gm 2 vs Pit'!E188,'gm 3 at Cle'!E188,'gm 4 vs Den'!E188,'gm 5 at KC'!E188,'gm 6 at LA'!E188,'gm 7 vs Hou'!E188,'gm 9 vs Oak'!E188,'gm 10 vs Bal'!E188,'gm 11 at Chi'!E188,'gm 12 vs NYG'!E188,'gm 13 vs Cle'!E188,'gm 14 at Hou'!E188,+'gm 8 at Pit'!E188)</f>
        <v>0</v>
      </c>
      <c r="F188">
        <f>+'gm 1 at NE'!F188+'gm 2 vs Pit'!F188+'gm 3 at Cle'!F188+'gm 4 vs Den'!F188+'gm 5 at KC'!F188+'gm 6 at LA'!F188+'gm 7 vs Hou'!F188+'gm 8 at Pit'!F188+'gm 9 vs Oak'!F188+'gm 10 vs Bal'!F188+'gm 11 at Chi'!F188+'gm 12 vs NYG'!F188+'gm 13 vs Cle'!F188+'gm 14 at Hou'!F188</f>
        <v>0</v>
      </c>
      <c r="G188">
        <f>+'gm 1 at NE'!G188+'gm 2 vs Pit'!G188+'gm 3 at Cle'!G188+'gm 4 vs Den'!G188+'gm 5 at KC'!G188+'gm 6 at LA'!G188+'gm 7 vs Hou'!G188+'gm 8 at Pit'!G188+'gm 9 vs Oak'!G188+'gm 10 vs Bal'!G188+'gm 11 at Chi'!G188+'gm 12 vs NYG'!G188+'gm 13 vs Cle'!G188+'gm 14 at Hou'!G188</f>
        <v>0</v>
      </c>
    </row>
    <row r="189" spans="1:7" ht="12">
      <c r="A189" t="s">
        <v>116</v>
      </c>
      <c r="B189" t="s">
        <v>149</v>
      </c>
      <c r="C189">
        <f>+'gm 1 at NE'!C189+'gm 2 vs Pit'!C189+'gm 3 at Cle'!C189+'gm 4 vs Den'!C189+'gm 5 at KC'!C189+'gm 6 at LA'!C189+'gm 7 vs Hou'!C189+'gm 8 at Pit'!C189+'gm 9 vs Oak'!C189+'gm 10 vs Bal'!C189+'gm 11 at Chi'!C189+'gm 12 vs NYG'!C189+'gm 13 vs Cle'!C189+'gm 14 at Hou'!C189</f>
        <v>1</v>
      </c>
      <c r="D189">
        <f>+'gm 1 at NE'!D189+'gm 2 vs Pit'!D189+'gm 3 at Cle'!D189+'gm 4 vs Den'!D189+'gm 5 at KC'!D189+'gm 6 at LA'!D189+'gm 7 vs Hou'!D189+'gm 8 at Pit'!D189+'gm 9 vs Oak'!D189+'gm 10 vs Bal'!D189+'gm 11 at Chi'!D189+'gm 12 vs NYG'!D189+'gm 13 vs Cle'!D189+'gm 14 at Hou'!D189</f>
        <v>0</v>
      </c>
      <c r="E189">
        <f>MAX('gm 1 at NE'!E189,'gm 2 vs Pit'!E189,'gm 3 at Cle'!E189,'gm 4 vs Den'!E189,'gm 5 at KC'!E189,'gm 6 at LA'!E189,'gm 7 vs Hou'!E189,'gm 9 vs Oak'!E189,'gm 10 vs Bal'!E189,'gm 11 at Chi'!E189,'gm 12 vs NYG'!E189,'gm 13 vs Cle'!E189,'gm 14 at Hou'!E189,+'gm 8 at Pit'!E189)</f>
        <v>0</v>
      </c>
      <c r="F189">
        <f>+'gm 1 at NE'!F189+'gm 2 vs Pit'!F189+'gm 3 at Cle'!F189+'gm 4 vs Den'!F189+'gm 5 at KC'!F189+'gm 6 at LA'!F189+'gm 7 vs Hou'!F189+'gm 8 at Pit'!F189+'gm 9 vs Oak'!F189+'gm 10 vs Bal'!F189+'gm 11 at Chi'!F189+'gm 12 vs NYG'!F189+'gm 13 vs Cle'!F189+'gm 14 at Hou'!F189</f>
        <v>0</v>
      </c>
      <c r="G189">
        <f>+'gm 1 at NE'!G189+'gm 2 vs Pit'!G189+'gm 3 at Cle'!G189+'gm 4 vs Den'!G189+'gm 5 at KC'!G189+'gm 6 at LA'!G189+'gm 7 vs Hou'!G189+'gm 8 at Pit'!G189+'gm 9 vs Oak'!G189+'gm 10 vs Bal'!G189+'gm 11 at Chi'!G189+'gm 12 vs NYG'!G189+'gm 13 vs Cle'!G189+'gm 14 at Hou'!G189</f>
        <v>0</v>
      </c>
    </row>
    <row r="190" spans="1:7" ht="12">
      <c r="A190" t="s">
        <v>130</v>
      </c>
      <c r="B190" t="s">
        <v>149</v>
      </c>
      <c r="C190">
        <f>+'gm 1 at NE'!C190+'gm 2 vs Pit'!C190+'gm 3 at Cle'!C190+'gm 4 vs Den'!C190+'gm 5 at KC'!C190+'gm 6 at LA'!C190+'gm 7 vs Hou'!C190+'gm 8 at Pit'!C190+'gm 9 vs Oak'!C190+'gm 10 vs Bal'!C190+'gm 11 at Chi'!C190+'gm 12 vs NYG'!C190+'gm 13 vs Cle'!C190+'gm 14 at Hou'!C190</f>
        <v>0</v>
      </c>
      <c r="D190">
        <f>+'gm 1 at NE'!D190+'gm 2 vs Pit'!D190+'gm 3 at Cle'!D190+'gm 4 vs Den'!D190+'gm 5 at KC'!D190+'gm 6 at LA'!D190+'gm 7 vs Hou'!D190+'gm 8 at Pit'!D190+'gm 9 vs Oak'!D190+'gm 10 vs Bal'!D190+'gm 11 at Chi'!D190+'gm 12 vs NYG'!D190+'gm 13 vs Cle'!D190+'gm 14 at Hou'!D190</f>
        <v>0</v>
      </c>
      <c r="E190">
        <f>MAX('gm 1 at NE'!E190,'gm 2 vs Pit'!E190,'gm 3 at Cle'!E190,'gm 4 vs Den'!E190,'gm 5 at KC'!E190,'gm 6 at LA'!E190,'gm 7 vs Hou'!E190,'gm 9 vs Oak'!E190,'gm 10 vs Bal'!E190,'gm 11 at Chi'!E190,'gm 12 vs NYG'!E190,'gm 13 vs Cle'!E190,'gm 14 at Hou'!E190,+'gm 8 at Pit'!E190)</f>
        <v>0</v>
      </c>
      <c r="F190">
        <f>+'gm 1 at NE'!F190+'gm 2 vs Pit'!F190+'gm 3 at Cle'!F190+'gm 4 vs Den'!F190+'gm 5 at KC'!F190+'gm 6 at LA'!F190+'gm 7 vs Hou'!F190+'gm 8 at Pit'!F190+'gm 9 vs Oak'!F190+'gm 10 vs Bal'!F190+'gm 11 at Chi'!F190+'gm 12 vs NYG'!F190+'gm 13 vs Cle'!F190+'gm 14 at Hou'!F190</f>
        <v>0</v>
      </c>
      <c r="G190">
        <f>+'gm 1 at NE'!G190+'gm 2 vs Pit'!G190+'gm 3 at Cle'!G190+'gm 4 vs Den'!G190+'gm 5 at KC'!G190+'gm 6 at LA'!G190+'gm 7 vs Hou'!G190+'gm 8 at Pit'!G190+'gm 9 vs Oak'!G190+'gm 10 vs Bal'!G190+'gm 11 at Chi'!G190+'gm 12 vs NYG'!G190+'gm 13 vs Cle'!G190+'gm 14 at Hou'!G190</f>
        <v>0</v>
      </c>
    </row>
    <row r="191" spans="1:7" ht="12">
      <c r="A191" t="s">
        <v>102</v>
      </c>
      <c r="B191" t="s">
        <v>149</v>
      </c>
      <c r="C191">
        <f>+'gm 1 at NE'!C191+'gm 2 vs Pit'!C191+'gm 3 at Cle'!C191+'gm 4 vs Den'!C191+'gm 5 at KC'!C191+'gm 6 at LA'!C191+'gm 7 vs Hou'!C191+'gm 8 at Pit'!C191+'gm 9 vs Oak'!C191+'gm 10 vs Bal'!C191+'gm 11 at Chi'!C191+'gm 12 vs NYG'!C191+'gm 13 vs Cle'!C191+'gm 14 at Hou'!C191</f>
        <v>0</v>
      </c>
      <c r="D191">
        <f>+'gm 1 at NE'!D191+'gm 2 vs Pit'!D191+'gm 3 at Cle'!D191+'gm 4 vs Den'!D191+'gm 5 at KC'!D191+'gm 6 at LA'!D191+'gm 7 vs Hou'!D191+'gm 8 at Pit'!D191+'gm 9 vs Oak'!D191+'gm 10 vs Bal'!D191+'gm 11 at Chi'!D191+'gm 12 vs NYG'!D191+'gm 13 vs Cle'!D191+'gm 14 at Hou'!D191</f>
        <v>0</v>
      </c>
      <c r="E191">
        <f>MAX('gm 1 at NE'!E191,'gm 2 vs Pit'!E191,'gm 3 at Cle'!E191,'gm 4 vs Den'!E191,'gm 5 at KC'!E191,'gm 6 at LA'!E191,'gm 7 vs Hou'!E191,'gm 9 vs Oak'!E191,'gm 10 vs Bal'!E191,'gm 11 at Chi'!E191,'gm 12 vs NYG'!E191,'gm 13 vs Cle'!E191,'gm 14 at Hou'!E191,+'gm 8 at Pit'!E191)</f>
        <v>0</v>
      </c>
      <c r="F191">
        <f>+'gm 1 at NE'!F191+'gm 2 vs Pit'!F191+'gm 3 at Cle'!F191+'gm 4 vs Den'!F191+'gm 5 at KC'!F191+'gm 6 at LA'!F191+'gm 7 vs Hou'!F191+'gm 8 at Pit'!F191+'gm 9 vs Oak'!F191+'gm 10 vs Bal'!F191+'gm 11 at Chi'!F191+'gm 12 vs NYG'!F191+'gm 13 vs Cle'!F191+'gm 14 at Hou'!F191</f>
        <v>0</v>
      </c>
      <c r="G191">
        <f>+'gm 1 at NE'!G191+'gm 2 vs Pit'!G191+'gm 3 at Cle'!G191+'gm 4 vs Den'!G191+'gm 5 at KC'!G191+'gm 6 at LA'!G191+'gm 7 vs Hou'!G191+'gm 8 at Pit'!G191+'gm 9 vs Oak'!G191+'gm 10 vs Bal'!G191+'gm 11 at Chi'!G191+'gm 12 vs NYG'!G191+'gm 13 vs Cle'!G191+'gm 14 at Hou'!G191</f>
        <v>0</v>
      </c>
    </row>
    <row r="192" spans="1:7" ht="12">
      <c r="A192" t="s">
        <v>112</v>
      </c>
      <c r="B192" t="s">
        <v>149</v>
      </c>
      <c r="C192">
        <f>+'gm 1 at NE'!C192+'gm 2 vs Pit'!C192+'gm 3 at Cle'!C192+'gm 4 vs Den'!C192+'gm 5 at KC'!C192+'gm 6 at LA'!C192+'gm 7 vs Hou'!C192+'gm 8 at Pit'!C192+'gm 9 vs Oak'!C192+'gm 10 vs Bal'!C192+'gm 11 at Chi'!C192+'gm 12 vs NYG'!C192+'gm 13 vs Cle'!C192+'gm 14 at Hou'!C192</f>
        <v>0</v>
      </c>
      <c r="D192">
        <f>+'gm 1 at NE'!D192+'gm 2 vs Pit'!D192+'gm 3 at Cle'!D192+'gm 4 vs Den'!D192+'gm 5 at KC'!D192+'gm 6 at LA'!D192+'gm 7 vs Hou'!D192+'gm 8 at Pit'!D192+'gm 9 vs Oak'!D192+'gm 10 vs Bal'!D192+'gm 11 at Chi'!D192+'gm 12 vs NYG'!D192+'gm 13 vs Cle'!D192+'gm 14 at Hou'!D192</f>
        <v>0</v>
      </c>
      <c r="E192">
        <f>MAX('gm 1 at NE'!E192,'gm 2 vs Pit'!E192,'gm 3 at Cle'!E192,'gm 4 vs Den'!E192,'gm 5 at KC'!E192,'gm 6 at LA'!E192,'gm 7 vs Hou'!E192,'gm 9 vs Oak'!E192,'gm 10 vs Bal'!E192,'gm 11 at Chi'!E192,'gm 12 vs NYG'!E192,'gm 13 vs Cle'!E192,'gm 14 at Hou'!E192,+'gm 8 at Pit'!E192)</f>
        <v>0</v>
      </c>
      <c r="F192">
        <f>+'gm 1 at NE'!F192+'gm 2 vs Pit'!F192+'gm 3 at Cle'!F192+'gm 4 vs Den'!F192+'gm 5 at KC'!F192+'gm 6 at LA'!F192+'gm 7 vs Hou'!F192+'gm 8 at Pit'!F192+'gm 9 vs Oak'!F192+'gm 10 vs Bal'!F192+'gm 11 at Chi'!F192+'gm 12 vs NYG'!F192+'gm 13 vs Cle'!F192+'gm 14 at Hou'!F192</f>
        <v>0</v>
      </c>
      <c r="G192">
        <f>+'gm 1 at NE'!G192+'gm 2 vs Pit'!G192+'gm 3 at Cle'!G192+'gm 4 vs Den'!G192+'gm 5 at KC'!G192+'gm 6 at LA'!G192+'gm 7 vs Hou'!G192+'gm 8 at Pit'!G192+'gm 9 vs Oak'!G192+'gm 10 vs Bal'!G192+'gm 11 at Chi'!G192+'gm 12 vs NYG'!G192+'gm 13 vs Cle'!G192+'gm 14 at Hou'!G192</f>
        <v>0</v>
      </c>
    </row>
    <row r="193" spans="1:7" ht="12">
      <c r="A193" t="s">
        <v>124</v>
      </c>
      <c r="B193" t="s">
        <v>149</v>
      </c>
      <c r="C193">
        <f>+'gm 1 at NE'!C193+'gm 2 vs Pit'!C193+'gm 3 at Cle'!C193+'gm 4 vs Den'!C193+'gm 5 at KC'!C193+'gm 6 at LA'!C193+'gm 7 vs Hou'!C193+'gm 8 at Pit'!C193+'gm 9 vs Oak'!C193+'gm 10 vs Bal'!C193+'gm 11 at Chi'!C193+'gm 12 vs NYG'!C193+'gm 13 vs Cle'!C193+'gm 14 at Hou'!C193</f>
        <v>0</v>
      </c>
      <c r="D193">
        <f>+'gm 1 at NE'!D193+'gm 2 vs Pit'!D193+'gm 3 at Cle'!D193+'gm 4 vs Den'!D193+'gm 5 at KC'!D193+'gm 6 at LA'!D193+'gm 7 vs Hou'!D193+'gm 8 at Pit'!D193+'gm 9 vs Oak'!D193+'gm 10 vs Bal'!D193+'gm 11 at Chi'!D193+'gm 12 vs NYG'!D193+'gm 13 vs Cle'!D193+'gm 14 at Hou'!D193</f>
        <v>0</v>
      </c>
      <c r="E193">
        <f>MAX('gm 1 at NE'!E193,'gm 2 vs Pit'!E193,'gm 3 at Cle'!E193,'gm 4 vs Den'!E193,'gm 5 at KC'!E193,'gm 6 at LA'!E193,'gm 7 vs Hou'!E193,'gm 9 vs Oak'!E193,'gm 10 vs Bal'!E193,'gm 11 at Chi'!E193,'gm 12 vs NYG'!E193,'gm 13 vs Cle'!E193,'gm 14 at Hou'!E193,+'gm 8 at Pit'!E193)</f>
        <v>0</v>
      </c>
      <c r="F193">
        <f>+'gm 1 at NE'!F193+'gm 2 vs Pit'!F193+'gm 3 at Cle'!F193+'gm 4 vs Den'!F193+'gm 5 at KC'!F193+'gm 6 at LA'!F193+'gm 7 vs Hou'!F193+'gm 8 at Pit'!F193+'gm 9 vs Oak'!F193+'gm 10 vs Bal'!F193+'gm 11 at Chi'!F193+'gm 12 vs NYG'!F193+'gm 13 vs Cle'!F193+'gm 14 at Hou'!F193</f>
        <v>0</v>
      </c>
      <c r="G193">
        <f>+'gm 1 at NE'!G193+'gm 2 vs Pit'!G193+'gm 3 at Cle'!G193+'gm 4 vs Den'!G193+'gm 5 at KC'!G193+'gm 6 at LA'!G193+'gm 7 vs Hou'!G193+'gm 8 at Pit'!G193+'gm 9 vs Oak'!G193+'gm 10 vs Bal'!G193+'gm 11 at Chi'!G193+'gm 12 vs NYG'!G193+'gm 13 vs Cle'!G193+'gm 14 at Hou'!G193</f>
        <v>0</v>
      </c>
    </row>
    <row r="194" spans="1:7" ht="12">
      <c r="A194" t="s">
        <v>134</v>
      </c>
      <c r="B194" t="s">
        <v>149</v>
      </c>
      <c r="C194">
        <f>+'gm 1 at NE'!C194+'gm 2 vs Pit'!C194+'gm 3 at Cle'!C194+'gm 4 vs Den'!C194+'gm 5 at KC'!C194+'gm 6 at LA'!C194+'gm 7 vs Hou'!C194+'gm 8 at Pit'!C194+'gm 9 vs Oak'!C194+'gm 10 vs Bal'!C194+'gm 11 at Chi'!C194+'gm 12 vs NYG'!C194+'gm 13 vs Cle'!C194+'gm 14 at Hou'!C194</f>
        <v>0</v>
      </c>
      <c r="D194">
        <f>+'gm 1 at NE'!D194+'gm 2 vs Pit'!D194+'gm 3 at Cle'!D194+'gm 4 vs Den'!D194+'gm 5 at KC'!D194+'gm 6 at LA'!D194+'gm 7 vs Hou'!D194+'gm 8 at Pit'!D194+'gm 9 vs Oak'!D194+'gm 10 vs Bal'!D194+'gm 11 at Chi'!D194+'gm 12 vs NYG'!D194+'gm 13 vs Cle'!D194+'gm 14 at Hou'!D194</f>
        <v>0</v>
      </c>
      <c r="E194">
        <f>MAX('gm 1 at NE'!E194,'gm 2 vs Pit'!E194,'gm 3 at Cle'!E194,'gm 4 vs Den'!E194,'gm 5 at KC'!E194,'gm 6 at LA'!E194,'gm 7 vs Hou'!E194,'gm 9 vs Oak'!E194,'gm 10 vs Bal'!E194,'gm 11 at Chi'!E194,'gm 12 vs NYG'!E194,'gm 13 vs Cle'!E194,'gm 14 at Hou'!E194,+'gm 8 at Pit'!E194)</f>
        <v>0</v>
      </c>
      <c r="F194">
        <f>+'gm 1 at NE'!F194+'gm 2 vs Pit'!F194+'gm 3 at Cle'!F194+'gm 4 vs Den'!F194+'gm 5 at KC'!F194+'gm 6 at LA'!F194+'gm 7 vs Hou'!F194+'gm 8 at Pit'!F194+'gm 9 vs Oak'!F194+'gm 10 vs Bal'!F194+'gm 11 at Chi'!F194+'gm 12 vs NYG'!F194+'gm 13 vs Cle'!F194+'gm 14 at Hou'!F194</f>
        <v>0</v>
      </c>
      <c r="G194">
        <f>+'gm 1 at NE'!G194+'gm 2 vs Pit'!G194+'gm 3 at Cle'!G194+'gm 4 vs Den'!G194+'gm 5 at KC'!G194+'gm 6 at LA'!G194+'gm 7 vs Hou'!G194+'gm 8 at Pit'!G194+'gm 9 vs Oak'!G194+'gm 10 vs Bal'!G194+'gm 11 at Chi'!G194+'gm 12 vs NYG'!G194+'gm 13 vs Cle'!G194+'gm 14 at Hou'!G194</f>
        <v>0</v>
      </c>
    </row>
    <row r="195" spans="1:7" ht="12">
      <c r="A195" t="s">
        <v>118</v>
      </c>
      <c r="B195" t="s">
        <v>149</v>
      </c>
      <c r="C195">
        <f>+'gm 1 at NE'!C195+'gm 2 vs Pit'!C195+'gm 3 at Cle'!C195+'gm 4 vs Den'!C195+'gm 5 at KC'!C195+'gm 6 at LA'!C195+'gm 7 vs Hou'!C195+'gm 8 at Pit'!C195+'gm 9 vs Oak'!C195+'gm 10 vs Bal'!C195+'gm 11 at Chi'!C195+'gm 12 vs NYG'!C195+'gm 13 vs Cle'!C195+'gm 14 at Hou'!C195</f>
        <v>0</v>
      </c>
      <c r="D195">
        <f>+'gm 1 at NE'!D195+'gm 2 vs Pit'!D195+'gm 3 at Cle'!D195+'gm 4 vs Den'!D195+'gm 5 at KC'!D195+'gm 6 at LA'!D195+'gm 7 vs Hou'!D195+'gm 8 at Pit'!D195+'gm 9 vs Oak'!D195+'gm 10 vs Bal'!D195+'gm 11 at Chi'!D195+'gm 12 vs NYG'!D195+'gm 13 vs Cle'!D195+'gm 14 at Hou'!D195</f>
        <v>0</v>
      </c>
      <c r="E195">
        <f>MAX('gm 1 at NE'!E195,'gm 2 vs Pit'!E195,'gm 3 at Cle'!E195,'gm 4 vs Den'!E195,'gm 5 at KC'!E195,'gm 6 at LA'!E195,'gm 7 vs Hou'!E195,'gm 9 vs Oak'!E195,'gm 10 vs Bal'!E195,'gm 11 at Chi'!E195,'gm 12 vs NYG'!E195,'gm 13 vs Cle'!E195,'gm 14 at Hou'!E195,+'gm 8 at Pit'!E195)</f>
        <v>0</v>
      </c>
      <c r="F195">
        <f>+'gm 1 at NE'!F195+'gm 2 vs Pit'!F195+'gm 3 at Cle'!F195+'gm 4 vs Den'!F195+'gm 5 at KC'!F195+'gm 6 at LA'!F195+'gm 7 vs Hou'!F195+'gm 8 at Pit'!F195+'gm 9 vs Oak'!F195+'gm 10 vs Bal'!F195+'gm 11 at Chi'!F195+'gm 12 vs NYG'!F195+'gm 13 vs Cle'!F195+'gm 14 at Hou'!F195</f>
        <v>0</v>
      </c>
      <c r="G195">
        <f>+'gm 1 at NE'!G195+'gm 2 vs Pit'!G195+'gm 3 at Cle'!G195+'gm 4 vs Den'!G195+'gm 5 at KC'!G195+'gm 6 at LA'!G195+'gm 7 vs Hou'!G195+'gm 8 at Pit'!G195+'gm 9 vs Oak'!G195+'gm 10 vs Bal'!G195+'gm 11 at Chi'!G195+'gm 12 vs NYG'!G195+'gm 13 vs Cle'!G195+'gm 14 at Hou'!G195</f>
        <v>0</v>
      </c>
    </row>
    <row r="196" spans="1:7" ht="12">
      <c r="A196" t="s">
        <v>103</v>
      </c>
      <c r="B196" t="s">
        <v>149</v>
      </c>
      <c r="C196">
        <f>+'gm 1 at NE'!C196+'gm 2 vs Pit'!C196+'gm 3 at Cle'!C196+'gm 4 vs Den'!C196+'gm 5 at KC'!C196+'gm 6 at LA'!C196+'gm 7 vs Hou'!C196+'gm 8 at Pit'!C196+'gm 9 vs Oak'!C196+'gm 10 vs Bal'!C196+'gm 11 at Chi'!C196+'gm 12 vs NYG'!C196+'gm 13 vs Cle'!C196+'gm 14 at Hou'!C196</f>
        <v>0</v>
      </c>
      <c r="D196">
        <f>+'gm 1 at NE'!D196+'gm 2 vs Pit'!D196+'gm 3 at Cle'!D196+'gm 4 vs Den'!D196+'gm 5 at KC'!D196+'gm 6 at LA'!D196+'gm 7 vs Hou'!D196+'gm 8 at Pit'!D196+'gm 9 vs Oak'!D196+'gm 10 vs Bal'!D196+'gm 11 at Chi'!D196+'gm 12 vs NYG'!D196+'gm 13 vs Cle'!D196+'gm 14 at Hou'!D196</f>
        <v>0</v>
      </c>
      <c r="E196">
        <f>MAX('gm 1 at NE'!E196,'gm 2 vs Pit'!E196,'gm 3 at Cle'!E196,'gm 4 vs Den'!E196,'gm 5 at KC'!E196,'gm 6 at LA'!E196,'gm 7 vs Hou'!E196,'gm 9 vs Oak'!E196,'gm 10 vs Bal'!E196,'gm 11 at Chi'!E196,'gm 12 vs NYG'!E196,'gm 13 vs Cle'!E196,'gm 14 at Hou'!E196,+'gm 8 at Pit'!E196)</f>
        <v>0</v>
      </c>
      <c r="F196">
        <f>+'gm 1 at NE'!F196+'gm 2 vs Pit'!F196+'gm 3 at Cle'!F196+'gm 4 vs Den'!F196+'gm 5 at KC'!F196+'gm 6 at LA'!F196+'gm 7 vs Hou'!F196+'gm 8 at Pit'!F196+'gm 9 vs Oak'!F196+'gm 10 vs Bal'!F196+'gm 11 at Chi'!F196+'gm 12 vs NYG'!F196+'gm 13 vs Cle'!F196+'gm 14 at Hou'!F196</f>
        <v>0</v>
      </c>
      <c r="G196">
        <f>+'gm 1 at NE'!G196+'gm 2 vs Pit'!G196+'gm 3 at Cle'!G196+'gm 4 vs Den'!G196+'gm 5 at KC'!G196+'gm 6 at LA'!G196+'gm 7 vs Hou'!G196+'gm 8 at Pit'!G196+'gm 9 vs Oak'!G196+'gm 10 vs Bal'!G196+'gm 11 at Chi'!G196+'gm 12 vs NYG'!G196+'gm 13 vs Cle'!G196+'gm 14 at Hou'!G196</f>
        <v>0</v>
      </c>
    </row>
    <row r="197" spans="1:7" ht="12">
      <c r="A197" t="s">
        <v>135</v>
      </c>
      <c r="B197" t="s">
        <v>149</v>
      </c>
      <c r="C197">
        <f>+'gm 1 at NE'!C197+'gm 2 vs Pit'!C197+'gm 3 at Cle'!C197+'gm 4 vs Den'!C197+'gm 5 at KC'!C197+'gm 6 at LA'!C197+'gm 7 vs Hou'!C197+'gm 8 at Pit'!C197+'gm 9 vs Oak'!C197+'gm 10 vs Bal'!C197+'gm 11 at Chi'!C197+'gm 12 vs NYG'!C197+'gm 13 vs Cle'!C197+'gm 14 at Hou'!C197</f>
        <v>1</v>
      </c>
      <c r="D197">
        <f>+'gm 1 at NE'!D197+'gm 2 vs Pit'!D197+'gm 3 at Cle'!D197+'gm 4 vs Den'!D197+'gm 5 at KC'!D197+'gm 6 at LA'!D197+'gm 7 vs Hou'!D197+'gm 8 at Pit'!D197+'gm 9 vs Oak'!D197+'gm 10 vs Bal'!D197+'gm 11 at Chi'!D197+'gm 12 vs NYG'!D197+'gm 13 vs Cle'!D197+'gm 14 at Hou'!D197</f>
        <v>0</v>
      </c>
      <c r="E197">
        <f>MAX('gm 1 at NE'!E197,'gm 2 vs Pit'!E197,'gm 3 at Cle'!E197,'gm 4 vs Den'!E197,'gm 5 at KC'!E197,'gm 6 at LA'!E197,'gm 7 vs Hou'!E197,'gm 9 vs Oak'!E197,'gm 10 vs Bal'!E197,'gm 11 at Chi'!E197,'gm 12 vs NYG'!E197,'gm 13 vs Cle'!E197,'gm 14 at Hou'!E197,+'gm 8 at Pit'!E197)</f>
        <v>0</v>
      </c>
      <c r="F197">
        <f>+'gm 1 at NE'!F197+'gm 2 vs Pit'!F197+'gm 3 at Cle'!F197+'gm 4 vs Den'!F197+'gm 5 at KC'!F197+'gm 6 at LA'!F197+'gm 7 vs Hou'!F197+'gm 8 at Pit'!F197+'gm 9 vs Oak'!F197+'gm 10 vs Bal'!F197+'gm 11 at Chi'!F197+'gm 12 vs NYG'!F197+'gm 13 vs Cle'!F197+'gm 14 at Hou'!F197</f>
        <v>0</v>
      </c>
      <c r="G197">
        <f>+'gm 1 at NE'!G197+'gm 2 vs Pit'!G197+'gm 3 at Cle'!G197+'gm 4 vs Den'!G197+'gm 5 at KC'!G197+'gm 6 at LA'!G197+'gm 7 vs Hou'!G197+'gm 8 at Pit'!G197+'gm 9 vs Oak'!G197+'gm 10 vs Bal'!G197+'gm 11 at Chi'!G197+'gm 12 vs NYG'!G197+'gm 13 vs Cle'!G197+'gm 14 at Hou'!G197</f>
        <v>0</v>
      </c>
    </row>
    <row r="198" spans="1:7" ht="12">
      <c r="A198" t="s">
        <v>136</v>
      </c>
      <c r="B198" t="s">
        <v>149</v>
      </c>
      <c r="C198">
        <f>+'gm 1 at NE'!C198+'gm 2 vs Pit'!C198+'gm 3 at Cle'!C198+'gm 4 vs Den'!C198+'gm 5 at KC'!C198+'gm 6 at LA'!C198+'gm 7 vs Hou'!C198+'gm 8 at Pit'!C198+'gm 9 vs Oak'!C198+'gm 10 vs Bal'!C198+'gm 11 at Chi'!C198+'gm 12 vs NYG'!C198+'gm 13 vs Cle'!C198+'gm 14 at Hou'!C198</f>
        <v>1</v>
      </c>
      <c r="D198">
        <f>+'gm 1 at NE'!D198+'gm 2 vs Pit'!D198+'gm 3 at Cle'!D198+'gm 4 vs Den'!D198+'gm 5 at KC'!D198+'gm 6 at LA'!D198+'gm 7 vs Hou'!D198+'gm 8 at Pit'!D198+'gm 9 vs Oak'!D198+'gm 10 vs Bal'!D198+'gm 11 at Chi'!D198+'gm 12 vs NYG'!D198+'gm 13 vs Cle'!D198+'gm 14 at Hou'!D198</f>
        <v>0</v>
      </c>
      <c r="E198">
        <f>MAX('gm 1 at NE'!E198,'gm 2 vs Pit'!E198,'gm 3 at Cle'!E198,'gm 4 vs Den'!E198,'gm 5 at KC'!E198,'gm 6 at LA'!E198,'gm 7 vs Hou'!E198,'gm 9 vs Oak'!E198,'gm 10 vs Bal'!E198,'gm 11 at Chi'!E198,'gm 12 vs NYG'!E198,'gm 13 vs Cle'!E198,'gm 14 at Hou'!E198,+'gm 8 at Pit'!E198)</f>
        <v>0</v>
      </c>
      <c r="F198">
        <f>+'gm 1 at NE'!F198+'gm 2 vs Pit'!F198+'gm 3 at Cle'!F198+'gm 4 vs Den'!F198+'gm 5 at KC'!F198+'gm 6 at LA'!F198+'gm 7 vs Hou'!F198+'gm 8 at Pit'!F198+'gm 9 vs Oak'!F198+'gm 10 vs Bal'!F198+'gm 11 at Chi'!F198+'gm 12 vs NYG'!F198+'gm 13 vs Cle'!F198+'gm 14 at Hou'!F198</f>
        <v>0</v>
      </c>
      <c r="G198">
        <f>+'gm 1 at NE'!G198+'gm 2 vs Pit'!G198+'gm 3 at Cle'!G198+'gm 4 vs Den'!G198+'gm 5 at KC'!G198+'gm 6 at LA'!G198+'gm 7 vs Hou'!G198+'gm 8 at Pit'!G198+'gm 9 vs Oak'!G198+'gm 10 vs Bal'!G198+'gm 11 at Chi'!G198+'gm 12 vs NYG'!G198+'gm 13 vs Cle'!G198+'gm 14 at Hou'!G198</f>
        <v>0</v>
      </c>
    </row>
    <row r="199" spans="1:7" ht="12">
      <c r="A199" t="s">
        <v>119</v>
      </c>
      <c r="B199" t="s">
        <v>149</v>
      </c>
      <c r="C199">
        <f>+'gm 1 at NE'!C199+'gm 2 vs Pit'!C199+'gm 3 at Cle'!C199+'gm 4 vs Den'!C199+'gm 5 at KC'!C199+'gm 6 at LA'!C199+'gm 7 vs Hou'!C199+'gm 8 at Pit'!C199+'gm 9 vs Oak'!C199+'gm 10 vs Bal'!C199+'gm 11 at Chi'!C199+'gm 12 vs NYG'!C199+'gm 13 vs Cle'!C199+'gm 14 at Hou'!C199</f>
        <v>1</v>
      </c>
      <c r="D199">
        <f>+'gm 1 at NE'!D199+'gm 2 vs Pit'!D199+'gm 3 at Cle'!D199+'gm 4 vs Den'!D199+'gm 5 at KC'!D199+'gm 6 at LA'!D199+'gm 7 vs Hou'!D199+'gm 8 at Pit'!D199+'gm 9 vs Oak'!D199+'gm 10 vs Bal'!D199+'gm 11 at Chi'!D199+'gm 12 vs NYG'!D199+'gm 13 vs Cle'!D199+'gm 14 at Hou'!D199</f>
        <v>0</v>
      </c>
      <c r="E199">
        <f>MAX('gm 1 at NE'!E199,'gm 2 vs Pit'!E199,'gm 3 at Cle'!E199,'gm 4 vs Den'!E199,'gm 5 at KC'!E199,'gm 6 at LA'!E199,'gm 7 vs Hou'!E199,'gm 9 vs Oak'!E199,'gm 10 vs Bal'!E199,'gm 11 at Chi'!E199,'gm 12 vs NYG'!E199,'gm 13 vs Cle'!E199,'gm 14 at Hou'!E199,+'gm 8 at Pit'!E199)</f>
        <v>0</v>
      </c>
      <c r="F199">
        <f>+'gm 1 at NE'!F199+'gm 2 vs Pit'!F199+'gm 3 at Cle'!F199+'gm 4 vs Den'!F199+'gm 5 at KC'!F199+'gm 6 at LA'!F199+'gm 7 vs Hou'!F199+'gm 8 at Pit'!F199+'gm 9 vs Oak'!F199+'gm 10 vs Bal'!F199+'gm 11 at Chi'!F199+'gm 12 vs NYG'!F199+'gm 13 vs Cle'!F199+'gm 14 at Hou'!F199</f>
        <v>0</v>
      </c>
      <c r="G199">
        <f>+'gm 1 at NE'!G199+'gm 2 vs Pit'!G199+'gm 3 at Cle'!G199+'gm 4 vs Den'!G199+'gm 5 at KC'!G199+'gm 6 at LA'!G199+'gm 7 vs Hou'!G199+'gm 8 at Pit'!G199+'gm 9 vs Oak'!G199+'gm 10 vs Bal'!G199+'gm 11 at Chi'!G199+'gm 12 vs NYG'!G199+'gm 13 vs Cle'!G199+'gm 14 at Hou'!G199</f>
        <v>0</v>
      </c>
    </row>
    <row r="200" spans="1:7" ht="12">
      <c r="A200" t="s">
        <v>137</v>
      </c>
      <c r="B200" t="s">
        <v>149</v>
      </c>
      <c r="C200">
        <f>+'gm 1 at NE'!C200+'gm 2 vs Pit'!C200+'gm 3 at Cle'!C200+'gm 4 vs Den'!C200+'gm 5 at KC'!C200+'gm 6 at LA'!C200+'gm 7 vs Hou'!C200+'gm 8 at Pit'!C200+'gm 9 vs Oak'!C200+'gm 10 vs Bal'!C200+'gm 11 at Chi'!C200+'gm 12 vs NYG'!C200+'gm 13 vs Cle'!C200+'gm 14 at Hou'!C200</f>
        <v>0</v>
      </c>
      <c r="D200">
        <f>+'gm 1 at NE'!D200+'gm 2 vs Pit'!D200+'gm 3 at Cle'!D200+'gm 4 vs Den'!D200+'gm 5 at KC'!D200+'gm 6 at LA'!D200+'gm 7 vs Hou'!D200+'gm 8 at Pit'!D200+'gm 9 vs Oak'!D200+'gm 10 vs Bal'!D200+'gm 11 at Chi'!D200+'gm 12 vs NYG'!D200+'gm 13 vs Cle'!D200+'gm 14 at Hou'!D200</f>
        <v>0</v>
      </c>
      <c r="E200">
        <f>MAX('gm 1 at NE'!E200,'gm 2 vs Pit'!E200,'gm 3 at Cle'!E200,'gm 4 vs Den'!E200,'gm 5 at KC'!E200,'gm 6 at LA'!E200,'gm 7 vs Hou'!E200,'gm 9 vs Oak'!E200,'gm 10 vs Bal'!E200,'gm 11 at Chi'!E200,'gm 12 vs NYG'!E200,'gm 13 vs Cle'!E200,'gm 14 at Hou'!E200,+'gm 8 at Pit'!E200)</f>
        <v>0</v>
      </c>
      <c r="F200">
        <f>+'gm 1 at NE'!F200+'gm 2 vs Pit'!F200+'gm 3 at Cle'!F200+'gm 4 vs Den'!F200+'gm 5 at KC'!F200+'gm 6 at LA'!F200+'gm 7 vs Hou'!F200+'gm 8 at Pit'!F200+'gm 9 vs Oak'!F200+'gm 10 vs Bal'!F200+'gm 11 at Chi'!F200+'gm 12 vs NYG'!F200+'gm 13 vs Cle'!F200+'gm 14 at Hou'!F200</f>
        <v>0</v>
      </c>
      <c r="G200">
        <f>+'gm 1 at NE'!G200+'gm 2 vs Pit'!G200+'gm 3 at Cle'!G200+'gm 4 vs Den'!G200+'gm 5 at KC'!G200+'gm 6 at LA'!G200+'gm 7 vs Hou'!G200+'gm 8 at Pit'!G200+'gm 9 vs Oak'!G200+'gm 10 vs Bal'!G200+'gm 11 at Chi'!G200+'gm 12 vs NYG'!G200+'gm 13 vs Cle'!G200+'gm 14 at Hou'!G200</f>
        <v>0</v>
      </c>
    </row>
    <row r="201" spans="1:7" ht="12">
      <c r="A201" t="s">
        <v>104</v>
      </c>
      <c r="B201" t="s">
        <v>149</v>
      </c>
      <c r="C201">
        <f>+'gm 1 at NE'!C201+'gm 2 vs Pit'!C201+'gm 3 at Cle'!C201+'gm 4 vs Den'!C201+'gm 5 at KC'!C201+'gm 6 at LA'!C201+'gm 7 vs Hou'!C201+'gm 8 at Pit'!C201+'gm 9 vs Oak'!C201+'gm 10 vs Bal'!C201+'gm 11 at Chi'!C201+'gm 12 vs NYG'!C201+'gm 13 vs Cle'!C201+'gm 14 at Hou'!C201</f>
        <v>1</v>
      </c>
      <c r="D201">
        <f>+'gm 1 at NE'!D201+'gm 2 vs Pit'!D201+'gm 3 at Cle'!D201+'gm 4 vs Den'!D201+'gm 5 at KC'!D201+'gm 6 at LA'!D201+'gm 7 vs Hou'!D201+'gm 8 at Pit'!D201+'gm 9 vs Oak'!D201+'gm 10 vs Bal'!D201+'gm 11 at Chi'!D201+'gm 12 vs NYG'!D201+'gm 13 vs Cle'!D201+'gm 14 at Hou'!D201</f>
        <v>0</v>
      </c>
      <c r="E201">
        <f>MAX('gm 1 at NE'!E201,'gm 2 vs Pit'!E201,'gm 3 at Cle'!E201,'gm 4 vs Den'!E201,'gm 5 at KC'!E201,'gm 6 at LA'!E201,'gm 7 vs Hou'!E201,'gm 9 vs Oak'!E201,'gm 10 vs Bal'!E201,'gm 11 at Chi'!E201,'gm 12 vs NYG'!E201,'gm 13 vs Cle'!E201,'gm 14 at Hou'!E201,+'gm 8 at Pit'!E201)</f>
        <v>0</v>
      </c>
      <c r="F201">
        <f>+'gm 1 at NE'!F201+'gm 2 vs Pit'!F201+'gm 3 at Cle'!F201+'gm 4 vs Den'!F201+'gm 5 at KC'!F201+'gm 6 at LA'!F201+'gm 7 vs Hou'!F201+'gm 8 at Pit'!F201+'gm 9 vs Oak'!F201+'gm 10 vs Bal'!F201+'gm 11 at Chi'!F201+'gm 12 vs NYG'!F201+'gm 13 vs Cle'!F201+'gm 14 at Hou'!F201</f>
        <v>0</v>
      </c>
      <c r="G201">
        <f>+'gm 1 at NE'!G201+'gm 2 vs Pit'!G201+'gm 3 at Cle'!G201+'gm 4 vs Den'!G201+'gm 5 at KC'!G201+'gm 6 at LA'!G201+'gm 7 vs Hou'!G201+'gm 8 at Pit'!G201+'gm 9 vs Oak'!G201+'gm 10 vs Bal'!G201+'gm 11 at Chi'!G201+'gm 12 vs NYG'!G201+'gm 13 vs Cle'!G201+'gm 14 at Hou'!G201</f>
        <v>0</v>
      </c>
    </row>
    <row r="202" spans="1:7" ht="12">
      <c r="A202" t="s">
        <v>131</v>
      </c>
      <c r="B202" t="s">
        <v>149</v>
      </c>
      <c r="C202">
        <f>+'gm 1 at NE'!C202+'gm 2 vs Pit'!C202+'gm 3 at Cle'!C202+'gm 4 vs Den'!C202+'gm 5 at KC'!C202+'gm 6 at LA'!C202+'gm 7 vs Hou'!C202+'gm 8 at Pit'!C202+'gm 9 vs Oak'!C202+'gm 10 vs Bal'!C202+'gm 11 at Chi'!C202+'gm 12 vs NYG'!C202+'gm 13 vs Cle'!C202+'gm 14 at Hou'!C202</f>
        <v>0</v>
      </c>
      <c r="D202">
        <f>+'gm 1 at NE'!D202+'gm 2 vs Pit'!D202+'gm 3 at Cle'!D202+'gm 4 vs Den'!D202+'gm 5 at KC'!D202+'gm 6 at LA'!D202+'gm 7 vs Hou'!D202+'gm 8 at Pit'!D202+'gm 9 vs Oak'!D202+'gm 10 vs Bal'!D202+'gm 11 at Chi'!D202+'gm 12 vs NYG'!D202+'gm 13 vs Cle'!D202+'gm 14 at Hou'!D202</f>
        <v>0</v>
      </c>
      <c r="E202">
        <f>MAX('gm 1 at NE'!E202,'gm 2 vs Pit'!E202,'gm 3 at Cle'!E202,'gm 4 vs Den'!E202,'gm 5 at KC'!E202,'gm 6 at LA'!E202,'gm 7 vs Hou'!E202,'gm 9 vs Oak'!E202,'gm 10 vs Bal'!E202,'gm 11 at Chi'!E202,'gm 12 vs NYG'!E202,'gm 13 vs Cle'!E202,'gm 14 at Hou'!E202,+'gm 8 at Pit'!E202)</f>
        <v>0</v>
      </c>
      <c r="F202">
        <f>+'gm 1 at NE'!F202+'gm 2 vs Pit'!F202+'gm 3 at Cle'!F202+'gm 4 vs Den'!F202+'gm 5 at KC'!F202+'gm 6 at LA'!F202+'gm 7 vs Hou'!F202+'gm 8 at Pit'!F202+'gm 9 vs Oak'!F202+'gm 10 vs Bal'!F202+'gm 11 at Chi'!F202+'gm 12 vs NYG'!F202+'gm 13 vs Cle'!F202+'gm 14 at Hou'!F202</f>
        <v>0</v>
      </c>
      <c r="G202">
        <f>+'gm 1 at NE'!G202+'gm 2 vs Pit'!G202+'gm 3 at Cle'!G202+'gm 4 vs Den'!G202+'gm 5 at KC'!G202+'gm 6 at LA'!G202+'gm 7 vs Hou'!G202+'gm 8 at Pit'!G202+'gm 9 vs Oak'!G202+'gm 10 vs Bal'!G202+'gm 11 at Chi'!G202+'gm 12 vs NYG'!G202+'gm 13 vs Cle'!G202+'gm 14 at Hou'!G202</f>
        <v>0</v>
      </c>
    </row>
    <row r="203" spans="1:7" ht="12">
      <c r="A203" s="2" t="s">
        <v>105</v>
      </c>
      <c r="B203" t="s">
        <v>149</v>
      </c>
      <c r="C203">
        <f>+'gm 1 at NE'!C203+'gm 2 vs Pit'!C203+'gm 3 at Cle'!C203+'gm 4 vs Den'!C203+'gm 5 at KC'!C203+'gm 6 at LA'!C203+'gm 7 vs Hou'!C203+'gm 8 at Pit'!C203+'gm 9 vs Oak'!C203+'gm 10 vs Bal'!C203+'gm 11 at Chi'!C203+'gm 12 vs NYG'!C203+'gm 13 vs Cle'!C203+'gm 14 at Hou'!C203</f>
        <v>0</v>
      </c>
      <c r="D203">
        <f>+'gm 1 at NE'!D203+'gm 2 vs Pit'!D203+'gm 3 at Cle'!D203+'gm 4 vs Den'!D203+'gm 5 at KC'!D203+'gm 6 at LA'!D203+'gm 7 vs Hou'!D203+'gm 8 at Pit'!D203+'gm 9 vs Oak'!D203+'gm 10 vs Bal'!D203+'gm 11 at Chi'!D203+'gm 12 vs NYG'!D203+'gm 13 vs Cle'!D203+'gm 14 at Hou'!D203</f>
        <v>0</v>
      </c>
      <c r="E203">
        <f>MAX('gm 1 at NE'!E203,'gm 2 vs Pit'!E203,'gm 3 at Cle'!E203,'gm 4 vs Den'!E203,'gm 5 at KC'!E203,'gm 6 at LA'!E203,'gm 7 vs Hou'!E203,'gm 9 vs Oak'!E203,'gm 10 vs Bal'!E203,'gm 11 at Chi'!E203,'gm 12 vs NYG'!E203,'gm 13 vs Cle'!E203,'gm 14 at Hou'!E203,+'gm 8 at Pit'!E203)</f>
        <v>0</v>
      </c>
      <c r="F203">
        <f>+'gm 1 at NE'!F203+'gm 2 vs Pit'!F203+'gm 3 at Cle'!F203+'gm 4 vs Den'!F203+'gm 5 at KC'!F203+'gm 6 at LA'!F203+'gm 7 vs Hou'!F203+'gm 8 at Pit'!F203+'gm 9 vs Oak'!F203+'gm 10 vs Bal'!F203+'gm 11 at Chi'!F203+'gm 12 vs NYG'!F203+'gm 13 vs Cle'!F203+'gm 14 at Hou'!F203</f>
        <v>0</v>
      </c>
      <c r="G203">
        <f>+'gm 1 at NE'!G203+'gm 2 vs Pit'!G203+'gm 3 at Cle'!G203+'gm 4 vs Den'!G203+'gm 5 at KC'!G203+'gm 6 at LA'!G203+'gm 7 vs Hou'!G203+'gm 8 at Pit'!G203+'gm 9 vs Oak'!G203+'gm 10 vs Bal'!G203+'gm 11 at Chi'!G203+'gm 12 vs NYG'!G203+'gm 13 vs Cle'!G203+'gm 14 at Hou'!G203</f>
        <v>0</v>
      </c>
    </row>
    <row r="204" spans="1:7" ht="12">
      <c r="A204" t="s">
        <v>138</v>
      </c>
      <c r="B204" t="s">
        <v>149</v>
      </c>
      <c r="C204">
        <f>+'gm 1 at NE'!C204+'gm 2 vs Pit'!C204+'gm 3 at Cle'!C204+'gm 4 vs Den'!C204+'gm 5 at KC'!C204+'gm 6 at LA'!C204+'gm 7 vs Hou'!C204+'gm 8 at Pit'!C204+'gm 9 vs Oak'!C204+'gm 10 vs Bal'!C204+'gm 11 at Chi'!C204+'gm 12 vs NYG'!C204+'gm 13 vs Cle'!C204+'gm 14 at Hou'!C204</f>
        <v>0</v>
      </c>
      <c r="D204">
        <f>+'gm 1 at NE'!D204+'gm 2 vs Pit'!D204+'gm 3 at Cle'!D204+'gm 4 vs Den'!D204+'gm 5 at KC'!D204+'gm 6 at LA'!D204+'gm 7 vs Hou'!D204+'gm 8 at Pit'!D204+'gm 9 vs Oak'!D204+'gm 10 vs Bal'!D204+'gm 11 at Chi'!D204+'gm 12 vs NYG'!D204+'gm 13 vs Cle'!D204+'gm 14 at Hou'!D204</f>
        <v>0</v>
      </c>
      <c r="E204">
        <f>MAX('gm 1 at NE'!E204,'gm 2 vs Pit'!E204,'gm 3 at Cle'!E204,'gm 4 vs Den'!E204,'gm 5 at KC'!E204,'gm 6 at LA'!E204,'gm 7 vs Hou'!E204,'gm 9 vs Oak'!E204,'gm 10 vs Bal'!E204,'gm 11 at Chi'!E204,'gm 12 vs NYG'!E204,'gm 13 vs Cle'!E204,'gm 14 at Hou'!E204,+'gm 8 at Pit'!E204)</f>
        <v>0</v>
      </c>
      <c r="F204">
        <f>+'gm 1 at NE'!F204+'gm 2 vs Pit'!F204+'gm 3 at Cle'!F204+'gm 4 vs Den'!F204+'gm 5 at KC'!F204+'gm 6 at LA'!F204+'gm 7 vs Hou'!F204+'gm 8 at Pit'!F204+'gm 9 vs Oak'!F204+'gm 10 vs Bal'!F204+'gm 11 at Chi'!F204+'gm 12 vs NYG'!F204+'gm 13 vs Cle'!F204+'gm 14 at Hou'!F204</f>
        <v>0</v>
      </c>
      <c r="G204">
        <f>+'gm 1 at NE'!G204+'gm 2 vs Pit'!G204+'gm 3 at Cle'!G204+'gm 4 vs Den'!G204+'gm 5 at KC'!G204+'gm 6 at LA'!G204+'gm 7 vs Hou'!G204+'gm 8 at Pit'!G204+'gm 9 vs Oak'!G204+'gm 10 vs Bal'!G204+'gm 11 at Chi'!G204+'gm 12 vs NYG'!G204+'gm 13 vs Cle'!G204+'gm 14 at Hou'!G204</f>
        <v>0</v>
      </c>
    </row>
    <row r="205" spans="1:7" ht="12">
      <c r="A205" t="s">
        <v>139</v>
      </c>
      <c r="B205" t="s">
        <v>149</v>
      </c>
      <c r="C205">
        <f>+'gm 1 at NE'!C205+'gm 2 vs Pit'!C205+'gm 3 at Cle'!C205+'gm 4 vs Den'!C205+'gm 5 at KC'!C205+'gm 6 at LA'!C205+'gm 7 vs Hou'!C205+'gm 8 at Pit'!C205+'gm 9 vs Oak'!C205+'gm 10 vs Bal'!C205+'gm 11 at Chi'!C205+'gm 12 vs NYG'!C205+'gm 13 vs Cle'!C205+'gm 14 at Hou'!C205</f>
        <v>0</v>
      </c>
      <c r="D205">
        <f>+'gm 1 at NE'!D205+'gm 2 vs Pit'!D205+'gm 3 at Cle'!D205+'gm 4 vs Den'!D205+'gm 5 at KC'!D205+'gm 6 at LA'!D205+'gm 7 vs Hou'!D205+'gm 8 at Pit'!D205+'gm 9 vs Oak'!D205+'gm 10 vs Bal'!D205+'gm 11 at Chi'!D205+'gm 12 vs NYG'!D205+'gm 13 vs Cle'!D205+'gm 14 at Hou'!D205</f>
        <v>0</v>
      </c>
      <c r="E205">
        <f>MAX('gm 1 at NE'!E205,'gm 2 vs Pit'!E205,'gm 3 at Cle'!E205,'gm 4 vs Den'!E205,'gm 5 at KC'!E205,'gm 6 at LA'!E205,'gm 7 vs Hou'!E205,'gm 9 vs Oak'!E205,'gm 10 vs Bal'!E205,'gm 11 at Chi'!E205,'gm 12 vs NYG'!E205,'gm 13 vs Cle'!E205,'gm 14 at Hou'!E205,+'gm 8 at Pit'!E205)</f>
        <v>0</v>
      </c>
      <c r="F205">
        <f>+'gm 1 at NE'!F205+'gm 2 vs Pit'!F205+'gm 3 at Cle'!F205+'gm 4 vs Den'!F205+'gm 5 at KC'!F205+'gm 6 at LA'!F205+'gm 7 vs Hou'!F205+'gm 8 at Pit'!F205+'gm 9 vs Oak'!F205+'gm 10 vs Bal'!F205+'gm 11 at Chi'!F205+'gm 12 vs NYG'!F205+'gm 13 vs Cle'!F205+'gm 14 at Hou'!F205</f>
        <v>0</v>
      </c>
      <c r="G205">
        <f>+'gm 1 at NE'!G205+'gm 2 vs Pit'!G205+'gm 3 at Cle'!G205+'gm 4 vs Den'!G205+'gm 5 at KC'!G205+'gm 6 at LA'!G205+'gm 7 vs Hou'!G205+'gm 8 at Pit'!G205+'gm 9 vs Oak'!G205+'gm 10 vs Bal'!G205+'gm 11 at Chi'!G205+'gm 12 vs NYG'!G205+'gm 13 vs Cle'!G205+'gm 14 at Hou'!G205</f>
        <v>0</v>
      </c>
    </row>
    <row r="206" spans="1:7" ht="12">
      <c r="A206" t="s">
        <v>120</v>
      </c>
      <c r="B206" t="s">
        <v>149</v>
      </c>
      <c r="C206">
        <f>+'gm 1 at NE'!C206+'gm 2 vs Pit'!C206+'gm 3 at Cle'!C206+'gm 4 vs Den'!C206+'gm 5 at KC'!C206+'gm 6 at LA'!C206+'gm 7 vs Hou'!C206+'gm 8 at Pit'!C206+'gm 9 vs Oak'!C206+'gm 10 vs Bal'!C206+'gm 11 at Chi'!C206+'gm 12 vs NYG'!C206+'gm 13 vs Cle'!C206+'gm 14 at Hou'!C206</f>
        <v>0</v>
      </c>
      <c r="D206">
        <f>+'gm 1 at NE'!D206+'gm 2 vs Pit'!D206+'gm 3 at Cle'!D206+'gm 4 vs Den'!D206+'gm 5 at KC'!D206+'gm 6 at LA'!D206+'gm 7 vs Hou'!D206+'gm 8 at Pit'!D206+'gm 9 vs Oak'!D206+'gm 10 vs Bal'!D206+'gm 11 at Chi'!D206+'gm 12 vs NYG'!D206+'gm 13 vs Cle'!D206+'gm 14 at Hou'!D206</f>
        <v>0</v>
      </c>
      <c r="E206">
        <f>MAX('gm 1 at NE'!E206,'gm 2 vs Pit'!E206,'gm 3 at Cle'!E206,'gm 4 vs Den'!E206,'gm 5 at KC'!E206,'gm 6 at LA'!E206,'gm 7 vs Hou'!E206,'gm 9 vs Oak'!E206,'gm 10 vs Bal'!E206,'gm 11 at Chi'!E206,'gm 12 vs NYG'!E206,'gm 13 vs Cle'!E206,'gm 14 at Hou'!E206,+'gm 8 at Pit'!E206)</f>
        <v>0</v>
      </c>
      <c r="F206">
        <f>+'gm 1 at NE'!F206+'gm 2 vs Pit'!F206+'gm 3 at Cle'!F206+'gm 4 vs Den'!F206+'gm 5 at KC'!F206+'gm 6 at LA'!F206+'gm 7 vs Hou'!F206+'gm 8 at Pit'!F206+'gm 9 vs Oak'!F206+'gm 10 vs Bal'!F206+'gm 11 at Chi'!F206+'gm 12 vs NYG'!F206+'gm 13 vs Cle'!F206+'gm 14 at Hou'!F206</f>
        <v>0</v>
      </c>
      <c r="G206">
        <f>+'gm 1 at NE'!G206+'gm 2 vs Pit'!G206+'gm 3 at Cle'!G206+'gm 4 vs Den'!G206+'gm 5 at KC'!G206+'gm 6 at LA'!G206+'gm 7 vs Hou'!G206+'gm 8 at Pit'!G206+'gm 9 vs Oak'!G206+'gm 10 vs Bal'!G206+'gm 11 at Chi'!G206+'gm 12 vs NYG'!G206+'gm 13 vs Cle'!G206+'gm 14 at Hou'!G206</f>
        <v>0</v>
      </c>
    </row>
    <row r="207" spans="1:7" ht="12">
      <c r="A207" t="s">
        <v>140</v>
      </c>
      <c r="B207" t="s">
        <v>149</v>
      </c>
      <c r="C207">
        <f>+'gm 1 at NE'!C207+'gm 2 vs Pit'!C207+'gm 3 at Cle'!C207+'gm 4 vs Den'!C207+'gm 5 at KC'!C207+'gm 6 at LA'!C207+'gm 7 vs Hou'!C207+'gm 8 at Pit'!C207+'gm 9 vs Oak'!C207+'gm 10 vs Bal'!C207+'gm 11 at Chi'!C207+'gm 12 vs NYG'!C207+'gm 13 vs Cle'!C207+'gm 14 at Hou'!C207</f>
        <v>0</v>
      </c>
      <c r="D207">
        <f>+'gm 1 at NE'!D207+'gm 2 vs Pit'!D207+'gm 3 at Cle'!D207+'gm 4 vs Den'!D207+'gm 5 at KC'!D207+'gm 6 at LA'!D207+'gm 7 vs Hou'!D207+'gm 8 at Pit'!D207+'gm 9 vs Oak'!D207+'gm 10 vs Bal'!D207+'gm 11 at Chi'!D207+'gm 12 vs NYG'!D207+'gm 13 vs Cle'!D207+'gm 14 at Hou'!D207</f>
        <v>0</v>
      </c>
      <c r="E207">
        <f>MAX('gm 1 at NE'!E207,'gm 2 vs Pit'!E207,'gm 3 at Cle'!E207,'gm 4 vs Den'!E207,'gm 5 at KC'!E207,'gm 6 at LA'!E207,'gm 7 vs Hou'!E207,'gm 9 vs Oak'!E207,'gm 10 vs Bal'!E207,'gm 11 at Chi'!E207,'gm 12 vs NYG'!E207,'gm 13 vs Cle'!E207,'gm 14 at Hou'!E207,+'gm 8 at Pit'!E207)</f>
        <v>0</v>
      </c>
      <c r="F207">
        <f>+'gm 1 at NE'!F207+'gm 2 vs Pit'!F207+'gm 3 at Cle'!F207+'gm 4 vs Den'!F207+'gm 5 at KC'!F207+'gm 6 at LA'!F207+'gm 7 vs Hou'!F207+'gm 8 at Pit'!F207+'gm 9 vs Oak'!F207+'gm 10 vs Bal'!F207+'gm 11 at Chi'!F207+'gm 12 vs NYG'!F207+'gm 13 vs Cle'!F207+'gm 14 at Hou'!F207</f>
        <v>0</v>
      </c>
      <c r="G207">
        <f>+'gm 1 at NE'!G207+'gm 2 vs Pit'!G207+'gm 3 at Cle'!G207+'gm 4 vs Den'!G207+'gm 5 at KC'!G207+'gm 6 at LA'!G207+'gm 7 vs Hou'!G207+'gm 8 at Pit'!G207+'gm 9 vs Oak'!G207+'gm 10 vs Bal'!G207+'gm 11 at Chi'!G207+'gm 12 vs NYG'!G207+'gm 13 vs Cle'!G207+'gm 14 at Hou'!G207</f>
        <v>0</v>
      </c>
    </row>
    <row r="208" spans="1:7" ht="12">
      <c r="A208" t="s">
        <v>141</v>
      </c>
      <c r="B208" t="s">
        <v>149</v>
      </c>
      <c r="C208">
        <f>+'gm 1 at NE'!C208+'gm 2 vs Pit'!C208+'gm 3 at Cle'!C208+'gm 4 vs Den'!C208+'gm 5 at KC'!C208+'gm 6 at LA'!C208+'gm 7 vs Hou'!C208+'gm 8 at Pit'!C208+'gm 9 vs Oak'!C208+'gm 10 vs Bal'!C208+'gm 11 at Chi'!C208+'gm 12 vs NYG'!C208+'gm 13 vs Cle'!C208+'gm 14 at Hou'!C208</f>
        <v>2</v>
      </c>
      <c r="D208">
        <f>+'gm 1 at NE'!D208+'gm 2 vs Pit'!D208+'gm 3 at Cle'!D208+'gm 4 vs Den'!D208+'gm 5 at KC'!D208+'gm 6 at LA'!D208+'gm 7 vs Hou'!D208+'gm 8 at Pit'!D208+'gm 9 vs Oak'!D208+'gm 10 vs Bal'!D208+'gm 11 at Chi'!D208+'gm 12 vs NYG'!D208+'gm 13 vs Cle'!D208+'gm 14 at Hou'!D208</f>
        <v>0</v>
      </c>
      <c r="E208">
        <f>MAX('gm 1 at NE'!E208,'gm 2 vs Pit'!E208,'gm 3 at Cle'!E208,'gm 4 vs Den'!E208,'gm 5 at KC'!E208,'gm 6 at LA'!E208,'gm 7 vs Hou'!E208,'gm 9 vs Oak'!E208,'gm 10 vs Bal'!E208,'gm 11 at Chi'!E208,'gm 12 vs NYG'!E208,'gm 13 vs Cle'!E208,'gm 14 at Hou'!E208,+'gm 8 at Pit'!E208)</f>
        <v>0</v>
      </c>
      <c r="F208">
        <f>+'gm 1 at NE'!F208+'gm 2 vs Pit'!F208+'gm 3 at Cle'!F208+'gm 4 vs Den'!F208+'gm 5 at KC'!F208+'gm 6 at LA'!F208+'gm 7 vs Hou'!F208+'gm 8 at Pit'!F208+'gm 9 vs Oak'!F208+'gm 10 vs Bal'!F208+'gm 11 at Chi'!F208+'gm 12 vs NYG'!F208+'gm 13 vs Cle'!F208+'gm 14 at Hou'!F208</f>
        <v>0</v>
      </c>
      <c r="G208">
        <f>+'gm 1 at NE'!G208+'gm 2 vs Pit'!G208+'gm 3 at Cle'!G208+'gm 4 vs Den'!G208+'gm 5 at KC'!G208+'gm 6 at LA'!G208+'gm 7 vs Hou'!G208+'gm 8 at Pit'!G208+'gm 9 vs Oak'!G208+'gm 10 vs Bal'!G208+'gm 11 at Chi'!G208+'gm 12 vs NYG'!G208+'gm 13 vs Cle'!G208+'gm 14 at Hou'!G208</f>
        <v>0</v>
      </c>
    </row>
    <row r="209" spans="1:7" ht="12">
      <c r="A209" t="s">
        <v>106</v>
      </c>
      <c r="B209" t="s">
        <v>149</v>
      </c>
      <c r="C209">
        <f>+'gm 1 at NE'!C209+'gm 2 vs Pit'!C209+'gm 3 at Cle'!C209+'gm 4 vs Den'!C209+'gm 5 at KC'!C209+'gm 6 at LA'!C209+'gm 7 vs Hou'!C209+'gm 8 at Pit'!C209+'gm 9 vs Oak'!C209+'gm 10 vs Bal'!C209+'gm 11 at Chi'!C209+'gm 12 vs NYG'!C209+'gm 13 vs Cle'!C209+'gm 14 at Hou'!C209</f>
        <v>0</v>
      </c>
      <c r="D209">
        <f>+'gm 1 at NE'!D209+'gm 2 vs Pit'!D209+'gm 3 at Cle'!D209+'gm 4 vs Den'!D209+'gm 5 at KC'!D209+'gm 6 at LA'!D209+'gm 7 vs Hou'!D209+'gm 8 at Pit'!D209+'gm 9 vs Oak'!D209+'gm 10 vs Bal'!D209+'gm 11 at Chi'!D209+'gm 12 vs NYG'!D209+'gm 13 vs Cle'!D209+'gm 14 at Hou'!D209</f>
        <v>0</v>
      </c>
      <c r="E209">
        <f>MAX('gm 1 at NE'!E209,'gm 2 vs Pit'!E209,'gm 3 at Cle'!E209,'gm 4 vs Den'!E209,'gm 5 at KC'!E209,'gm 6 at LA'!E209,'gm 7 vs Hou'!E209,'gm 9 vs Oak'!E209,'gm 10 vs Bal'!E209,'gm 11 at Chi'!E209,'gm 12 vs NYG'!E209,'gm 13 vs Cle'!E209,'gm 14 at Hou'!E209,+'gm 8 at Pit'!E209)</f>
        <v>0</v>
      </c>
      <c r="F209">
        <f>+'gm 1 at NE'!F209+'gm 2 vs Pit'!F209+'gm 3 at Cle'!F209+'gm 4 vs Den'!F209+'gm 5 at KC'!F209+'gm 6 at LA'!F209+'gm 7 vs Hou'!F209+'gm 8 at Pit'!F209+'gm 9 vs Oak'!F209+'gm 10 vs Bal'!F209+'gm 11 at Chi'!F209+'gm 12 vs NYG'!F209+'gm 13 vs Cle'!F209+'gm 14 at Hou'!F209</f>
        <v>0</v>
      </c>
      <c r="G209">
        <f>+'gm 1 at NE'!G209+'gm 2 vs Pit'!G209+'gm 3 at Cle'!G209+'gm 4 vs Den'!G209+'gm 5 at KC'!G209+'gm 6 at LA'!G209+'gm 7 vs Hou'!G209+'gm 8 at Pit'!G209+'gm 9 vs Oak'!G209+'gm 10 vs Bal'!G209+'gm 11 at Chi'!G209+'gm 12 vs NYG'!G209+'gm 13 vs Cle'!G209+'gm 14 at Hou'!G209</f>
        <v>0</v>
      </c>
    </row>
    <row r="210" spans="1:7" ht="12">
      <c r="A210" t="s">
        <v>142</v>
      </c>
      <c r="B210" t="s">
        <v>149</v>
      </c>
      <c r="C210">
        <f>+'gm 1 at NE'!C210+'gm 2 vs Pit'!C210+'gm 3 at Cle'!C210+'gm 4 vs Den'!C210+'gm 5 at KC'!C210+'gm 6 at LA'!C210+'gm 7 vs Hou'!C210+'gm 8 at Pit'!C210+'gm 9 vs Oak'!C210+'gm 10 vs Bal'!C210+'gm 11 at Chi'!C210+'gm 12 vs NYG'!C210+'gm 13 vs Cle'!C210+'gm 14 at Hou'!C210</f>
        <v>0</v>
      </c>
      <c r="D210">
        <f>+'gm 1 at NE'!D210+'gm 2 vs Pit'!D210+'gm 3 at Cle'!D210+'gm 4 vs Den'!D210+'gm 5 at KC'!D210+'gm 6 at LA'!D210+'gm 7 vs Hou'!D210+'gm 8 at Pit'!D210+'gm 9 vs Oak'!D210+'gm 10 vs Bal'!D210+'gm 11 at Chi'!D210+'gm 12 vs NYG'!D210+'gm 13 vs Cle'!D210+'gm 14 at Hou'!D210</f>
        <v>0</v>
      </c>
      <c r="E210">
        <f>MAX('gm 1 at NE'!E210,'gm 2 vs Pit'!E210,'gm 3 at Cle'!E210,'gm 4 vs Den'!E210,'gm 5 at KC'!E210,'gm 6 at LA'!E210,'gm 7 vs Hou'!E210,'gm 9 vs Oak'!E210,'gm 10 vs Bal'!E210,'gm 11 at Chi'!E210,'gm 12 vs NYG'!E210,'gm 13 vs Cle'!E210,'gm 14 at Hou'!E210,+'gm 8 at Pit'!E210)</f>
        <v>0</v>
      </c>
      <c r="F210">
        <f>+'gm 1 at NE'!F210+'gm 2 vs Pit'!F210+'gm 3 at Cle'!F210+'gm 4 vs Den'!F210+'gm 5 at KC'!F210+'gm 6 at LA'!F210+'gm 7 vs Hou'!F210+'gm 8 at Pit'!F210+'gm 9 vs Oak'!F210+'gm 10 vs Bal'!F210+'gm 11 at Chi'!F210+'gm 12 vs NYG'!F210+'gm 13 vs Cle'!F210+'gm 14 at Hou'!F210</f>
        <v>0</v>
      </c>
      <c r="G210">
        <f>+'gm 1 at NE'!G210+'gm 2 vs Pit'!G210+'gm 3 at Cle'!G210+'gm 4 vs Den'!G210+'gm 5 at KC'!G210+'gm 6 at LA'!G210+'gm 7 vs Hou'!G210+'gm 8 at Pit'!G210+'gm 9 vs Oak'!G210+'gm 10 vs Bal'!G210+'gm 11 at Chi'!G210+'gm 12 vs NYG'!G210+'gm 13 vs Cle'!G210+'gm 14 at Hou'!G210</f>
        <v>0</v>
      </c>
    </row>
    <row r="211" spans="1:7" ht="12">
      <c r="A211" t="s">
        <v>143</v>
      </c>
      <c r="B211" t="s">
        <v>149</v>
      </c>
      <c r="C211">
        <f>+'gm 1 at NE'!C211+'gm 2 vs Pit'!C211+'gm 3 at Cle'!C211+'gm 4 vs Den'!C211+'gm 5 at KC'!C211+'gm 6 at LA'!C211+'gm 7 vs Hou'!C211+'gm 8 at Pit'!C211+'gm 9 vs Oak'!C211+'gm 10 vs Bal'!C211+'gm 11 at Chi'!C211+'gm 12 vs NYG'!C211+'gm 13 vs Cle'!C211+'gm 14 at Hou'!C211</f>
        <v>0</v>
      </c>
      <c r="D211">
        <f>+'gm 1 at NE'!D211+'gm 2 vs Pit'!D211+'gm 3 at Cle'!D211+'gm 4 vs Den'!D211+'gm 5 at KC'!D211+'gm 6 at LA'!D211+'gm 7 vs Hou'!D211+'gm 8 at Pit'!D211+'gm 9 vs Oak'!D211+'gm 10 vs Bal'!D211+'gm 11 at Chi'!D211+'gm 12 vs NYG'!D211+'gm 13 vs Cle'!D211+'gm 14 at Hou'!D211</f>
        <v>0</v>
      </c>
      <c r="E211">
        <f>MAX('gm 1 at NE'!E211,'gm 2 vs Pit'!E211,'gm 3 at Cle'!E211,'gm 4 vs Den'!E211,'gm 5 at KC'!E211,'gm 6 at LA'!E211,'gm 7 vs Hou'!E211,'gm 9 vs Oak'!E211,'gm 10 vs Bal'!E211,'gm 11 at Chi'!E211,'gm 12 vs NYG'!E211,'gm 13 vs Cle'!E211,'gm 14 at Hou'!E211,+'gm 8 at Pit'!E211)</f>
        <v>0</v>
      </c>
      <c r="F211">
        <f>+'gm 1 at NE'!F211+'gm 2 vs Pit'!F211+'gm 3 at Cle'!F211+'gm 4 vs Den'!F211+'gm 5 at KC'!F211+'gm 6 at LA'!F211+'gm 7 vs Hou'!F211+'gm 8 at Pit'!F211+'gm 9 vs Oak'!F211+'gm 10 vs Bal'!F211+'gm 11 at Chi'!F211+'gm 12 vs NYG'!F211+'gm 13 vs Cle'!F211+'gm 14 at Hou'!F211</f>
        <v>0</v>
      </c>
      <c r="G211">
        <f>+'gm 1 at NE'!G211+'gm 2 vs Pit'!G211+'gm 3 at Cle'!G211+'gm 4 vs Den'!G211+'gm 5 at KC'!G211+'gm 6 at LA'!G211+'gm 7 vs Hou'!G211+'gm 8 at Pit'!G211+'gm 9 vs Oak'!G211+'gm 10 vs Bal'!G211+'gm 11 at Chi'!G211+'gm 12 vs NYG'!G211+'gm 13 vs Cle'!G211+'gm 14 at Hou'!G211</f>
        <v>0</v>
      </c>
    </row>
    <row r="212" spans="1:7" ht="12">
      <c r="A212" t="s">
        <v>107</v>
      </c>
      <c r="B212" t="s">
        <v>149</v>
      </c>
      <c r="C212">
        <f>+'gm 1 at NE'!C212+'gm 2 vs Pit'!C212+'gm 3 at Cle'!C212+'gm 4 vs Den'!C212+'gm 5 at KC'!C212+'gm 6 at LA'!C212+'gm 7 vs Hou'!C212+'gm 8 at Pit'!C212+'gm 9 vs Oak'!C212+'gm 10 vs Bal'!C212+'gm 11 at Chi'!C212+'gm 12 vs NYG'!C212+'gm 13 vs Cle'!C212+'gm 14 at Hou'!C212</f>
        <v>0</v>
      </c>
      <c r="D212">
        <f>+'gm 1 at NE'!D212+'gm 2 vs Pit'!D212+'gm 3 at Cle'!D212+'gm 4 vs Den'!D212+'gm 5 at KC'!D212+'gm 6 at LA'!D212+'gm 7 vs Hou'!D212+'gm 8 at Pit'!D212+'gm 9 vs Oak'!D212+'gm 10 vs Bal'!D212+'gm 11 at Chi'!D212+'gm 12 vs NYG'!D212+'gm 13 vs Cle'!D212+'gm 14 at Hou'!D212</f>
        <v>0</v>
      </c>
      <c r="E212">
        <f>MAX('gm 1 at NE'!E212,'gm 2 vs Pit'!E212,'gm 3 at Cle'!E212,'gm 4 vs Den'!E212,'gm 5 at KC'!E212,'gm 6 at LA'!E212,'gm 7 vs Hou'!E212,'gm 9 vs Oak'!E212,'gm 10 vs Bal'!E212,'gm 11 at Chi'!E212,'gm 12 vs NYG'!E212,'gm 13 vs Cle'!E212,'gm 14 at Hou'!E212,+'gm 8 at Pit'!E212)</f>
        <v>0</v>
      </c>
      <c r="F212">
        <f>+'gm 1 at NE'!F212+'gm 2 vs Pit'!F212+'gm 3 at Cle'!F212+'gm 4 vs Den'!F212+'gm 5 at KC'!F212+'gm 6 at LA'!F212+'gm 7 vs Hou'!F212+'gm 8 at Pit'!F212+'gm 9 vs Oak'!F212+'gm 10 vs Bal'!F212+'gm 11 at Chi'!F212+'gm 12 vs NYG'!F212+'gm 13 vs Cle'!F212+'gm 14 at Hou'!F212</f>
        <v>0</v>
      </c>
      <c r="G212">
        <f>+'gm 1 at NE'!G212+'gm 2 vs Pit'!G212+'gm 3 at Cle'!G212+'gm 4 vs Den'!G212+'gm 5 at KC'!G212+'gm 6 at LA'!G212+'gm 7 vs Hou'!G212+'gm 8 at Pit'!G212+'gm 9 vs Oak'!G212+'gm 10 vs Bal'!G212+'gm 11 at Chi'!G212+'gm 12 vs NYG'!G212+'gm 13 vs Cle'!G212+'gm 14 at Hou'!G212</f>
        <v>0</v>
      </c>
    </row>
    <row r="213" spans="1:7" ht="12">
      <c r="A213" t="s">
        <v>121</v>
      </c>
      <c r="B213" t="s">
        <v>149</v>
      </c>
      <c r="C213">
        <f>+'gm 1 at NE'!C213+'gm 2 vs Pit'!C213+'gm 3 at Cle'!C213+'gm 4 vs Den'!C213+'gm 5 at KC'!C213+'gm 6 at LA'!C213+'gm 7 vs Hou'!C213+'gm 8 at Pit'!C213+'gm 9 vs Oak'!C213+'gm 10 vs Bal'!C213+'gm 11 at Chi'!C213+'gm 12 vs NYG'!C213+'gm 13 vs Cle'!C213+'gm 14 at Hou'!C213</f>
        <v>0</v>
      </c>
      <c r="D213">
        <f>+'gm 1 at NE'!D213+'gm 2 vs Pit'!D213+'gm 3 at Cle'!D213+'gm 4 vs Den'!D213+'gm 5 at KC'!D213+'gm 6 at LA'!D213+'gm 7 vs Hou'!D213+'gm 8 at Pit'!D213+'gm 9 vs Oak'!D213+'gm 10 vs Bal'!D213+'gm 11 at Chi'!D213+'gm 12 vs NYG'!D213+'gm 13 vs Cle'!D213+'gm 14 at Hou'!D213</f>
        <v>0</v>
      </c>
      <c r="E213">
        <f>MAX('gm 1 at NE'!E213,'gm 2 vs Pit'!E213,'gm 3 at Cle'!E213,'gm 4 vs Den'!E213,'gm 5 at KC'!E213,'gm 6 at LA'!E213,'gm 7 vs Hou'!E213,'gm 9 vs Oak'!E213,'gm 10 vs Bal'!E213,'gm 11 at Chi'!E213,'gm 12 vs NYG'!E213,'gm 13 vs Cle'!E213,'gm 14 at Hou'!E213,+'gm 8 at Pit'!E213)</f>
        <v>0</v>
      </c>
      <c r="F213">
        <f>+'gm 1 at NE'!F213+'gm 2 vs Pit'!F213+'gm 3 at Cle'!F213+'gm 4 vs Den'!F213+'gm 5 at KC'!F213+'gm 6 at LA'!F213+'gm 7 vs Hou'!F213+'gm 8 at Pit'!F213+'gm 9 vs Oak'!F213+'gm 10 vs Bal'!F213+'gm 11 at Chi'!F213+'gm 12 vs NYG'!F213+'gm 13 vs Cle'!F213+'gm 14 at Hou'!F213</f>
        <v>0</v>
      </c>
      <c r="G213">
        <f>+'gm 1 at NE'!G213+'gm 2 vs Pit'!G213+'gm 3 at Cle'!G213+'gm 4 vs Den'!G213+'gm 5 at KC'!G213+'gm 6 at LA'!G213+'gm 7 vs Hou'!G213+'gm 8 at Pit'!G213+'gm 9 vs Oak'!G213+'gm 10 vs Bal'!G213+'gm 11 at Chi'!G213+'gm 12 vs NYG'!G213+'gm 13 vs Cle'!G213+'gm 14 at Hou'!G213</f>
        <v>0</v>
      </c>
    </row>
    <row r="214" spans="1:7" ht="12">
      <c r="A214" t="s">
        <v>113</v>
      </c>
      <c r="B214" t="s">
        <v>149</v>
      </c>
      <c r="C214">
        <f>+'gm 1 at NE'!C214+'gm 2 vs Pit'!C214+'gm 3 at Cle'!C214+'gm 4 vs Den'!C214+'gm 5 at KC'!C214+'gm 6 at LA'!C214+'gm 7 vs Hou'!C214+'gm 8 at Pit'!C214+'gm 9 vs Oak'!C214+'gm 10 vs Bal'!C214+'gm 11 at Chi'!C214+'gm 12 vs NYG'!C214+'gm 13 vs Cle'!C214+'gm 14 at Hou'!C214</f>
        <v>0</v>
      </c>
      <c r="D214">
        <f>+'gm 1 at NE'!D214+'gm 2 vs Pit'!D214+'gm 3 at Cle'!D214+'gm 4 vs Den'!D214+'gm 5 at KC'!D214+'gm 6 at LA'!D214+'gm 7 vs Hou'!D214+'gm 8 at Pit'!D214+'gm 9 vs Oak'!D214+'gm 10 vs Bal'!D214+'gm 11 at Chi'!D214+'gm 12 vs NYG'!D214+'gm 13 vs Cle'!D214+'gm 14 at Hou'!D214</f>
        <v>0</v>
      </c>
      <c r="E214">
        <f>MAX('gm 1 at NE'!E214,'gm 2 vs Pit'!E214,'gm 3 at Cle'!E214,'gm 4 vs Den'!E214,'gm 5 at KC'!E214,'gm 6 at LA'!E214,'gm 7 vs Hou'!E214,'gm 9 vs Oak'!E214,'gm 10 vs Bal'!E214,'gm 11 at Chi'!E214,'gm 12 vs NYG'!E214,'gm 13 vs Cle'!E214,'gm 14 at Hou'!E214,+'gm 8 at Pit'!E214)</f>
        <v>0</v>
      </c>
      <c r="F214">
        <f>+'gm 1 at NE'!F214+'gm 2 vs Pit'!F214+'gm 3 at Cle'!F214+'gm 4 vs Den'!F214+'gm 5 at KC'!F214+'gm 6 at LA'!F214+'gm 7 vs Hou'!F214+'gm 8 at Pit'!F214+'gm 9 vs Oak'!F214+'gm 10 vs Bal'!F214+'gm 11 at Chi'!F214+'gm 12 vs NYG'!F214+'gm 13 vs Cle'!F214+'gm 14 at Hou'!F214</f>
        <v>0</v>
      </c>
      <c r="G214">
        <f>+'gm 1 at NE'!G214+'gm 2 vs Pit'!G214+'gm 3 at Cle'!G214+'gm 4 vs Den'!G214+'gm 5 at KC'!G214+'gm 6 at LA'!G214+'gm 7 vs Hou'!G214+'gm 8 at Pit'!G214+'gm 9 vs Oak'!G214+'gm 10 vs Bal'!G214+'gm 11 at Chi'!G214+'gm 12 vs NYG'!G214+'gm 13 vs Cle'!G214+'gm 14 at Hou'!G214</f>
        <v>0</v>
      </c>
    </row>
    <row r="215" spans="1:7" ht="12">
      <c r="A215" t="s">
        <v>117</v>
      </c>
      <c r="B215" t="s">
        <v>149</v>
      </c>
      <c r="C215">
        <f>+'gm 1 at NE'!C215+'gm 2 vs Pit'!C215+'gm 3 at Cle'!C215+'gm 4 vs Den'!C215+'gm 5 at KC'!C215+'gm 6 at LA'!C215+'gm 7 vs Hou'!C215+'gm 8 at Pit'!C215+'gm 9 vs Oak'!C215+'gm 10 vs Bal'!C215+'gm 11 at Chi'!C215+'gm 12 vs NYG'!C215+'gm 13 vs Cle'!C215+'gm 14 at Hou'!C215</f>
        <v>1</v>
      </c>
      <c r="D215">
        <f>+'gm 1 at NE'!D215+'gm 2 vs Pit'!D215+'gm 3 at Cle'!D215+'gm 4 vs Den'!D215+'gm 5 at KC'!D215+'gm 6 at LA'!D215+'gm 7 vs Hou'!D215+'gm 8 at Pit'!D215+'gm 9 vs Oak'!D215+'gm 10 vs Bal'!D215+'gm 11 at Chi'!D215+'gm 12 vs NYG'!D215+'gm 13 vs Cle'!D215+'gm 14 at Hou'!D215</f>
        <v>0</v>
      </c>
      <c r="E215">
        <f>MAX('gm 1 at NE'!E215,'gm 2 vs Pit'!E215,'gm 3 at Cle'!E215,'gm 4 vs Den'!E215,'gm 5 at KC'!E215,'gm 6 at LA'!E215,'gm 7 vs Hou'!E215,'gm 9 vs Oak'!E215,'gm 10 vs Bal'!E215,'gm 11 at Chi'!E215,'gm 12 vs NYG'!E215,'gm 13 vs Cle'!E215,'gm 14 at Hou'!E215,+'gm 8 at Pit'!E215)</f>
        <v>0</v>
      </c>
      <c r="F215">
        <f>+'gm 1 at NE'!F215+'gm 2 vs Pit'!F215+'gm 3 at Cle'!F215+'gm 4 vs Den'!F215+'gm 5 at KC'!F215+'gm 6 at LA'!F215+'gm 7 vs Hou'!F215+'gm 8 at Pit'!F215+'gm 9 vs Oak'!F215+'gm 10 vs Bal'!F215+'gm 11 at Chi'!F215+'gm 12 vs NYG'!F215+'gm 13 vs Cle'!F215+'gm 14 at Hou'!F215</f>
        <v>0</v>
      </c>
      <c r="G215">
        <f>+'gm 1 at NE'!G215+'gm 2 vs Pit'!G215+'gm 3 at Cle'!G215+'gm 4 vs Den'!G215+'gm 5 at KC'!G215+'gm 6 at LA'!G215+'gm 7 vs Hou'!G215+'gm 8 at Pit'!G215+'gm 9 vs Oak'!G215+'gm 10 vs Bal'!G215+'gm 11 at Chi'!G215+'gm 12 vs NYG'!G215+'gm 13 vs Cle'!G215+'gm 14 at Hou'!G215</f>
        <v>0</v>
      </c>
    </row>
    <row r="216" spans="1:7" ht="12">
      <c r="A216" t="s">
        <v>144</v>
      </c>
      <c r="B216" t="s">
        <v>149</v>
      </c>
      <c r="C216">
        <f>+'gm 1 at NE'!C216+'gm 2 vs Pit'!C216+'gm 3 at Cle'!C216+'gm 4 vs Den'!C216+'gm 5 at KC'!C216+'gm 6 at LA'!C216+'gm 7 vs Hou'!C216+'gm 8 at Pit'!C216+'gm 9 vs Oak'!C216+'gm 10 vs Bal'!C216+'gm 11 at Chi'!C216+'gm 12 vs NYG'!C216+'gm 13 vs Cle'!C216+'gm 14 at Hou'!C216</f>
        <v>0</v>
      </c>
      <c r="D216">
        <f>+'gm 1 at NE'!D216+'gm 2 vs Pit'!D216+'gm 3 at Cle'!D216+'gm 4 vs Den'!D216+'gm 5 at KC'!D216+'gm 6 at LA'!D216+'gm 7 vs Hou'!D216+'gm 8 at Pit'!D216+'gm 9 vs Oak'!D216+'gm 10 vs Bal'!D216+'gm 11 at Chi'!D216+'gm 12 vs NYG'!D216+'gm 13 vs Cle'!D216+'gm 14 at Hou'!D216</f>
        <v>0</v>
      </c>
      <c r="E216">
        <f>MAX('gm 1 at NE'!E216,'gm 2 vs Pit'!E216,'gm 3 at Cle'!E216,'gm 4 vs Den'!E216,'gm 5 at KC'!E216,'gm 6 at LA'!E216,'gm 7 vs Hou'!E216,'gm 9 vs Oak'!E216,'gm 10 vs Bal'!E216,'gm 11 at Chi'!E216,'gm 12 vs NYG'!E216,'gm 13 vs Cle'!E216,'gm 14 at Hou'!E216,+'gm 8 at Pit'!E216)</f>
        <v>0</v>
      </c>
      <c r="F216">
        <f>+'gm 1 at NE'!F216+'gm 2 vs Pit'!F216+'gm 3 at Cle'!F216+'gm 4 vs Den'!F216+'gm 5 at KC'!F216+'gm 6 at LA'!F216+'gm 7 vs Hou'!F216+'gm 8 at Pit'!F216+'gm 9 vs Oak'!F216+'gm 10 vs Bal'!F216+'gm 11 at Chi'!F216+'gm 12 vs NYG'!F216+'gm 13 vs Cle'!F216+'gm 14 at Hou'!F216</f>
        <v>0</v>
      </c>
      <c r="G216">
        <f>+'gm 1 at NE'!G216+'gm 2 vs Pit'!G216+'gm 3 at Cle'!G216+'gm 4 vs Den'!G216+'gm 5 at KC'!G216+'gm 6 at LA'!G216+'gm 7 vs Hou'!G216+'gm 8 at Pit'!G216+'gm 9 vs Oak'!G216+'gm 10 vs Bal'!G216+'gm 11 at Chi'!G216+'gm 12 vs NYG'!G216+'gm 13 vs Cle'!G216+'gm 14 at Hou'!G216</f>
        <v>0</v>
      </c>
    </row>
    <row r="217" spans="1:7" ht="12">
      <c r="A217" t="s">
        <v>108</v>
      </c>
      <c r="B217" t="s">
        <v>149</v>
      </c>
      <c r="C217">
        <f>+'gm 1 at NE'!C217+'gm 2 vs Pit'!C217+'gm 3 at Cle'!C217+'gm 4 vs Den'!C217+'gm 5 at KC'!C217+'gm 6 at LA'!C217+'gm 7 vs Hou'!C217+'gm 8 at Pit'!C217+'gm 9 vs Oak'!C217+'gm 10 vs Bal'!C217+'gm 11 at Chi'!C217+'gm 12 vs NYG'!C217+'gm 13 vs Cle'!C217+'gm 14 at Hou'!C217</f>
        <v>0</v>
      </c>
      <c r="D217">
        <f>+'gm 1 at NE'!D217+'gm 2 vs Pit'!D217+'gm 3 at Cle'!D217+'gm 4 vs Den'!D217+'gm 5 at KC'!D217+'gm 6 at LA'!D217+'gm 7 vs Hou'!D217+'gm 8 at Pit'!D217+'gm 9 vs Oak'!D217+'gm 10 vs Bal'!D217+'gm 11 at Chi'!D217+'gm 12 vs NYG'!D217+'gm 13 vs Cle'!D217+'gm 14 at Hou'!D217</f>
        <v>0</v>
      </c>
      <c r="E217">
        <f>MAX('gm 1 at NE'!E217,'gm 2 vs Pit'!E217,'gm 3 at Cle'!E217,'gm 4 vs Den'!E217,'gm 5 at KC'!E217,'gm 6 at LA'!E217,'gm 7 vs Hou'!E217,'gm 9 vs Oak'!E217,'gm 10 vs Bal'!E217,'gm 11 at Chi'!E217,'gm 12 vs NYG'!E217,'gm 13 vs Cle'!E217,'gm 14 at Hou'!E217,+'gm 8 at Pit'!E217)</f>
        <v>0</v>
      </c>
      <c r="F217">
        <f>+'gm 1 at NE'!F217+'gm 2 vs Pit'!F217+'gm 3 at Cle'!F217+'gm 4 vs Den'!F217+'gm 5 at KC'!F217+'gm 6 at LA'!F217+'gm 7 vs Hou'!F217+'gm 8 at Pit'!F217+'gm 9 vs Oak'!F217+'gm 10 vs Bal'!F217+'gm 11 at Chi'!F217+'gm 12 vs NYG'!F217+'gm 13 vs Cle'!F217+'gm 14 at Hou'!F217</f>
        <v>0</v>
      </c>
      <c r="G217">
        <f>+'gm 1 at NE'!G217+'gm 2 vs Pit'!G217+'gm 3 at Cle'!G217+'gm 4 vs Den'!G217+'gm 5 at KC'!G217+'gm 6 at LA'!G217+'gm 7 vs Hou'!G217+'gm 8 at Pit'!G217+'gm 9 vs Oak'!G217+'gm 10 vs Bal'!G217+'gm 11 at Chi'!G217+'gm 12 vs NYG'!G217+'gm 13 vs Cle'!G217+'gm 14 at Hou'!G217</f>
        <v>0</v>
      </c>
    </row>
    <row r="218" spans="1:7" ht="12">
      <c r="A218" t="s">
        <v>145</v>
      </c>
      <c r="B218" t="s">
        <v>149</v>
      </c>
      <c r="C218">
        <f>+'gm 1 at NE'!C218+'gm 2 vs Pit'!C218+'gm 3 at Cle'!C218+'gm 4 vs Den'!C218+'gm 5 at KC'!C218+'gm 6 at LA'!C218+'gm 7 vs Hou'!C218+'gm 8 at Pit'!C218+'gm 9 vs Oak'!C218+'gm 10 vs Bal'!C218+'gm 11 at Chi'!C218+'gm 12 vs NYG'!C218+'gm 13 vs Cle'!C218+'gm 14 at Hou'!C218</f>
        <v>0</v>
      </c>
      <c r="D218">
        <f>+'gm 1 at NE'!D218+'gm 2 vs Pit'!D218+'gm 3 at Cle'!D218+'gm 4 vs Den'!D218+'gm 5 at KC'!D218+'gm 6 at LA'!D218+'gm 7 vs Hou'!D218+'gm 8 at Pit'!D218+'gm 9 vs Oak'!D218+'gm 10 vs Bal'!D218+'gm 11 at Chi'!D218+'gm 12 vs NYG'!D218+'gm 13 vs Cle'!D218+'gm 14 at Hou'!D218</f>
        <v>0</v>
      </c>
      <c r="E218">
        <f>MAX('gm 1 at NE'!E218,'gm 2 vs Pit'!E218,'gm 3 at Cle'!E218,'gm 4 vs Den'!E218,'gm 5 at KC'!E218,'gm 6 at LA'!E218,'gm 7 vs Hou'!E218,'gm 9 vs Oak'!E218,'gm 10 vs Bal'!E218,'gm 11 at Chi'!E218,'gm 12 vs NYG'!E218,'gm 13 vs Cle'!E218,'gm 14 at Hou'!E218,+'gm 8 at Pit'!E218)</f>
        <v>0</v>
      </c>
      <c r="F218">
        <f>+'gm 1 at NE'!F218+'gm 2 vs Pit'!F218+'gm 3 at Cle'!F218+'gm 4 vs Den'!F218+'gm 5 at KC'!F218+'gm 6 at LA'!F218+'gm 7 vs Hou'!F218+'gm 8 at Pit'!F218+'gm 9 vs Oak'!F218+'gm 10 vs Bal'!F218+'gm 11 at Chi'!F218+'gm 12 vs NYG'!F218+'gm 13 vs Cle'!F218+'gm 14 at Hou'!F218</f>
        <v>0</v>
      </c>
      <c r="G218">
        <f>+'gm 1 at NE'!G218+'gm 2 vs Pit'!G218+'gm 3 at Cle'!G218+'gm 4 vs Den'!G218+'gm 5 at KC'!G218+'gm 6 at LA'!G218+'gm 7 vs Hou'!G218+'gm 8 at Pit'!G218+'gm 9 vs Oak'!G218+'gm 10 vs Bal'!G218+'gm 11 at Chi'!G218+'gm 12 vs NYG'!G218+'gm 13 vs Cle'!G218+'gm 14 at Hou'!G218</f>
        <v>0</v>
      </c>
    </row>
    <row r="219" spans="1:7" ht="12">
      <c r="A219" t="s">
        <v>146</v>
      </c>
      <c r="B219" t="s">
        <v>149</v>
      </c>
      <c r="C219">
        <f>+'gm 1 at NE'!C219+'gm 2 vs Pit'!C219+'gm 3 at Cle'!C219+'gm 4 vs Den'!C219+'gm 5 at KC'!C219+'gm 6 at LA'!C219+'gm 7 vs Hou'!C219+'gm 8 at Pit'!C219+'gm 9 vs Oak'!C219+'gm 10 vs Bal'!C219+'gm 11 at Chi'!C219+'gm 12 vs NYG'!C219+'gm 13 vs Cle'!C219+'gm 14 at Hou'!C219</f>
        <v>0</v>
      </c>
      <c r="D219">
        <f>+'gm 1 at NE'!D219+'gm 2 vs Pit'!D219+'gm 3 at Cle'!D219+'gm 4 vs Den'!D219+'gm 5 at KC'!D219+'gm 6 at LA'!D219+'gm 7 vs Hou'!D219+'gm 8 at Pit'!D219+'gm 9 vs Oak'!D219+'gm 10 vs Bal'!D219+'gm 11 at Chi'!D219+'gm 12 vs NYG'!D219+'gm 13 vs Cle'!D219+'gm 14 at Hou'!D219</f>
        <v>0</v>
      </c>
      <c r="E219">
        <f>MAX('gm 1 at NE'!E219,'gm 2 vs Pit'!E219,'gm 3 at Cle'!E219,'gm 4 vs Den'!E219,'gm 5 at KC'!E219,'gm 6 at LA'!E219,'gm 7 vs Hou'!E219,'gm 9 vs Oak'!E219,'gm 10 vs Bal'!E219,'gm 11 at Chi'!E219,'gm 12 vs NYG'!E219,'gm 13 vs Cle'!E219,'gm 14 at Hou'!E219,+'gm 8 at Pit'!E219)</f>
        <v>0</v>
      </c>
      <c r="F219">
        <f>+'gm 1 at NE'!F219+'gm 2 vs Pit'!F219+'gm 3 at Cle'!F219+'gm 4 vs Den'!F219+'gm 5 at KC'!F219+'gm 6 at LA'!F219+'gm 7 vs Hou'!F219+'gm 8 at Pit'!F219+'gm 9 vs Oak'!F219+'gm 10 vs Bal'!F219+'gm 11 at Chi'!F219+'gm 12 vs NYG'!F219+'gm 13 vs Cle'!F219+'gm 14 at Hou'!F219</f>
        <v>0</v>
      </c>
      <c r="G219">
        <f>+'gm 1 at NE'!G219+'gm 2 vs Pit'!G219+'gm 3 at Cle'!G219+'gm 4 vs Den'!G219+'gm 5 at KC'!G219+'gm 6 at LA'!G219+'gm 7 vs Hou'!G219+'gm 8 at Pit'!G219+'gm 9 vs Oak'!G219+'gm 10 vs Bal'!G219+'gm 11 at Chi'!G219+'gm 12 vs NYG'!G219+'gm 13 vs Cle'!G219+'gm 14 at Hou'!G219</f>
        <v>0</v>
      </c>
    </row>
    <row r="220" spans="1:7" ht="12">
      <c r="A220" t="s">
        <v>132</v>
      </c>
      <c r="B220" t="s">
        <v>149</v>
      </c>
      <c r="C220">
        <f>+'gm 1 at NE'!C220+'gm 2 vs Pit'!C220+'gm 3 at Cle'!C220+'gm 4 vs Den'!C220+'gm 5 at KC'!C220+'gm 6 at LA'!C220+'gm 7 vs Hou'!C220+'gm 8 at Pit'!C220+'gm 9 vs Oak'!C220+'gm 10 vs Bal'!C220+'gm 11 at Chi'!C220+'gm 12 vs NYG'!C220+'gm 13 vs Cle'!C220+'gm 14 at Hou'!C220</f>
        <v>0</v>
      </c>
      <c r="D220">
        <f>+'gm 1 at NE'!D220+'gm 2 vs Pit'!D220+'gm 3 at Cle'!D220+'gm 4 vs Den'!D220+'gm 5 at KC'!D220+'gm 6 at LA'!D220+'gm 7 vs Hou'!D220+'gm 8 at Pit'!D220+'gm 9 vs Oak'!D220+'gm 10 vs Bal'!D220+'gm 11 at Chi'!D220+'gm 12 vs NYG'!D220+'gm 13 vs Cle'!D220+'gm 14 at Hou'!D220</f>
        <v>0</v>
      </c>
      <c r="E220">
        <f>MAX('gm 1 at NE'!E220,'gm 2 vs Pit'!E220,'gm 3 at Cle'!E220,'gm 4 vs Den'!E220,'gm 5 at KC'!E220,'gm 6 at LA'!E220,'gm 7 vs Hou'!E220,'gm 9 vs Oak'!E220,'gm 10 vs Bal'!E220,'gm 11 at Chi'!E220,'gm 12 vs NYG'!E220,'gm 13 vs Cle'!E220,'gm 14 at Hou'!E220,+'gm 8 at Pit'!E220)</f>
        <v>0</v>
      </c>
      <c r="F220">
        <f>+'gm 1 at NE'!F220+'gm 2 vs Pit'!F220+'gm 3 at Cle'!F220+'gm 4 vs Den'!F220+'gm 5 at KC'!F220+'gm 6 at LA'!F220+'gm 7 vs Hou'!F220+'gm 8 at Pit'!F220+'gm 9 vs Oak'!F220+'gm 10 vs Bal'!F220+'gm 11 at Chi'!F220+'gm 12 vs NYG'!F220+'gm 13 vs Cle'!F220+'gm 14 at Hou'!F220</f>
        <v>0</v>
      </c>
      <c r="G220">
        <f>+'gm 1 at NE'!G220+'gm 2 vs Pit'!G220+'gm 3 at Cle'!G220+'gm 4 vs Den'!G220+'gm 5 at KC'!G220+'gm 6 at LA'!G220+'gm 7 vs Hou'!G220+'gm 8 at Pit'!G220+'gm 9 vs Oak'!G220+'gm 10 vs Bal'!G220+'gm 11 at Chi'!G220+'gm 12 vs NYG'!G220+'gm 13 vs Cle'!G220+'gm 14 at Hou'!G220</f>
        <v>0</v>
      </c>
    </row>
    <row r="221" spans="1:7" ht="12">
      <c r="A221" t="s">
        <v>125</v>
      </c>
      <c r="B221" t="s">
        <v>149</v>
      </c>
      <c r="C221">
        <f>+'gm 1 at NE'!C221+'gm 2 vs Pit'!C221+'gm 3 at Cle'!C221+'gm 4 vs Den'!C221+'gm 5 at KC'!C221+'gm 6 at LA'!C221+'gm 7 vs Hou'!C221+'gm 8 at Pit'!C221+'gm 9 vs Oak'!C221+'gm 10 vs Bal'!C221+'gm 11 at Chi'!C221+'gm 12 vs NYG'!C221+'gm 13 vs Cle'!C221+'gm 14 at Hou'!C221</f>
        <v>0</v>
      </c>
      <c r="D221">
        <f>+'gm 1 at NE'!D221+'gm 2 vs Pit'!D221+'gm 3 at Cle'!D221+'gm 4 vs Den'!D221+'gm 5 at KC'!D221+'gm 6 at LA'!D221+'gm 7 vs Hou'!D221+'gm 8 at Pit'!D221+'gm 9 vs Oak'!D221+'gm 10 vs Bal'!D221+'gm 11 at Chi'!D221+'gm 12 vs NYG'!D221+'gm 13 vs Cle'!D221+'gm 14 at Hou'!D221</f>
        <v>0</v>
      </c>
      <c r="E221">
        <f>MAX('gm 1 at NE'!E221,'gm 2 vs Pit'!E221,'gm 3 at Cle'!E221,'gm 4 vs Den'!E221,'gm 5 at KC'!E221,'gm 6 at LA'!E221,'gm 7 vs Hou'!E221,'gm 9 vs Oak'!E221,'gm 10 vs Bal'!E221,'gm 11 at Chi'!E221,'gm 12 vs NYG'!E221,'gm 13 vs Cle'!E221,'gm 14 at Hou'!E221,+'gm 8 at Pit'!E221)</f>
        <v>0</v>
      </c>
      <c r="F221">
        <f>+'gm 1 at NE'!F221+'gm 2 vs Pit'!F221+'gm 3 at Cle'!F221+'gm 4 vs Den'!F221+'gm 5 at KC'!F221+'gm 6 at LA'!F221+'gm 7 vs Hou'!F221+'gm 8 at Pit'!F221+'gm 9 vs Oak'!F221+'gm 10 vs Bal'!F221+'gm 11 at Chi'!F221+'gm 12 vs NYG'!F221+'gm 13 vs Cle'!F221+'gm 14 at Hou'!F221</f>
        <v>0</v>
      </c>
      <c r="G221">
        <f>+'gm 1 at NE'!G221+'gm 2 vs Pit'!G221+'gm 3 at Cle'!G221+'gm 4 vs Den'!G221+'gm 5 at KC'!G221+'gm 6 at LA'!G221+'gm 7 vs Hou'!G221+'gm 8 at Pit'!G221+'gm 9 vs Oak'!G221+'gm 10 vs Bal'!G221+'gm 11 at Chi'!G221+'gm 12 vs NYG'!G221+'gm 13 vs Cle'!G221+'gm 14 at Hou'!G221</f>
        <v>0</v>
      </c>
    </row>
    <row r="222" spans="1:7" ht="12">
      <c r="A222" t="s">
        <v>109</v>
      </c>
      <c r="B222" t="s">
        <v>149</v>
      </c>
      <c r="C222">
        <f>+'gm 1 at NE'!C222+'gm 2 vs Pit'!C222+'gm 3 at Cle'!C222+'gm 4 vs Den'!C222+'gm 5 at KC'!C222+'gm 6 at LA'!C222+'gm 7 vs Hou'!C222+'gm 8 at Pit'!C222+'gm 9 vs Oak'!C222+'gm 10 vs Bal'!C222+'gm 11 at Chi'!C222+'gm 12 vs NYG'!C222+'gm 13 vs Cle'!C222+'gm 14 at Hou'!C222</f>
        <v>0</v>
      </c>
      <c r="D222">
        <f>+'gm 1 at NE'!D222+'gm 2 vs Pit'!D222+'gm 3 at Cle'!D222+'gm 4 vs Den'!D222+'gm 5 at KC'!D222+'gm 6 at LA'!D222+'gm 7 vs Hou'!D222+'gm 8 at Pit'!D222+'gm 9 vs Oak'!D222+'gm 10 vs Bal'!D222+'gm 11 at Chi'!D222+'gm 12 vs NYG'!D222+'gm 13 vs Cle'!D222+'gm 14 at Hou'!D222</f>
        <v>0</v>
      </c>
      <c r="E222">
        <f>MAX('gm 1 at NE'!E222,'gm 2 vs Pit'!E222,'gm 3 at Cle'!E222,'gm 4 vs Den'!E222,'gm 5 at KC'!E222,'gm 6 at LA'!E222,'gm 7 vs Hou'!E222,'gm 9 vs Oak'!E222,'gm 10 vs Bal'!E222,'gm 11 at Chi'!E222,'gm 12 vs NYG'!E222,'gm 13 vs Cle'!E222,'gm 14 at Hou'!E222,+'gm 8 at Pit'!E222)</f>
        <v>0</v>
      </c>
      <c r="F222">
        <f>+'gm 1 at NE'!F222+'gm 2 vs Pit'!F222+'gm 3 at Cle'!F222+'gm 4 vs Den'!F222+'gm 5 at KC'!F222+'gm 6 at LA'!F222+'gm 7 vs Hou'!F222+'gm 8 at Pit'!F222+'gm 9 vs Oak'!F222+'gm 10 vs Bal'!F222+'gm 11 at Chi'!F222+'gm 12 vs NYG'!F222+'gm 13 vs Cle'!F222+'gm 14 at Hou'!F222</f>
        <v>0</v>
      </c>
      <c r="G222">
        <f>+'gm 1 at NE'!G222+'gm 2 vs Pit'!G222+'gm 3 at Cle'!G222+'gm 4 vs Den'!G222+'gm 5 at KC'!G222+'gm 6 at LA'!G222+'gm 7 vs Hou'!G222+'gm 8 at Pit'!G222+'gm 9 vs Oak'!G222+'gm 10 vs Bal'!G222+'gm 11 at Chi'!G222+'gm 12 vs NYG'!G222+'gm 13 vs Cle'!G222+'gm 14 at Hou'!G222</f>
        <v>0</v>
      </c>
    </row>
    <row r="223" spans="1:7" ht="12">
      <c r="A223" t="s">
        <v>114</v>
      </c>
      <c r="B223" t="s">
        <v>149</v>
      </c>
      <c r="C223">
        <f>+'gm 1 at NE'!C223+'gm 2 vs Pit'!C223+'gm 3 at Cle'!C223+'gm 4 vs Den'!C223+'gm 5 at KC'!C223+'gm 6 at LA'!C223+'gm 7 vs Hou'!C223+'gm 8 at Pit'!C223+'gm 9 vs Oak'!C223+'gm 10 vs Bal'!C223+'gm 11 at Chi'!C223+'gm 12 vs NYG'!C223+'gm 13 vs Cle'!C223+'gm 14 at Hou'!C223</f>
        <v>0</v>
      </c>
      <c r="D223">
        <f>+'gm 1 at NE'!D223+'gm 2 vs Pit'!D223+'gm 3 at Cle'!D223+'gm 4 vs Den'!D223+'gm 5 at KC'!D223+'gm 6 at LA'!D223+'gm 7 vs Hou'!D223+'gm 8 at Pit'!D223+'gm 9 vs Oak'!D223+'gm 10 vs Bal'!D223+'gm 11 at Chi'!D223+'gm 12 vs NYG'!D223+'gm 13 vs Cle'!D223+'gm 14 at Hou'!D223</f>
        <v>0</v>
      </c>
      <c r="E223">
        <f>MAX('gm 1 at NE'!E223,'gm 2 vs Pit'!E223,'gm 3 at Cle'!E223,'gm 4 vs Den'!E223,'gm 5 at KC'!E223,'gm 6 at LA'!E223,'gm 7 vs Hou'!E223,'gm 9 vs Oak'!E223,'gm 10 vs Bal'!E223,'gm 11 at Chi'!E223,'gm 12 vs NYG'!E223,'gm 13 vs Cle'!E223,'gm 14 at Hou'!E223,+'gm 8 at Pit'!E223)</f>
        <v>0</v>
      </c>
      <c r="F223">
        <f>+'gm 1 at NE'!F223+'gm 2 vs Pit'!F223+'gm 3 at Cle'!F223+'gm 4 vs Den'!F223+'gm 5 at KC'!F223+'gm 6 at LA'!F223+'gm 7 vs Hou'!F223+'gm 8 at Pit'!F223+'gm 9 vs Oak'!F223+'gm 10 vs Bal'!F223+'gm 11 at Chi'!F223+'gm 12 vs NYG'!F223+'gm 13 vs Cle'!F223+'gm 14 at Hou'!F223</f>
        <v>0</v>
      </c>
      <c r="G223">
        <f>+'gm 1 at NE'!G223+'gm 2 vs Pit'!G223+'gm 3 at Cle'!G223+'gm 4 vs Den'!G223+'gm 5 at KC'!G223+'gm 6 at LA'!G223+'gm 7 vs Hou'!G223+'gm 8 at Pit'!G223+'gm 9 vs Oak'!G223+'gm 10 vs Bal'!G223+'gm 11 at Chi'!G223+'gm 12 vs NYG'!G223+'gm 13 vs Cle'!G223+'gm 14 at Hou'!G223</f>
        <v>0</v>
      </c>
    </row>
    <row r="224" spans="1:7" ht="12">
      <c r="A224" t="s">
        <v>115</v>
      </c>
      <c r="B224" t="s">
        <v>149</v>
      </c>
      <c r="C224">
        <f>+'gm 1 at NE'!C224+'gm 2 vs Pit'!C224+'gm 3 at Cle'!C224+'gm 4 vs Den'!C224+'gm 5 at KC'!C224+'gm 6 at LA'!C224+'gm 7 vs Hou'!C224+'gm 8 at Pit'!C224+'gm 9 vs Oak'!C224+'gm 10 vs Bal'!C224+'gm 11 at Chi'!C224+'gm 12 vs NYG'!C224+'gm 13 vs Cle'!C224+'gm 14 at Hou'!C224</f>
        <v>1</v>
      </c>
      <c r="D224">
        <f>+'gm 1 at NE'!D224+'gm 2 vs Pit'!D224+'gm 3 at Cle'!D224+'gm 4 vs Den'!D224+'gm 5 at KC'!D224+'gm 6 at LA'!D224+'gm 7 vs Hou'!D224+'gm 8 at Pit'!D224+'gm 9 vs Oak'!D224+'gm 10 vs Bal'!D224+'gm 11 at Chi'!D224+'gm 12 vs NYG'!D224+'gm 13 vs Cle'!D224+'gm 14 at Hou'!D224</f>
        <v>0</v>
      </c>
      <c r="E224">
        <f>MAX('gm 1 at NE'!E224,'gm 2 vs Pit'!E224,'gm 3 at Cle'!E224,'gm 4 vs Den'!E224,'gm 5 at KC'!E224,'gm 6 at LA'!E224,'gm 7 vs Hou'!E224,'gm 9 vs Oak'!E224,'gm 10 vs Bal'!E224,'gm 11 at Chi'!E224,'gm 12 vs NYG'!E224,'gm 13 vs Cle'!E224,'gm 14 at Hou'!E224,+'gm 8 at Pit'!E224)</f>
        <v>0</v>
      </c>
      <c r="F224">
        <f>+'gm 1 at NE'!F224+'gm 2 vs Pit'!F224+'gm 3 at Cle'!F224+'gm 4 vs Den'!F224+'gm 5 at KC'!F224+'gm 6 at LA'!F224+'gm 7 vs Hou'!F224+'gm 8 at Pit'!F224+'gm 9 vs Oak'!F224+'gm 10 vs Bal'!F224+'gm 11 at Chi'!F224+'gm 12 vs NYG'!F224+'gm 13 vs Cle'!F224+'gm 14 at Hou'!F224</f>
        <v>0</v>
      </c>
      <c r="G224">
        <f>+'gm 1 at NE'!G224+'gm 2 vs Pit'!G224+'gm 3 at Cle'!G224+'gm 4 vs Den'!G224+'gm 5 at KC'!G224+'gm 6 at LA'!G224+'gm 7 vs Hou'!G224+'gm 8 at Pit'!G224+'gm 9 vs Oak'!G224+'gm 10 vs Bal'!G224+'gm 11 at Chi'!G224+'gm 12 vs NYG'!G224+'gm 13 vs Cle'!G224+'gm 14 at Hou'!G224</f>
        <v>0</v>
      </c>
    </row>
    <row r="225" spans="1:7" ht="12">
      <c r="A225" t="s">
        <v>147</v>
      </c>
      <c r="B225" t="s">
        <v>149</v>
      </c>
      <c r="C225">
        <f>+'gm 1 at NE'!C225+'gm 2 vs Pit'!C225+'gm 3 at Cle'!C225+'gm 4 vs Den'!C225+'gm 5 at KC'!C225+'gm 6 at LA'!C225+'gm 7 vs Hou'!C225+'gm 8 at Pit'!C225+'gm 9 vs Oak'!C225+'gm 10 vs Bal'!C225+'gm 11 at Chi'!C225+'gm 12 vs NYG'!C225+'gm 13 vs Cle'!C225+'gm 14 at Hou'!C225</f>
        <v>0</v>
      </c>
      <c r="D225">
        <f>+'gm 1 at NE'!D225+'gm 2 vs Pit'!D225+'gm 3 at Cle'!D225+'gm 4 vs Den'!D225+'gm 5 at KC'!D225+'gm 6 at LA'!D225+'gm 7 vs Hou'!D225+'gm 8 at Pit'!D225+'gm 9 vs Oak'!D225+'gm 10 vs Bal'!D225+'gm 11 at Chi'!D225+'gm 12 vs NYG'!D225+'gm 13 vs Cle'!D225+'gm 14 at Hou'!D225</f>
        <v>0</v>
      </c>
      <c r="E225">
        <f>MAX('gm 1 at NE'!E225,'gm 2 vs Pit'!E225,'gm 3 at Cle'!E225,'gm 4 vs Den'!E225,'gm 5 at KC'!E225,'gm 6 at LA'!E225,'gm 7 vs Hou'!E225,'gm 9 vs Oak'!E225,'gm 10 vs Bal'!E225,'gm 11 at Chi'!E225,'gm 12 vs NYG'!E225,'gm 13 vs Cle'!E225,'gm 14 at Hou'!E225,+'gm 8 at Pit'!E225)</f>
        <v>0</v>
      </c>
      <c r="F225">
        <f>+'gm 1 at NE'!F225+'gm 2 vs Pit'!F225+'gm 3 at Cle'!F225+'gm 4 vs Den'!F225+'gm 5 at KC'!F225+'gm 6 at LA'!F225+'gm 7 vs Hou'!F225+'gm 8 at Pit'!F225+'gm 9 vs Oak'!F225+'gm 10 vs Bal'!F225+'gm 11 at Chi'!F225+'gm 12 vs NYG'!F225+'gm 13 vs Cle'!F225+'gm 14 at Hou'!F225</f>
        <v>0</v>
      </c>
      <c r="G225">
        <f>+'gm 1 at NE'!G225+'gm 2 vs Pit'!G225+'gm 3 at Cle'!G225+'gm 4 vs Den'!G225+'gm 5 at KC'!G225+'gm 6 at LA'!G225+'gm 7 vs Hou'!G225+'gm 8 at Pit'!G225+'gm 9 vs Oak'!G225+'gm 10 vs Bal'!G225+'gm 11 at Chi'!G225+'gm 12 vs NYG'!G225+'gm 13 vs Cle'!G225+'gm 14 at Hou'!G225</f>
        <v>0</v>
      </c>
    </row>
    <row r="226" spans="1:7" ht="12">
      <c r="A226" t="s">
        <v>148</v>
      </c>
      <c r="B226" t="s">
        <v>149</v>
      </c>
      <c r="C226">
        <f>+'gm 1 at NE'!C226+'gm 2 vs Pit'!C226+'gm 3 at Cle'!C226+'gm 4 vs Den'!C226+'gm 5 at KC'!C226+'gm 6 at LA'!C226+'gm 7 vs Hou'!C226+'gm 8 at Pit'!C226+'gm 9 vs Oak'!C226+'gm 10 vs Bal'!C226+'gm 11 at Chi'!C226+'gm 12 vs NYG'!C226+'gm 13 vs Cle'!C226+'gm 14 at Hou'!C226</f>
        <v>0</v>
      </c>
      <c r="D226">
        <f>+'gm 1 at NE'!D226+'gm 2 vs Pit'!D226+'gm 3 at Cle'!D226+'gm 4 vs Den'!D226+'gm 5 at KC'!D226+'gm 6 at LA'!D226+'gm 7 vs Hou'!D226+'gm 8 at Pit'!D226+'gm 9 vs Oak'!D226+'gm 10 vs Bal'!D226+'gm 11 at Chi'!D226+'gm 12 vs NYG'!D226+'gm 13 vs Cle'!D226+'gm 14 at Hou'!D226</f>
        <v>0</v>
      </c>
      <c r="E226">
        <f>MAX('gm 1 at NE'!E226,'gm 2 vs Pit'!E226,'gm 3 at Cle'!E226,'gm 4 vs Den'!E226,'gm 5 at KC'!E226,'gm 6 at LA'!E226,'gm 7 vs Hou'!E226,'gm 9 vs Oak'!E226,'gm 10 vs Bal'!E226,'gm 11 at Chi'!E226,'gm 12 vs NYG'!E226,'gm 13 vs Cle'!E226,'gm 14 at Hou'!E226,+'gm 8 at Pit'!E226)</f>
        <v>0</v>
      </c>
      <c r="F226">
        <f>+'gm 1 at NE'!F226+'gm 2 vs Pit'!F226+'gm 3 at Cle'!F226+'gm 4 vs Den'!F226+'gm 5 at KC'!F226+'gm 6 at LA'!F226+'gm 7 vs Hou'!F226+'gm 8 at Pit'!F226+'gm 9 vs Oak'!F226+'gm 10 vs Bal'!F226+'gm 11 at Chi'!F226+'gm 12 vs NYG'!F226+'gm 13 vs Cle'!F226+'gm 14 at Hou'!F226</f>
        <v>0</v>
      </c>
      <c r="G226">
        <f>+'gm 1 at NE'!G226+'gm 2 vs Pit'!G226+'gm 3 at Cle'!G226+'gm 4 vs Den'!G226+'gm 5 at KC'!G226+'gm 6 at LA'!G226+'gm 7 vs Hou'!G226+'gm 8 at Pit'!G226+'gm 9 vs Oak'!G226+'gm 10 vs Bal'!G226+'gm 11 at Chi'!G226+'gm 12 vs NYG'!G226+'gm 13 vs Cle'!G226+'gm 14 at Hou'!G226</f>
        <v>0</v>
      </c>
    </row>
    <row r="227" spans="1:7" ht="12">
      <c r="A227" t="s">
        <v>133</v>
      </c>
      <c r="B227" t="s">
        <v>149</v>
      </c>
      <c r="C227">
        <f>+'gm 1 at NE'!C227+'gm 2 vs Pit'!C227+'gm 3 at Cle'!C227+'gm 4 vs Den'!C227+'gm 5 at KC'!C227+'gm 6 at LA'!C227+'gm 7 vs Hou'!C227+'gm 8 at Pit'!C227+'gm 9 vs Oak'!C227+'gm 10 vs Bal'!C227+'gm 11 at Chi'!C227+'gm 12 vs NYG'!C227+'gm 13 vs Cle'!C227+'gm 14 at Hou'!C227</f>
        <v>1</v>
      </c>
      <c r="D227">
        <f>+'gm 1 at NE'!D227+'gm 2 vs Pit'!D227+'gm 3 at Cle'!D227+'gm 4 vs Den'!D227+'gm 5 at KC'!D227+'gm 6 at LA'!D227+'gm 7 vs Hou'!D227+'gm 8 at Pit'!D227+'gm 9 vs Oak'!D227+'gm 10 vs Bal'!D227+'gm 11 at Chi'!D227+'gm 12 vs NYG'!D227+'gm 13 vs Cle'!D227+'gm 14 at Hou'!D227</f>
        <v>0</v>
      </c>
      <c r="E227">
        <f>MAX('gm 1 at NE'!E227,'gm 2 vs Pit'!E227,'gm 3 at Cle'!E227,'gm 4 vs Den'!E227,'gm 5 at KC'!E227,'gm 6 at LA'!E227,'gm 7 vs Hou'!E227,'gm 9 vs Oak'!E227,'gm 10 vs Bal'!E227,'gm 11 at Chi'!E227,'gm 12 vs NYG'!E227,'gm 13 vs Cle'!E227,'gm 14 at Hou'!E227,+'gm 8 at Pit'!E227)</f>
        <v>0</v>
      </c>
      <c r="F227">
        <f>+'gm 1 at NE'!F227+'gm 2 vs Pit'!F227+'gm 3 at Cle'!F227+'gm 4 vs Den'!F227+'gm 5 at KC'!F227+'gm 6 at LA'!F227+'gm 7 vs Hou'!F227+'gm 8 at Pit'!F227+'gm 9 vs Oak'!F227+'gm 10 vs Bal'!F227+'gm 11 at Chi'!F227+'gm 12 vs NYG'!F227+'gm 13 vs Cle'!F227+'gm 14 at Hou'!F227</f>
        <v>0</v>
      </c>
      <c r="G227">
        <f>+'gm 1 at NE'!G227+'gm 2 vs Pit'!G227+'gm 3 at Cle'!G227+'gm 4 vs Den'!G227+'gm 5 at KC'!G227+'gm 6 at LA'!G227+'gm 7 vs Hou'!G227+'gm 8 at Pit'!G227+'gm 9 vs Oak'!G227+'gm 10 vs Bal'!G227+'gm 11 at Chi'!G227+'gm 12 vs NYG'!G227+'gm 13 vs Cle'!G227+'gm 14 at Hou'!G227</f>
        <v>0</v>
      </c>
    </row>
    <row r="228" spans="1:7" ht="12">
      <c r="A228" s="2" t="s">
        <v>110</v>
      </c>
      <c r="B228" t="s">
        <v>149</v>
      </c>
      <c r="C228">
        <f>+'gm 1 at NE'!C228+'gm 2 vs Pit'!C228+'gm 3 at Cle'!C228+'gm 4 vs Den'!C228+'gm 5 at KC'!C228+'gm 6 at LA'!C228+'gm 7 vs Hou'!C228+'gm 8 at Pit'!C228+'gm 9 vs Oak'!C228+'gm 10 vs Bal'!C228+'gm 11 at Chi'!C228+'gm 12 vs NYG'!C228+'gm 13 vs Cle'!C228+'gm 14 at Hou'!C228</f>
        <v>0</v>
      </c>
      <c r="D228">
        <f>+'gm 1 at NE'!D228+'gm 2 vs Pit'!D228+'gm 3 at Cle'!D228+'gm 4 vs Den'!D228+'gm 5 at KC'!D228+'gm 6 at LA'!D228+'gm 7 vs Hou'!D228+'gm 8 at Pit'!D228+'gm 9 vs Oak'!D228+'gm 10 vs Bal'!D228+'gm 11 at Chi'!D228+'gm 12 vs NYG'!D228+'gm 13 vs Cle'!D228+'gm 14 at Hou'!D228</f>
        <v>0</v>
      </c>
      <c r="E228">
        <f>MAX('gm 1 at NE'!E228,'gm 2 vs Pit'!E228,'gm 3 at Cle'!E228,'gm 4 vs Den'!E228,'gm 5 at KC'!E228,'gm 6 at LA'!E228,'gm 7 vs Hou'!E228,'gm 9 vs Oak'!E228,'gm 10 vs Bal'!E228,'gm 11 at Chi'!E228,'gm 12 vs NYG'!E228,'gm 13 vs Cle'!E228,'gm 14 at Hou'!E228,+'gm 8 at Pit'!E228)</f>
        <v>0</v>
      </c>
      <c r="F228">
        <f>+'gm 1 at NE'!F228+'gm 2 vs Pit'!F228+'gm 3 at Cle'!F228+'gm 4 vs Den'!F228+'gm 5 at KC'!F228+'gm 6 at LA'!F228+'gm 7 vs Hou'!F228+'gm 8 at Pit'!F228+'gm 9 vs Oak'!F228+'gm 10 vs Bal'!F228+'gm 11 at Chi'!F228+'gm 12 vs NYG'!F228+'gm 13 vs Cle'!F228+'gm 14 at Hou'!F228</f>
        <v>0</v>
      </c>
      <c r="G228">
        <f>+'gm 1 at NE'!G228+'gm 2 vs Pit'!G228+'gm 3 at Cle'!G228+'gm 4 vs Den'!G228+'gm 5 at KC'!G228+'gm 6 at LA'!G228+'gm 7 vs Hou'!G228+'gm 8 at Pit'!G228+'gm 9 vs Oak'!G228+'gm 10 vs Bal'!G228+'gm 11 at Chi'!G228+'gm 12 vs NYG'!G228+'gm 13 vs Cle'!G228+'gm 14 at Hou'!G228</f>
        <v>0</v>
      </c>
    </row>
  </sheetData>
  <sheetProtection/>
  <mergeCells count="5">
    <mergeCell ref="T139:U139"/>
    <mergeCell ref="L139:M139"/>
    <mergeCell ref="N139:O139"/>
    <mergeCell ref="P139:Q139"/>
    <mergeCell ref="R139:S139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H1" sqref="H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16</v>
      </c>
      <c r="H6" s="1" t="s">
        <v>29</v>
      </c>
      <c r="M6" s="2">
        <v>20</v>
      </c>
    </row>
    <row r="7" spans="1:13" ht="12">
      <c r="A7" s="18" t="s">
        <v>95</v>
      </c>
      <c r="D7" s="2">
        <v>7</v>
      </c>
      <c r="H7" s="18" t="s">
        <v>95</v>
      </c>
      <c r="M7" s="2">
        <v>9</v>
      </c>
    </row>
    <row r="8" spans="1:13" ht="12">
      <c r="A8" s="18" t="s">
        <v>96</v>
      </c>
      <c r="D8" s="2">
        <v>6</v>
      </c>
      <c r="H8" s="18" t="s">
        <v>96</v>
      </c>
      <c r="M8" s="2">
        <v>10</v>
      </c>
    </row>
    <row r="9" spans="1:13" ht="12">
      <c r="A9" s="18" t="s">
        <v>97</v>
      </c>
      <c r="D9" s="2">
        <v>3</v>
      </c>
      <c r="H9" s="18" t="s">
        <v>97</v>
      </c>
      <c r="M9" s="2">
        <v>1</v>
      </c>
    </row>
    <row r="11" spans="1:23" ht="12">
      <c r="A11" t="s">
        <v>1</v>
      </c>
      <c r="D11" s="2">
        <f>22+7+2</f>
        <v>31</v>
      </c>
      <c r="H11" t="s">
        <v>1</v>
      </c>
      <c r="M11" s="2">
        <f>17+14+4+1</f>
        <v>36</v>
      </c>
      <c r="V11">
        <f>+D11</f>
        <v>31</v>
      </c>
      <c r="W11">
        <f>+M11</f>
        <v>36</v>
      </c>
    </row>
    <row r="12" spans="1:23" ht="12">
      <c r="A12" t="s">
        <v>2</v>
      </c>
      <c r="D12" s="2">
        <f>58+27+4</f>
        <v>89</v>
      </c>
      <c r="H12" t="s">
        <v>2</v>
      </c>
      <c r="M12" s="2">
        <v>127</v>
      </c>
      <c r="U12" s="13"/>
      <c r="V12">
        <f>+D16</f>
        <v>11</v>
      </c>
      <c r="W12">
        <f>+M16</f>
        <v>19</v>
      </c>
    </row>
    <row r="13" spans="1:23" ht="12">
      <c r="A13" s="1" t="s">
        <v>3</v>
      </c>
      <c r="D13" s="8">
        <f>+D12/D11</f>
        <v>2.870967741935484</v>
      </c>
      <c r="H13" s="1" t="s">
        <v>3</v>
      </c>
      <c r="M13" s="8">
        <f>+M12/M11</f>
        <v>3.5277777777777777</v>
      </c>
      <c r="V13">
        <f>+(D15-D16)/2</f>
        <v>4.5</v>
      </c>
      <c r="W13">
        <f>+(M15-M16)/2</f>
        <v>7.5</v>
      </c>
    </row>
    <row r="14" spans="22:23" ht="12">
      <c r="V14">
        <f>+D38/2</f>
        <v>2.5</v>
      </c>
      <c r="W14">
        <f>+M38/2</f>
        <v>2.5</v>
      </c>
    </row>
    <row r="15" spans="1:23" ht="12">
      <c r="A15" t="s">
        <v>4</v>
      </c>
      <c r="D15" s="2">
        <v>20</v>
      </c>
      <c r="H15" t="s">
        <v>4</v>
      </c>
      <c r="M15" s="2">
        <v>34</v>
      </c>
      <c r="V15">
        <f>+D42/2</f>
        <v>2.5</v>
      </c>
      <c r="W15">
        <f>+M42/2</f>
        <v>0.5</v>
      </c>
    </row>
    <row r="16" spans="1:23" ht="12">
      <c r="A16" t="s">
        <v>5</v>
      </c>
      <c r="D16" s="2">
        <v>11</v>
      </c>
      <c r="H16" t="s">
        <v>5</v>
      </c>
      <c r="M16" s="2">
        <v>19</v>
      </c>
      <c r="V16">
        <f>+D47/2</f>
        <v>2</v>
      </c>
      <c r="W16">
        <f>+M47/2</f>
        <v>0.5</v>
      </c>
    </row>
    <row r="17" spans="1:13" ht="12">
      <c r="A17" t="s">
        <v>6</v>
      </c>
      <c r="D17" s="8">
        <f>+D16/D15*100</f>
        <v>55.00000000000001</v>
      </c>
      <c r="H17" t="s">
        <v>6</v>
      </c>
      <c r="M17" s="8">
        <f>+M16/M15*100</f>
        <v>55.88235294117647</v>
      </c>
    </row>
    <row r="18" spans="1:24" ht="12">
      <c r="A18" t="s">
        <v>7</v>
      </c>
      <c r="D18" s="2">
        <v>126</v>
      </c>
      <c r="H18" t="s">
        <v>7</v>
      </c>
      <c r="M18" s="2">
        <v>226</v>
      </c>
      <c r="V18">
        <f>SUM(V11:V16)</f>
        <v>53.5</v>
      </c>
      <c r="W18">
        <f>SUM(W11:W16)</f>
        <v>66</v>
      </c>
      <c r="X18">
        <f>+W18+V18</f>
        <v>119.5</v>
      </c>
    </row>
    <row r="19" spans="1:23" ht="12">
      <c r="A19" t="s">
        <v>8</v>
      </c>
      <c r="D19" s="2">
        <v>2</v>
      </c>
      <c r="H19" t="s">
        <v>8</v>
      </c>
      <c r="M19" s="2">
        <v>0</v>
      </c>
      <c r="V19">
        <f>+V18/X18</f>
        <v>0.4476987447698745</v>
      </c>
      <c r="W19">
        <f>+W18/X18</f>
        <v>0.5523012552301255</v>
      </c>
    </row>
    <row r="20" spans="1:23" ht="12">
      <c r="A20" t="s">
        <v>9</v>
      </c>
      <c r="D20" s="2">
        <v>12</v>
      </c>
      <c r="H20" t="s">
        <v>9</v>
      </c>
      <c r="M20" s="2">
        <v>0</v>
      </c>
      <c r="V20">
        <f>+V19*60</f>
        <v>26.86192468619247</v>
      </c>
      <c r="W20">
        <f>+W19*60</f>
        <v>33.13807531380753</v>
      </c>
    </row>
    <row r="21" spans="1:23" ht="12">
      <c r="A21" t="s">
        <v>10</v>
      </c>
      <c r="D21">
        <f>+D18-D20</f>
        <v>114</v>
      </c>
      <c r="H21" t="s">
        <v>10</v>
      </c>
      <c r="M21">
        <f>+M18-M20</f>
        <v>226</v>
      </c>
      <c r="V21">
        <f>+V20-INT(V20)</f>
        <v>0.8619246861924701</v>
      </c>
      <c r="W21">
        <f>+W20-INT(W20)</f>
        <v>0.13807531380753346</v>
      </c>
    </row>
    <row r="22" spans="1:23" ht="12">
      <c r="A22" t="s">
        <v>11</v>
      </c>
      <c r="D22" s="7">
        <f>+D21/(D15+D19)</f>
        <v>5.181818181818182</v>
      </c>
      <c r="H22" t="s">
        <v>11</v>
      </c>
      <c r="M22" s="7">
        <f>+M21/(M15+M19)</f>
        <v>6.647058823529412</v>
      </c>
      <c r="V22">
        <f>+V21*60</f>
        <v>51.715481171548205</v>
      </c>
      <c r="W22">
        <f>+W21*60</f>
        <v>8.284518828452008</v>
      </c>
    </row>
    <row r="23" spans="1:23" ht="12">
      <c r="A23" t="s">
        <v>12</v>
      </c>
      <c r="D23" s="7">
        <f>+D18/D16</f>
        <v>11.454545454545455</v>
      </c>
      <c r="H23" t="s">
        <v>12</v>
      </c>
      <c r="M23" s="7">
        <f>+M18/M16</f>
        <v>11.894736842105264</v>
      </c>
      <c r="U23">
        <v>0</v>
      </c>
      <c r="V23" s="11">
        <f>ROUND(V22,0)</f>
        <v>52</v>
      </c>
      <c r="W23">
        <f>ROUND(W22,0)</f>
        <v>8</v>
      </c>
    </row>
    <row r="24" spans="22:23" ht="12">
      <c r="V24">
        <f>INT(V20)</f>
        <v>26</v>
      </c>
      <c r="W24">
        <f>INT(W20)</f>
        <v>33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203</v>
      </c>
      <c r="H26" t="s">
        <v>14</v>
      </c>
      <c r="M26">
        <f>+M21+M12</f>
        <v>353</v>
      </c>
      <c r="V26" s="14" t="str">
        <f>+V24&amp;V25&amp;V23</f>
        <v>26:52</v>
      </c>
      <c r="W26" s="9" t="str">
        <f>+W24&amp;W25&amp;W23</f>
        <v>33:8</v>
      </c>
    </row>
    <row r="27" spans="1:23" ht="12">
      <c r="A27" t="s">
        <v>15</v>
      </c>
      <c r="D27" s="7">
        <f>+D12/D26*100</f>
        <v>43.84236453201971</v>
      </c>
      <c r="H27" t="s">
        <v>15</v>
      </c>
      <c r="M27" s="7">
        <f>+M12/M26*100</f>
        <v>35.977337110481585</v>
      </c>
      <c r="V27" s="9" t="str">
        <f>IF(V23&lt;10,+V24&amp;V25&amp;$U$23&amp;V23,+V24&amp;V25&amp;V23)</f>
        <v>26:52</v>
      </c>
      <c r="W27" s="9" t="str">
        <f>IF(W23&lt;10,+W24&amp;W25&amp;$U$23&amp;W23,+W24&amp;W25&amp;W23)</f>
        <v>33:08</v>
      </c>
    </row>
    <row r="28" spans="1:13" ht="12">
      <c r="A28" s="1" t="s">
        <v>90</v>
      </c>
      <c r="D28" s="7">
        <f>+D21/D26*100</f>
        <v>56.15763546798029</v>
      </c>
      <c r="H28" s="1" t="s">
        <v>90</v>
      </c>
      <c r="M28" s="7">
        <f>+M21/M26*100</f>
        <v>64.02266288951841</v>
      </c>
    </row>
    <row r="30" spans="1:13" ht="12">
      <c r="A30" t="s">
        <v>16</v>
      </c>
      <c r="D30">
        <f>+D11+D15+D19</f>
        <v>53</v>
      </c>
      <c r="H30" t="s">
        <v>16</v>
      </c>
      <c r="M30">
        <f>+M11+M15+M19</f>
        <v>70</v>
      </c>
    </row>
    <row r="31" spans="1:13" ht="12">
      <c r="A31" t="s">
        <v>17</v>
      </c>
      <c r="D31" s="8">
        <f>+D26/D30</f>
        <v>3.830188679245283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5.042857142857143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0</v>
      </c>
      <c r="H34" t="s">
        <v>19</v>
      </c>
      <c r="M34" s="2">
        <v>1</v>
      </c>
    </row>
    <row r="35" spans="1:13" ht="12">
      <c r="A35" t="s">
        <v>20</v>
      </c>
      <c r="D35" s="2">
        <v>0</v>
      </c>
      <c r="H35" t="s">
        <v>20</v>
      </c>
      <c r="M35" s="2">
        <v>15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5</v>
      </c>
      <c r="H38" t="s">
        <v>22</v>
      </c>
      <c r="M38" s="2">
        <v>5</v>
      </c>
    </row>
    <row r="39" spans="1:13" ht="12">
      <c r="A39" t="s">
        <v>23</v>
      </c>
      <c r="D39" s="2">
        <f>48+39+48+52+25</f>
        <v>212</v>
      </c>
      <c r="H39" t="s">
        <v>23</v>
      </c>
      <c r="M39" s="2">
        <f>54+42+45+33+42</f>
        <v>216</v>
      </c>
    </row>
    <row r="40" spans="1:13" ht="12">
      <c r="A40" t="s">
        <v>24</v>
      </c>
      <c r="D40" s="8">
        <f>+D39/D38</f>
        <v>42.4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43.2</v>
      </c>
    </row>
    <row r="42" spans="1:13" ht="12">
      <c r="A42" t="s">
        <v>25</v>
      </c>
      <c r="D42" s="2">
        <v>5</v>
      </c>
      <c r="H42" t="s">
        <v>25</v>
      </c>
      <c r="M42" s="2">
        <v>1</v>
      </c>
    </row>
    <row r="43" spans="1:13" ht="12">
      <c r="A43" t="s">
        <v>26</v>
      </c>
      <c r="D43" s="2">
        <f>1+15+4+9+6</f>
        <v>35</v>
      </c>
      <c r="H43" t="s">
        <v>26</v>
      </c>
      <c r="M43" s="2">
        <v>0</v>
      </c>
    </row>
    <row r="44" spans="1:13" ht="12">
      <c r="A44" t="s">
        <v>27</v>
      </c>
      <c r="D44" s="8">
        <f>+D43/D42</f>
        <v>7</v>
      </c>
      <c r="H44" t="s">
        <v>27</v>
      </c>
      <c r="M44" s="8">
        <f>+M43/M42</f>
        <v>0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4</v>
      </c>
      <c r="H47" t="s">
        <v>30</v>
      </c>
      <c r="M47" s="2">
        <v>1</v>
      </c>
    </row>
    <row r="48" spans="1:13" ht="12">
      <c r="A48" t="s">
        <v>26</v>
      </c>
      <c r="D48" s="2">
        <f>11+40+20+28</f>
        <v>99</v>
      </c>
      <c r="H48" t="s">
        <v>26</v>
      </c>
      <c r="M48" s="2">
        <v>9</v>
      </c>
    </row>
    <row r="49" spans="1:13" ht="12">
      <c r="A49" t="s">
        <v>27</v>
      </c>
      <c r="D49" s="8">
        <f>+D48/D47</f>
        <v>24.75</v>
      </c>
      <c r="H49" t="s">
        <v>27</v>
      </c>
      <c r="M49" s="8">
        <f>+M48/M47</f>
        <v>9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2</v>
      </c>
      <c r="H52" t="s">
        <v>31</v>
      </c>
      <c r="M52" s="2">
        <v>10</v>
      </c>
    </row>
    <row r="53" spans="1:13" ht="12">
      <c r="A53" t="s">
        <v>32</v>
      </c>
      <c r="D53" s="2">
        <v>20</v>
      </c>
      <c r="H53" t="s">
        <v>32</v>
      </c>
      <c r="M53" s="2">
        <v>96</v>
      </c>
    </row>
    <row r="55" spans="1:13" ht="12">
      <c r="A55" t="s">
        <v>33</v>
      </c>
      <c r="D55" s="2">
        <v>2</v>
      </c>
      <c r="H55" t="s">
        <v>33</v>
      </c>
      <c r="M55" s="2">
        <v>1</v>
      </c>
    </row>
    <row r="56" spans="1:13" ht="12">
      <c r="A56" t="s">
        <v>34</v>
      </c>
      <c r="D56" s="2">
        <v>1</v>
      </c>
      <c r="H56" t="s">
        <v>34</v>
      </c>
      <c r="M56" s="2">
        <v>1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1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20</v>
      </c>
      <c r="H61" t="s">
        <v>38</v>
      </c>
      <c r="M61" s="2">
        <v>13</v>
      </c>
    </row>
    <row r="62" spans="1:13" ht="12">
      <c r="A62" t="s">
        <v>39</v>
      </c>
      <c r="D62" s="2">
        <v>2</v>
      </c>
      <c r="H62" t="s">
        <v>39</v>
      </c>
      <c r="M62" s="2">
        <v>1</v>
      </c>
    </row>
    <row r="63" spans="1:13" ht="12">
      <c r="A63" t="s">
        <v>40</v>
      </c>
      <c r="D63" s="2">
        <v>2</v>
      </c>
      <c r="H63" t="s">
        <v>40</v>
      </c>
      <c r="M63" s="2">
        <v>1</v>
      </c>
    </row>
    <row r="64" spans="1:13" ht="12">
      <c r="A64" t="s">
        <v>41</v>
      </c>
      <c r="D64" s="2">
        <v>0</v>
      </c>
      <c r="H64" t="s">
        <v>41</v>
      </c>
      <c r="M64" s="2">
        <v>0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2</v>
      </c>
      <c r="H66" t="s">
        <v>43</v>
      </c>
      <c r="M66" s="2">
        <v>1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2</v>
      </c>
      <c r="H68" t="s">
        <v>45</v>
      </c>
      <c r="M68" s="2">
        <v>2</v>
      </c>
    </row>
    <row r="69" spans="1:13" ht="12">
      <c r="A69" t="s">
        <v>46</v>
      </c>
      <c r="D69" s="2">
        <v>2</v>
      </c>
      <c r="H69" t="s">
        <v>46</v>
      </c>
      <c r="M69" s="2">
        <v>3</v>
      </c>
    </row>
    <row r="70" spans="1:13" ht="12">
      <c r="A70" t="s">
        <v>47</v>
      </c>
      <c r="D70" s="8">
        <f>+D68/D69*100</f>
        <v>100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66.66666666666666</v>
      </c>
    </row>
    <row r="71" spans="1:13" ht="12">
      <c r="A71" t="s">
        <v>93</v>
      </c>
      <c r="D71" s="10" t="str">
        <f>IF(V23&lt;10,V27,V26)</f>
        <v>26:52</v>
      </c>
      <c r="E71" s="8"/>
      <c r="F71" s="8"/>
      <c r="H71" t="s">
        <v>93</v>
      </c>
      <c r="M71" s="10" t="str">
        <f>IF(W23&lt;10,W27,W26)</f>
        <v>33:08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7" ht="12">
      <c r="A75" t="s">
        <v>100</v>
      </c>
      <c r="C75">
        <v>2</v>
      </c>
      <c r="D75">
        <v>4</v>
      </c>
      <c r="E75" s="12">
        <f>+D75/C75</f>
        <v>2</v>
      </c>
      <c r="F75">
        <v>2</v>
      </c>
      <c r="G75">
        <v>1</v>
      </c>
    </row>
    <row r="76" spans="1:5" ht="12">
      <c r="A76" t="s">
        <v>101</v>
      </c>
      <c r="E76" s="12" t="e">
        <f>+D76/C76</f>
        <v>#DIV/0!</v>
      </c>
    </row>
    <row r="77" spans="1:5" ht="12">
      <c r="A77" t="s">
        <v>102</v>
      </c>
      <c r="E77" s="12" t="e">
        <f>+D77/C77</f>
        <v>#DIV/0!</v>
      </c>
    </row>
    <row r="78" spans="1:6" ht="12">
      <c r="A78" t="s">
        <v>103</v>
      </c>
      <c r="C78">
        <v>7</v>
      </c>
      <c r="D78">
        <v>27</v>
      </c>
      <c r="E78" s="12">
        <f aca="true" t="shared" si="0" ref="E78:E84">+D78/C78</f>
        <v>3.857142857142857</v>
      </c>
      <c r="F78">
        <v>12</v>
      </c>
    </row>
    <row r="79" spans="1:8" ht="12">
      <c r="A79" t="s">
        <v>104</v>
      </c>
      <c r="C79">
        <v>22</v>
      </c>
      <c r="D79">
        <v>58</v>
      </c>
      <c r="E79" s="12">
        <f t="shared" si="0"/>
        <v>2.6363636363636362</v>
      </c>
      <c r="F79">
        <v>21</v>
      </c>
      <c r="G79">
        <v>1</v>
      </c>
      <c r="H79">
        <v>1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5" ht="12">
      <c r="A83" t="s">
        <v>108</v>
      </c>
      <c r="E83" s="12" t="e">
        <f t="shared" si="0"/>
        <v>#DIV/0!</v>
      </c>
    </row>
    <row r="84" spans="1:5" ht="12">
      <c r="A84" t="s">
        <v>109</v>
      </c>
      <c r="E84" s="12" t="e">
        <f t="shared" si="0"/>
        <v>#DIV/0!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6" ht="12">
      <c r="A91" t="s">
        <v>103</v>
      </c>
      <c r="C91">
        <v>2</v>
      </c>
      <c r="D91">
        <v>16</v>
      </c>
      <c r="E91" s="12">
        <f t="shared" si="1"/>
        <v>8</v>
      </c>
      <c r="F91">
        <v>8</v>
      </c>
    </row>
    <row r="92" spans="1:6" ht="12">
      <c r="A92" t="s">
        <v>104</v>
      </c>
      <c r="C92">
        <v>1</v>
      </c>
      <c r="D92">
        <v>7</v>
      </c>
      <c r="E92" s="12">
        <f t="shared" si="1"/>
        <v>7</v>
      </c>
      <c r="F92">
        <v>7</v>
      </c>
    </row>
    <row r="93" spans="1:5" ht="12">
      <c r="A93" s="2" t="s">
        <v>105</v>
      </c>
      <c r="E93" s="12" t="e">
        <f t="shared" si="1"/>
        <v>#DIV/0!</v>
      </c>
    </row>
    <row r="94" spans="1:6" ht="12">
      <c r="A94" t="s">
        <v>113</v>
      </c>
      <c r="C94">
        <v>4</v>
      </c>
      <c r="D94">
        <v>49</v>
      </c>
      <c r="E94" s="12">
        <f t="shared" si="1"/>
        <v>12.25</v>
      </c>
      <c r="F94">
        <v>19</v>
      </c>
    </row>
    <row r="95" spans="1:5" ht="12">
      <c r="A95" t="s">
        <v>108</v>
      </c>
      <c r="E95" s="12" t="e">
        <f t="shared" si="1"/>
        <v>#DIV/0!</v>
      </c>
    </row>
    <row r="96" spans="1:5" ht="12">
      <c r="A96" t="s">
        <v>114</v>
      </c>
      <c r="E96" s="12" t="e">
        <f t="shared" si="1"/>
        <v>#DIV/0!</v>
      </c>
    </row>
    <row r="97" spans="1:6" ht="12">
      <c r="A97" t="s">
        <v>115</v>
      </c>
      <c r="C97">
        <v>4</v>
      </c>
      <c r="D97">
        <v>54</v>
      </c>
      <c r="E97" s="12">
        <f t="shared" si="1"/>
        <v>13.5</v>
      </c>
      <c r="F97">
        <v>32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20</v>
      </c>
      <c r="D106">
        <v>11</v>
      </c>
      <c r="E106" s="12">
        <f>+D106/C106*100</f>
        <v>55.00000000000001</v>
      </c>
      <c r="F106">
        <v>126</v>
      </c>
      <c r="H106">
        <v>32</v>
      </c>
      <c r="J106" s="8">
        <f>+G106/C106*100</f>
        <v>0</v>
      </c>
      <c r="K106" s="12">
        <f>+I106/C106*100</f>
        <v>0</v>
      </c>
      <c r="L106" s="12">
        <f>+F106/C106</f>
        <v>6.3</v>
      </c>
      <c r="M106" s="12">
        <f>100*(S106+U106+W106+Y106)/6</f>
        <v>74.16666666666667</v>
      </c>
      <c r="N106">
        <v>1</v>
      </c>
      <c r="O106">
        <v>2</v>
      </c>
      <c r="R106">
        <f>+(E106-30)/20</f>
        <v>1.2500000000000004</v>
      </c>
      <c r="S106" s="2">
        <f>IF(R106&lt;0,0,R106)</f>
        <v>1.2500000000000004</v>
      </c>
      <c r="T106" s="6">
        <f>+(L106-3)/4</f>
        <v>0.825</v>
      </c>
      <c r="U106" s="2">
        <f>IF(T106&lt;0,0,T106)</f>
        <v>0.825</v>
      </c>
      <c r="V106">
        <f>+J106/5</f>
        <v>0</v>
      </c>
      <c r="W106" s="2">
        <f>IF(V106&lt;0,0,V106)</f>
        <v>0</v>
      </c>
      <c r="X106">
        <f>(9.5-K106)/4</f>
        <v>2.375</v>
      </c>
      <c r="Y106" s="2">
        <f>IF(X106&lt;0,0,X106)</f>
        <v>2.375</v>
      </c>
    </row>
    <row r="107" spans="1:25" ht="12">
      <c r="A107" t="s">
        <v>101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 t="e">
        <f>+J107/5</f>
        <v>#DIV/0!</v>
      </c>
      <c r="W107" s="2" t="e">
        <f>IF(V107&lt;0,0,V107)</f>
        <v>#DIV/0!</v>
      </c>
      <c r="X107" t="e">
        <f>(9.5-K107)/4</f>
        <v>#DIV/0!</v>
      </c>
      <c r="Y107" s="2" t="e">
        <f>IF(X107&lt;0,0,X107)</f>
        <v>#DIV/0!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5</v>
      </c>
      <c r="E113">
        <f>1+15+4+9+6</f>
        <v>35</v>
      </c>
      <c r="F113" s="12">
        <f aca="true" t="shared" si="2" ref="F113:F118">+E113/C113</f>
        <v>7</v>
      </c>
      <c r="G113">
        <v>15</v>
      </c>
    </row>
    <row r="114" spans="1:6" ht="12">
      <c r="A114" t="s">
        <v>104</v>
      </c>
      <c r="F114" s="12" t="e">
        <f t="shared" si="2"/>
        <v>#DIV/0!</v>
      </c>
    </row>
    <row r="115" spans="1:6" ht="12">
      <c r="A115" t="s">
        <v>117</v>
      </c>
      <c r="F115" s="12" t="e">
        <f t="shared" si="2"/>
        <v>#DIV/0!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6" ht="12">
      <c r="A125" t="s">
        <v>119</v>
      </c>
      <c r="C125">
        <v>2</v>
      </c>
      <c r="D125">
        <v>60</v>
      </c>
      <c r="E125" s="12">
        <f t="shared" si="3"/>
        <v>30</v>
      </c>
      <c r="F125">
        <v>40</v>
      </c>
    </row>
    <row r="126" spans="1:5" ht="12">
      <c r="A126" t="s">
        <v>104</v>
      </c>
      <c r="E126" s="12" t="e">
        <f t="shared" si="3"/>
        <v>#DIV/0!</v>
      </c>
    </row>
    <row r="127" spans="1:6" ht="12">
      <c r="A127" t="s">
        <v>105</v>
      </c>
      <c r="C127">
        <v>1</v>
      </c>
      <c r="D127">
        <v>11</v>
      </c>
      <c r="E127" s="12">
        <f t="shared" si="3"/>
        <v>11</v>
      </c>
      <c r="F127">
        <v>11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6" ht="12">
      <c r="A130" t="s">
        <v>117</v>
      </c>
      <c r="C130">
        <v>1</v>
      </c>
      <c r="D130">
        <v>28</v>
      </c>
      <c r="E130" s="12">
        <f>+D130/C130</f>
        <v>28</v>
      </c>
      <c r="F130">
        <v>28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5</v>
      </c>
      <c r="D133">
        <f>48+39+48+52+25</f>
        <v>212</v>
      </c>
      <c r="E133" s="12"/>
      <c r="F133">
        <v>52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9" ht="12">
      <c r="A141" t="s">
        <v>121</v>
      </c>
      <c r="C141">
        <v>5</v>
      </c>
      <c r="D141">
        <v>4</v>
      </c>
      <c r="E141">
        <v>2</v>
      </c>
      <c r="F141">
        <v>2</v>
      </c>
      <c r="G141">
        <v>2</v>
      </c>
      <c r="H141">
        <v>2</v>
      </c>
      <c r="I141" s="12">
        <f>+H141/G141*100</f>
        <v>100</v>
      </c>
      <c r="J141">
        <v>44</v>
      </c>
      <c r="N141">
        <v>1</v>
      </c>
      <c r="O141">
        <v>1</v>
      </c>
      <c r="R141">
        <v>1</v>
      </c>
      <c r="S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6" ht="12">
      <c r="A147" t="s">
        <v>122</v>
      </c>
      <c r="C147">
        <v>1</v>
      </c>
      <c r="D147">
        <v>15</v>
      </c>
      <c r="E147" s="12">
        <f>+D147/C147</f>
        <v>15</v>
      </c>
      <c r="F147">
        <v>15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5" ht="12">
      <c r="A149" t="s">
        <v>116</v>
      </c>
      <c r="E149" s="12" t="e">
        <f t="shared" si="4"/>
        <v>#DIV/0!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/>
      <c r="D165" s="3"/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/>
      <c r="D170" s="3"/>
    </row>
    <row r="171" spans="1:4" ht="12">
      <c r="A171" t="s">
        <v>133</v>
      </c>
      <c r="C171" s="3"/>
      <c r="D171" s="3"/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C18" sqref="C18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17</v>
      </c>
      <c r="H6" s="1" t="s">
        <v>29</v>
      </c>
      <c r="M6" s="2">
        <v>18</v>
      </c>
    </row>
    <row r="7" spans="1:13" ht="12">
      <c r="A7" s="18" t="s">
        <v>95</v>
      </c>
      <c r="D7" s="2">
        <v>10</v>
      </c>
      <c r="H7" s="18" t="s">
        <v>95</v>
      </c>
      <c r="M7" s="2">
        <v>10</v>
      </c>
    </row>
    <row r="8" spans="1:13" ht="12">
      <c r="A8" s="18" t="s">
        <v>96</v>
      </c>
      <c r="D8" s="2">
        <v>4</v>
      </c>
      <c r="H8" s="18" t="s">
        <v>96</v>
      </c>
      <c r="M8" s="2">
        <v>8</v>
      </c>
    </row>
    <row r="9" spans="1:13" ht="12">
      <c r="A9" s="18" t="s">
        <v>97</v>
      </c>
      <c r="D9" s="2">
        <v>3</v>
      </c>
      <c r="H9" s="18" t="s">
        <v>97</v>
      </c>
      <c r="M9" s="2">
        <v>0</v>
      </c>
    </row>
    <row r="11" spans="1:23" ht="12">
      <c r="A11" t="s">
        <v>1</v>
      </c>
      <c r="D11" s="2">
        <f>17+8+3+2</f>
        <v>30</v>
      </c>
      <c r="H11" t="s">
        <v>1</v>
      </c>
      <c r="M11" s="2">
        <f>13+12+8</f>
        <v>33</v>
      </c>
      <c r="V11">
        <f>+D11</f>
        <v>30</v>
      </c>
      <c r="W11">
        <f>+M11</f>
        <v>33</v>
      </c>
    </row>
    <row r="12" spans="1:23" ht="12">
      <c r="A12" t="s">
        <v>2</v>
      </c>
      <c r="D12" s="2">
        <f>94+63+17+8</f>
        <v>182</v>
      </c>
      <c r="H12" t="s">
        <v>2</v>
      </c>
      <c r="M12" s="2">
        <f>28+43+33</f>
        <v>104</v>
      </c>
      <c r="U12" s="13"/>
      <c r="V12">
        <f>+D16</f>
        <v>11</v>
      </c>
      <c r="W12">
        <f>+M16</f>
        <v>17</v>
      </c>
    </row>
    <row r="13" spans="1:23" ht="12">
      <c r="A13" s="1" t="s">
        <v>3</v>
      </c>
      <c r="D13" s="8">
        <f>+D12/D11</f>
        <v>6.066666666666666</v>
      </c>
      <c r="H13" s="1" t="s">
        <v>3</v>
      </c>
      <c r="M13" s="8">
        <f>+M12/M11</f>
        <v>3.1515151515151514</v>
      </c>
      <c r="V13">
        <f>+(D15-D16)/2</f>
        <v>7</v>
      </c>
      <c r="W13">
        <f>+(M15-M16)/2</f>
        <v>8</v>
      </c>
    </row>
    <row r="14" spans="22:23" ht="12">
      <c r="V14">
        <f>+D38/2</f>
        <v>4</v>
      </c>
      <c r="W14">
        <f>+M38/2</f>
        <v>3</v>
      </c>
    </row>
    <row r="15" spans="1:23" ht="12">
      <c r="A15" t="s">
        <v>4</v>
      </c>
      <c r="D15" s="2">
        <v>25</v>
      </c>
      <c r="H15" t="s">
        <v>4</v>
      </c>
      <c r="M15" s="2">
        <v>33</v>
      </c>
      <c r="V15">
        <f>+D42/2</f>
        <v>1.5</v>
      </c>
      <c r="W15">
        <f>+M42/2</f>
        <v>1</v>
      </c>
    </row>
    <row r="16" spans="1:23" ht="12">
      <c r="A16" t="s">
        <v>5</v>
      </c>
      <c r="D16" s="2">
        <v>11</v>
      </c>
      <c r="H16" t="s">
        <v>5</v>
      </c>
      <c r="M16" s="2">
        <v>17</v>
      </c>
      <c r="V16">
        <f>+D47/2</f>
        <v>1.5</v>
      </c>
      <c r="W16">
        <f>+M47/2</f>
        <v>1.5</v>
      </c>
    </row>
    <row r="17" spans="1:13" ht="12">
      <c r="A17" t="s">
        <v>6</v>
      </c>
      <c r="D17" s="8">
        <f>+D16/D15*100</f>
        <v>44</v>
      </c>
      <c r="H17" t="s">
        <v>6</v>
      </c>
      <c r="M17" s="8">
        <f>+M16/M15*100</f>
        <v>51.515151515151516</v>
      </c>
    </row>
    <row r="18" spans="1:24" ht="12">
      <c r="A18" t="s">
        <v>7</v>
      </c>
      <c r="D18" s="2">
        <v>100</v>
      </c>
      <c r="H18" t="s">
        <v>7</v>
      </c>
      <c r="M18" s="2">
        <v>189</v>
      </c>
      <c r="V18">
        <f>SUM(V11:V16)</f>
        <v>55</v>
      </c>
      <c r="W18">
        <f>SUM(W11:W16)</f>
        <v>63.5</v>
      </c>
      <c r="X18">
        <f>+W18+V18</f>
        <v>118.5</v>
      </c>
    </row>
    <row r="19" spans="1:23" ht="12">
      <c r="A19" t="s">
        <v>8</v>
      </c>
      <c r="D19" s="2">
        <v>3</v>
      </c>
      <c r="H19" t="s">
        <v>8</v>
      </c>
      <c r="M19" s="2">
        <v>0</v>
      </c>
      <c r="V19">
        <f>+V18/X18</f>
        <v>0.4641350210970464</v>
      </c>
      <c r="W19">
        <f>+W18/X18</f>
        <v>0.5358649789029536</v>
      </c>
    </row>
    <row r="20" spans="1:23" ht="12">
      <c r="A20" t="s">
        <v>9</v>
      </c>
      <c r="D20" s="2">
        <f>18+8+10</f>
        <v>36</v>
      </c>
      <c r="H20" t="s">
        <v>9</v>
      </c>
      <c r="M20" s="2">
        <v>0</v>
      </c>
      <c r="V20">
        <f>+V19*60</f>
        <v>27.848101265822784</v>
      </c>
      <c r="W20">
        <f>+W19*60</f>
        <v>32.151898734177216</v>
      </c>
    </row>
    <row r="21" spans="1:23" ht="12">
      <c r="A21" t="s">
        <v>10</v>
      </c>
      <c r="D21">
        <f>+D18-D20</f>
        <v>64</v>
      </c>
      <c r="H21" t="s">
        <v>10</v>
      </c>
      <c r="M21">
        <f>+M18-M20</f>
        <v>189</v>
      </c>
      <c r="V21">
        <f>+V20-INT(V20)</f>
        <v>0.848101265822784</v>
      </c>
      <c r="W21">
        <f>+W20-INT(W20)</f>
        <v>0.151898734177216</v>
      </c>
    </row>
    <row r="22" spans="1:23" ht="12">
      <c r="A22" t="s">
        <v>11</v>
      </c>
      <c r="D22" s="7">
        <f>+D21/(D15+D19)</f>
        <v>2.2857142857142856</v>
      </c>
      <c r="H22" t="s">
        <v>11</v>
      </c>
      <c r="M22" s="7">
        <f>+M21/(M15+M19)</f>
        <v>5.7272727272727275</v>
      </c>
      <c r="V22">
        <f>+V21*60</f>
        <v>50.88607594936704</v>
      </c>
      <c r="W22">
        <f>+W21*60</f>
        <v>9.11392405063296</v>
      </c>
    </row>
    <row r="23" spans="1:23" ht="12">
      <c r="A23" t="s">
        <v>12</v>
      </c>
      <c r="D23" s="7">
        <f>+D18/D16</f>
        <v>9.090909090909092</v>
      </c>
      <c r="H23" t="s">
        <v>12</v>
      </c>
      <c r="M23" s="7">
        <f>+M18/M16</f>
        <v>11.117647058823529</v>
      </c>
      <c r="U23">
        <v>0</v>
      </c>
      <c r="V23" s="11">
        <f>ROUND(V22,0)</f>
        <v>51</v>
      </c>
      <c r="W23">
        <f>ROUND(W22,0)</f>
        <v>9</v>
      </c>
    </row>
    <row r="24" spans="22:23" ht="12">
      <c r="V24">
        <f>INT(V20)</f>
        <v>27</v>
      </c>
      <c r="W24">
        <f>INT(W20)</f>
        <v>32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246</v>
      </c>
      <c r="H26" t="s">
        <v>14</v>
      </c>
      <c r="M26">
        <f>+M21+M12</f>
        <v>293</v>
      </c>
      <c r="V26" s="14" t="str">
        <f>+V24&amp;V25&amp;V23</f>
        <v>27:51</v>
      </c>
      <c r="W26" s="9" t="str">
        <f>+W24&amp;W25&amp;W23</f>
        <v>32:9</v>
      </c>
    </row>
    <row r="27" spans="1:23" ht="12">
      <c r="A27" t="s">
        <v>15</v>
      </c>
      <c r="D27" s="7">
        <f>+D12/D26*100</f>
        <v>73.98373983739837</v>
      </c>
      <c r="H27" t="s">
        <v>15</v>
      </c>
      <c r="M27" s="7">
        <f>+M12/M26*100</f>
        <v>35.49488054607509</v>
      </c>
      <c r="V27" s="9" t="str">
        <f>IF(V23&lt;10,+V24&amp;V25&amp;$U$23&amp;V23,+V24&amp;V25&amp;V23)</f>
        <v>27:51</v>
      </c>
      <c r="W27" s="9" t="str">
        <f>IF(W23&lt;10,+W24&amp;W25&amp;$U$23&amp;W23,+W24&amp;W25&amp;W23)</f>
        <v>32:09</v>
      </c>
    </row>
    <row r="28" spans="1:13" ht="12">
      <c r="A28" s="1" t="s">
        <v>90</v>
      </c>
      <c r="D28" s="7">
        <f>+D21/D26*100</f>
        <v>26.01626016260163</v>
      </c>
      <c r="H28" s="1" t="s">
        <v>90</v>
      </c>
      <c r="M28" s="7">
        <f>+M21/M26*100</f>
        <v>64.50511945392492</v>
      </c>
    </row>
    <row r="30" spans="1:13" ht="12">
      <c r="A30" t="s">
        <v>16</v>
      </c>
      <c r="D30">
        <f>+D11+D15+D19</f>
        <v>58</v>
      </c>
      <c r="H30" t="s">
        <v>16</v>
      </c>
      <c r="M30">
        <f>+M11+M15+M19</f>
        <v>66</v>
      </c>
    </row>
    <row r="31" spans="1:13" ht="12">
      <c r="A31" t="s">
        <v>17</v>
      </c>
      <c r="D31" s="8">
        <f>+D26/D30</f>
        <v>4.241379310344827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4.4393939393939394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1</v>
      </c>
      <c r="H34" t="s">
        <v>19</v>
      </c>
      <c r="M34" s="2">
        <v>0</v>
      </c>
    </row>
    <row r="35" spans="1:13" ht="12">
      <c r="A35" t="s">
        <v>20</v>
      </c>
      <c r="D35" s="2">
        <v>11</v>
      </c>
      <c r="H35" t="s">
        <v>20</v>
      </c>
      <c r="M35" s="2">
        <v>0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8</v>
      </c>
      <c r="H38" t="s">
        <v>22</v>
      </c>
      <c r="M38" s="2">
        <v>6</v>
      </c>
    </row>
    <row r="39" spans="1:13" ht="12">
      <c r="A39" t="s">
        <v>23</v>
      </c>
      <c r="D39" s="2">
        <f>47+24+31+52+31+41+42+41</f>
        <v>309</v>
      </c>
      <c r="H39" t="s">
        <v>23</v>
      </c>
      <c r="M39" s="2">
        <f>45+37+48+48+40+37</f>
        <v>255</v>
      </c>
    </row>
    <row r="40" spans="1:13" ht="12">
      <c r="A40" t="s">
        <v>24</v>
      </c>
      <c r="D40" s="8">
        <f>+D39/D38</f>
        <v>38.625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42.5</v>
      </c>
    </row>
    <row r="42" spans="1:13" ht="12">
      <c r="A42" t="s">
        <v>25</v>
      </c>
      <c r="D42" s="2">
        <v>3</v>
      </c>
      <c r="H42" t="s">
        <v>25</v>
      </c>
      <c r="M42" s="2">
        <v>2</v>
      </c>
    </row>
    <row r="43" spans="1:13" ht="12">
      <c r="A43" t="s">
        <v>26</v>
      </c>
      <c r="D43" s="2">
        <v>12</v>
      </c>
      <c r="H43" t="s">
        <v>26</v>
      </c>
      <c r="M43" s="2">
        <v>12</v>
      </c>
    </row>
    <row r="44" spans="1:13" ht="12">
      <c r="A44" t="s">
        <v>27</v>
      </c>
      <c r="D44" s="8">
        <f>+D43/D42</f>
        <v>4</v>
      </c>
      <c r="H44" t="s">
        <v>27</v>
      </c>
      <c r="M44" s="8">
        <f>+M43/M42</f>
        <v>6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3</v>
      </c>
      <c r="H47" t="s">
        <v>30</v>
      </c>
      <c r="M47" s="2">
        <v>3</v>
      </c>
    </row>
    <row r="48" spans="1:13" ht="12">
      <c r="A48" t="s">
        <v>26</v>
      </c>
      <c r="D48" s="2">
        <f>28+6+24</f>
        <v>58</v>
      </c>
      <c r="H48" t="s">
        <v>26</v>
      </c>
      <c r="M48" s="2">
        <f>15+18+20</f>
        <v>53</v>
      </c>
    </row>
    <row r="49" spans="1:13" ht="12">
      <c r="A49" t="s">
        <v>27</v>
      </c>
      <c r="D49" s="8">
        <f>+D48/D47</f>
        <v>19.333333333333332</v>
      </c>
      <c r="H49" t="s">
        <v>27</v>
      </c>
      <c r="M49" s="8">
        <f>+M48/M47</f>
        <v>17.666666666666668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5</v>
      </c>
      <c r="H52" t="s">
        <v>31</v>
      </c>
      <c r="M52" s="2">
        <v>7</v>
      </c>
    </row>
    <row r="53" spans="1:13" ht="12">
      <c r="A53" t="s">
        <v>32</v>
      </c>
      <c r="D53" s="2">
        <v>35</v>
      </c>
      <c r="H53" t="s">
        <v>32</v>
      </c>
      <c r="M53" s="2">
        <v>58</v>
      </c>
    </row>
    <row r="55" spans="1:13" ht="12">
      <c r="A55" t="s">
        <v>33</v>
      </c>
      <c r="D55" s="2">
        <v>0</v>
      </c>
      <c r="H55" t="s">
        <v>33</v>
      </c>
      <c r="M55" s="2">
        <v>1</v>
      </c>
    </row>
    <row r="56" spans="1:13" ht="12">
      <c r="A56" t="s">
        <v>34</v>
      </c>
      <c r="D56" s="2">
        <v>0</v>
      </c>
      <c r="H56" t="s">
        <v>34</v>
      </c>
      <c r="M56" s="2">
        <v>0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1</v>
      </c>
      <c r="H58" t="s">
        <v>36</v>
      </c>
      <c r="M58" s="2">
        <v>0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14</v>
      </c>
      <c r="H61" t="s">
        <v>38</v>
      </c>
      <c r="M61" s="2">
        <v>14</v>
      </c>
    </row>
    <row r="62" spans="1:13" ht="12">
      <c r="A62" t="s">
        <v>39</v>
      </c>
      <c r="D62" s="2">
        <v>2</v>
      </c>
      <c r="H62" t="s">
        <v>39</v>
      </c>
      <c r="M62" s="2">
        <v>2</v>
      </c>
    </row>
    <row r="63" spans="1:13" ht="12">
      <c r="A63" t="s">
        <v>40</v>
      </c>
      <c r="D63" s="2">
        <v>2</v>
      </c>
      <c r="H63" t="s">
        <v>40</v>
      </c>
      <c r="M63" s="2">
        <v>1</v>
      </c>
    </row>
    <row r="64" spans="1:13" ht="12">
      <c r="A64" t="s">
        <v>41</v>
      </c>
      <c r="D64" s="2">
        <v>0</v>
      </c>
      <c r="H64" t="s">
        <v>41</v>
      </c>
      <c r="M64" s="2">
        <v>1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2</v>
      </c>
      <c r="H66" t="s">
        <v>43</v>
      </c>
      <c r="M66" s="2">
        <v>2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0</v>
      </c>
      <c r="H68" t="s">
        <v>45</v>
      </c>
      <c r="M68" s="2">
        <v>0</v>
      </c>
    </row>
    <row r="69" spans="1:13" ht="12">
      <c r="A69" t="s">
        <v>46</v>
      </c>
      <c r="D69" s="2">
        <v>0</v>
      </c>
      <c r="H69" t="s">
        <v>46</v>
      </c>
      <c r="M69" s="2">
        <v>1</v>
      </c>
    </row>
    <row r="70" spans="1:13" ht="12">
      <c r="A70" t="s">
        <v>47</v>
      </c>
      <c r="D70" s="8" t="e">
        <f>+D68/D69*100</f>
        <v>#DIV/0!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0</v>
      </c>
    </row>
    <row r="71" spans="1:13" ht="12">
      <c r="A71" t="s">
        <v>93</v>
      </c>
      <c r="D71" s="10" t="str">
        <f>IF(V23&lt;10,V27,V26)</f>
        <v>27:51</v>
      </c>
      <c r="E71" s="8"/>
      <c r="F71" s="8"/>
      <c r="H71" t="s">
        <v>93</v>
      </c>
      <c r="M71" s="10" t="str">
        <f>IF(W23&lt;10,W27,W26)</f>
        <v>32:09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">
      <c r="A75" t="s">
        <v>100</v>
      </c>
      <c r="C75">
        <v>2</v>
      </c>
      <c r="D75">
        <v>8</v>
      </c>
      <c r="E75" s="12">
        <f>+D75/C75</f>
        <v>4</v>
      </c>
      <c r="F75">
        <v>5</v>
      </c>
    </row>
    <row r="76" spans="1:5" ht="12">
      <c r="A76" t="s">
        <v>101</v>
      </c>
      <c r="E76" s="12" t="e">
        <f>+D76/C76</f>
        <v>#DIV/0!</v>
      </c>
    </row>
    <row r="77" spans="1:5" ht="12">
      <c r="A77" t="s">
        <v>102</v>
      </c>
      <c r="E77" s="12" t="e">
        <f>+D77/C77</f>
        <v>#DIV/0!</v>
      </c>
    </row>
    <row r="78" spans="1:7" ht="12">
      <c r="A78" t="s">
        <v>103</v>
      </c>
      <c r="C78">
        <v>8</v>
      </c>
      <c r="D78">
        <v>63</v>
      </c>
      <c r="E78" s="12">
        <f aca="true" t="shared" si="0" ref="E78:E84">+D78/C78</f>
        <v>7.875</v>
      </c>
      <c r="F78">
        <v>38</v>
      </c>
      <c r="G78">
        <v>1</v>
      </c>
    </row>
    <row r="79" spans="1:7" ht="12">
      <c r="A79" t="s">
        <v>104</v>
      </c>
      <c r="C79">
        <v>17</v>
      </c>
      <c r="D79">
        <v>94</v>
      </c>
      <c r="E79" s="12">
        <f t="shared" si="0"/>
        <v>5.529411764705882</v>
      </c>
      <c r="F79">
        <v>21</v>
      </c>
      <c r="G79">
        <v>1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3</v>
      </c>
      <c r="D83">
        <v>17</v>
      </c>
      <c r="E83" s="12">
        <f t="shared" si="0"/>
        <v>5.666666666666667</v>
      </c>
      <c r="F83">
        <v>12</v>
      </c>
    </row>
    <row r="84" spans="1:5" ht="12">
      <c r="A84" t="s">
        <v>109</v>
      </c>
      <c r="E84" s="12" t="e">
        <f t="shared" si="0"/>
        <v>#DIV/0!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6" ht="12">
      <c r="A91" t="s">
        <v>103</v>
      </c>
      <c r="C91">
        <v>1</v>
      </c>
      <c r="D91">
        <v>3</v>
      </c>
      <c r="E91" s="12">
        <f t="shared" si="1"/>
        <v>3</v>
      </c>
      <c r="F91">
        <v>3</v>
      </c>
    </row>
    <row r="92" spans="1:6" ht="12">
      <c r="A92" t="s">
        <v>104</v>
      </c>
      <c r="C92">
        <v>4</v>
      </c>
      <c r="D92">
        <v>33</v>
      </c>
      <c r="E92" s="12">
        <f t="shared" si="1"/>
        <v>8.25</v>
      </c>
      <c r="F92">
        <v>16</v>
      </c>
    </row>
    <row r="93" spans="1:5" ht="12">
      <c r="A93" s="2" t="s">
        <v>105</v>
      </c>
      <c r="E93" s="12" t="e">
        <f t="shared" si="1"/>
        <v>#DIV/0!</v>
      </c>
    </row>
    <row r="94" spans="1:5" ht="12">
      <c r="A94" t="s">
        <v>113</v>
      </c>
      <c r="E94" s="12" t="e">
        <f t="shared" si="1"/>
        <v>#DIV/0!</v>
      </c>
    </row>
    <row r="95" spans="1:6" ht="12">
      <c r="A95" t="s">
        <v>108</v>
      </c>
      <c r="C95">
        <v>1</v>
      </c>
      <c r="D95">
        <v>7</v>
      </c>
      <c r="E95" s="12">
        <f t="shared" si="1"/>
        <v>7</v>
      </c>
      <c r="F95">
        <v>7</v>
      </c>
    </row>
    <row r="96" spans="1:6" ht="12">
      <c r="A96" t="s">
        <v>114</v>
      </c>
      <c r="C96">
        <v>2</v>
      </c>
      <c r="D96">
        <v>31</v>
      </c>
      <c r="E96" s="12">
        <f t="shared" si="1"/>
        <v>15.5</v>
      </c>
      <c r="F96">
        <v>27</v>
      </c>
    </row>
    <row r="97" spans="1:6" ht="12">
      <c r="A97" t="s">
        <v>115</v>
      </c>
      <c r="C97">
        <v>3</v>
      </c>
      <c r="D97">
        <v>26</v>
      </c>
      <c r="E97" s="12">
        <f t="shared" si="1"/>
        <v>8.666666666666666</v>
      </c>
      <c r="F97">
        <v>14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25</v>
      </c>
      <c r="D106">
        <v>11</v>
      </c>
      <c r="E106" s="12">
        <f>+D106/C106*100</f>
        <v>44</v>
      </c>
      <c r="F106">
        <v>100</v>
      </c>
      <c r="H106">
        <v>27</v>
      </c>
      <c r="I106">
        <v>1</v>
      </c>
      <c r="J106" s="8">
        <f>+G106/C106*100</f>
        <v>0</v>
      </c>
      <c r="K106" s="12">
        <f>+I106/C106*100</f>
        <v>4</v>
      </c>
      <c r="L106" s="12">
        <f>+F106/C106</f>
        <v>4</v>
      </c>
      <c r="M106" s="12">
        <f>100*(S106+U106+W106+Y106)/6</f>
        <v>38.75000000000001</v>
      </c>
      <c r="O106">
        <v>3</v>
      </c>
      <c r="R106">
        <f>+(E106-30)/20</f>
        <v>0.7</v>
      </c>
      <c r="S106" s="2">
        <f>IF(R106&lt;0,0,R106)</f>
        <v>0.7</v>
      </c>
      <c r="T106" s="6">
        <f>+(L106-3)/4</f>
        <v>0.25</v>
      </c>
      <c r="U106" s="2">
        <f>IF(T106&lt;0,0,T106)</f>
        <v>0.25</v>
      </c>
      <c r="V106">
        <f>+J106/5</f>
        <v>0</v>
      </c>
      <c r="W106" s="2">
        <f>IF(V106&lt;0,0,V106)</f>
        <v>0</v>
      </c>
      <c r="X106">
        <f>(9.5-K106)/4</f>
        <v>1.375</v>
      </c>
      <c r="Y106" s="2">
        <f>IF(X106&lt;0,0,X106)</f>
        <v>1.375</v>
      </c>
    </row>
    <row r="107" spans="1:25" ht="12">
      <c r="A107" t="s">
        <v>101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 t="e">
        <f>+J107/5</f>
        <v>#DIV/0!</v>
      </c>
      <c r="W107" s="2" t="e">
        <f>IF(V107&lt;0,0,V107)</f>
        <v>#DIV/0!</v>
      </c>
      <c r="X107" t="e">
        <f>(9.5-K107)/4</f>
        <v>#DIV/0!</v>
      </c>
      <c r="Y107" s="2" t="e">
        <f>IF(X107&lt;0,0,X107)</f>
        <v>#DIV/0!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3</v>
      </c>
      <c r="D113">
        <v>3</v>
      </c>
      <c r="E113">
        <v>12</v>
      </c>
      <c r="F113" s="12">
        <f aca="true" t="shared" si="2" ref="F113:F118">+E113/C113</f>
        <v>4</v>
      </c>
      <c r="G113">
        <v>8</v>
      </c>
    </row>
    <row r="114" spans="1:6" ht="12">
      <c r="A114" t="s">
        <v>104</v>
      </c>
      <c r="F114" s="12" t="e">
        <f t="shared" si="2"/>
        <v>#DIV/0!</v>
      </c>
    </row>
    <row r="115" spans="1:6" ht="12">
      <c r="A115" t="s">
        <v>117</v>
      </c>
      <c r="F115" s="12" t="e">
        <f t="shared" si="2"/>
        <v>#DIV/0!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6" ht="12">
      <c r="A125" t="s">
        <v>119</v>
      </c>
      <c r="C125">
        <v>1</v>
      </c>
      <c r="D125">
        <v>24</v>
      </c>
      <c r="E125" s="12">
        <f t="shared" si="3"/>
        <v>24</v>
      </c>
      <c r="F125">
        <v>24</v>
      </c>
    </row>
    <row r="126" spans="1:6" ht="12">
      <c r="A126" t="s">
        <v>104</v>
      </c>
      <c r="C126">
        <v>1</v>
      </c>
      <c r="D126">
        <v>6</v>
      </c>
      <c r="E126" s="12">
        <f t="shared" si="3"/>
        <v>6</v>
      </c>
      <c r="F126">
        <v>6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6" ht="12">
      <c r="A130" t="s">
        <v>117</v>
      </c>
      <c r="C130">
        <v>1</v>
      </c>
      <c r="D130">
        <v>28</v>
      </c>
      <c r="E130" s="12">
        <f>+D130/C130</f>
        <v>28</v>
      </c>
      <c r="F130">
        <v>28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8</v>
      </c>
      <c r="D133">
        <f>47+24+31+52+31+41+42+41</f>
        <v>309</v>
      </c>
      <c r="E133" s="12"/>
      <c r="F133">
        <v>52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9" ht="12">
      <c r="A141" t="s">
        <v>121</v>
      </c>
      <c r="C141">
        <v>3</v>
      </c>
      <c r="E141">
        <v>2</v>
      </c>
      <c r="F141">
        <v>2</v>
      </c>
      <c r="I141" s="12" t="e">
        <f>+H141/G141*100</f>
        <v>#DIV/0!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5" ht="12">
      <c r="A149" t="s">
        <v>116</v>
      </c>
      <c r="E149" s="12" t="e">
        <f t="shared" si="4"/>
        <v>#DIV/0!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/>
      <c r="D165" s="3"/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/>
      <c r="D170" s="3"/>
    </row>
    <row r="171" spans="1:4" ht="12">
      <c r="A171" t="s">
        <v>133</v>
      </c>
      <c r="C171" s="3"/>
      <c r="D171" s="3"/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spans="1:3" ht="12">
      <c r="A187" t="s">
        <v>129</v>
      </c>
      <c r="C187">
        <v>1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M6" sqref="M6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20</v>
      </c>
      <c r="H6" s="1" t="s">
        <v>29</v>
      </c>
      <c r="M6" s="2">
        <v>21</v>
      </c>
    </row>
    <row r="7" spans="1:13" ht="12">
      <c r="A7" s="18" t="s">
        <v>95</v>
      </c>
      <c r="D7" s="2">
        <v>10</v>
      </c>
      <c r="H7" s="18" t="s">
        <v>95</v>
      </c>
      <c r="M7" s="2">
        <v>11</v>
      </c>
    </row>
    <row r="8" spans="1:13" ht="12">
      <c r="A8" s="18" t="s">
        <v>96</v>
      </c>
      <c r="D8" s="2">
        <v>9</v>
      </c>
      <c r="H8" s="18" t="s">
        <v>96</v>
      </c>
      <c r="M8" s="2">
        <v>8</v>
      </c>
    </row>
    <row r="9" spans="1:13" ht="12">
      <c r="A9" s="18" t="s">
        <v>97</v>
      </c>
      <c r="D9" s="2">
        <v>1</v>
      </c>
      <c r="H9" s="18" t="s">
        <v>97</v>
      </c>
      <c r="M9" s="2">
        <v>2</v>
      </c>
    </row>
    <row r="11" spans="1:23" ht="12">
      <c r="A11" t="s">
        <v>1</v>
      </c>
      <c r="D11" s="2">
        <f>20+6+6+1</f>
        <v>33</v>
      </c>
      <c r="H11" t="s">
        <v>1</v>
      </c>
      <c r="M11" s="2">
        <f>19+14+4+6</f>
        <v>43</v>
      </c>
      <c r="V11">
        <f>+D11</f>
        <v>33</v>
      </c>
      <c r="W11">
        <f>+M11</f>
        <v>43</v>
      </c>
    </row>
    <row r="12" spans="1:23" ht="12">
      <c r="A12" t="s">
        <v>2</v>
      </c>
      <c r="D12" s="2">
        <f>105+38+25+2</f>
        <v>170</v>
      </c>
      <c r="H12" t="s">
        <v>2</v>
      </c>
      <c r="M12" s="2">
        <f>56+61+13+42</f>
        <v>172</v>
      </c>
      <c r="U12" s="13"/>
      <c r="V12">
        <f>+D16</f>
        <v>16</v>
      </c>
      <c r="W12">
        <f>+M16</f>
        <v>13</v>
      </c>
    </row>
    <row r="13" spans="1:23" ht="12">
      <c r="A13" s="1" t="s">
        <v>3</v>
      </c>
      <c r="D13" s="8">
        <f>+D12/D11</f>
        <v>5.151515151515151</v>
      </c>
      <c r="H13" s="1" t="s">
        <v>3</v>
      </c>
      <c r="M13" s="8">
        <f>+M12/M11</f>
        <v>4</v>
      </c>
      <c r="V13">
        <f>+(D15-D16)/2</f>
        <v>5</v>
      </c>
      <c r="W13">
        <f>+(M15-M16)/2</f>
        <v>3</v>
      </c>
    </row>
    <row r="14" spans="22:23" ht="12">
      <c r="V14">
        <f>+D38/2</f>
        <v>2.5</v>
      </c>
      <c r="W14">
        <f>+M38/2</f>
        <v>2</v>
      </c>
    </row>
    <row r="15" spans="1:23" ht="12">
      <c r="A15" t="s">
        <v>4</v>
      </c>
      <c r="D15" s="2">
        <v>26</v>
      </c>
      <c r="H15" t="s">
        <v>4</v>
      </c>
      <c r="M15" s="2">
        <v>19</v>
      </c>
      <c r="V15">
        <f>+D42/2</f>
        <v>2</v>
      </c>
      <c r="W15">
        <f>+M42/2</f>
        <v>1.5</v>
      </c>
    </row>
    <row r="16" spans="1:23" ht="12">
      <c r="A16" t="s">
        <v>5</v>
      </c>
      <c r="D16" s="2">
        <v>16</v>
      </c>
      <c r="H16" t="s">
        <v>5</v>
      </c>
      <c r="M16" s="2">
        <v>13</v>
      </c>
      <c r="V16">
        <f>+D47/2</f>
        <v>0.5</v>
      </c>
      <c r="W16">
        <f>+M47/2</f>
        <v>1</v>
      </c>
    </row>
    <row r="17" spans="1:13" ht="12">
      <c r="A17" t="s">
        <v>6</v>
      </c>
      <c r="D17" s="8">
        <f>+D16/D15*100</f>
        <v>61.53846153846154</v>
      </c>
      <c r="H17" t="s">
        <v>6</v>
      </c>
      <c r="M17" s="8">
        <f>+M16/M15*100</f>
        <v>68.42105263157895</v>
      </c>
    </row>
    <row r="18" spans="1:24" ht="12">
      <c r="A18" t="s">
        <v>7</v>
      </c>
      <c r="D18" s="2">
        <v>166</v>
      </c>
      <c r="H18" t="s">
        <v>7</v>
      </c>
      <c r="M18" s="2">
        <v>186</v>
      </c>
      <c r="V18">
        <f>SUM(V11:V16)</f>
        <v>59</v>
      </c>
      <c r="W18">
        <f>SUM(W11:W16)</f>
        <v>63.5</v>
      </c>
      <c r="X18">
        <f>+W18+V18</f>
        <v>122.5</v>
      </c>
    </row>
    <row r="19" spans="1:23" ht="12">
      <c r="A19" t="s">
        <v>8</v>
      </c>
      <c r="D19" s="2">
        <v>3</v>
      </c>
      <c r="H19" t="s">
        <v>8</v>
      </c>
      <c r="M19" s="2">
        <v>2</v>
      </c>
      <c r="V19">
        <f>+V18/X18</f>
        <v>0.4816326530612245</v>
      </c>
      <c r="W19">
        <f>+W18/X18</f>
        <v>0.5183673469387755</v>
      </c>
    </row>
    <row r="20" spans="1:23" ht="12">
      <c r="A20" t="s">
        <v>9</v>
      </c>
      <c r="D20" s="2">
        <f>5+15+7</f>
        <v>27</v>
      </c>
      <c r="H20" t="s">
        <v>9</v>
      </c>
      <c r="M20" s="2">
        <v>14</v>
      </c>
      <c r="V20">
        <f>+V19*60</f>
        <v>28.89795918367347</v>
      </c>
      <c r="W20">
        <f>+W19*60</f>
        <v>31.10204081632653</v>
      </c>
    </row>
    <row r="21" spans="1:23" ht="12">
      <c r="A21" t="s">
        <v>10</v>
      </c>
      <c r="D21">
        <f>+D18-D20</f>
        <v>139</v>
      </c>
      <c r="H21" t="s">
        <v>10</v>
      </c>
      <c r="M21">
        <f>+M18-M20</f>
        <v>172</v>
      </c>
      <c r="V21">
        <f>+V20-INT(V20)</f>
        <v>0.8979591836734713</v>
      </c>
      <c r="W21">
        <f>+W20-INT(W20)</f>
        <v>0.10204081632652873</v>
      </c>
    </row>
    <row r="22" spans="1:23" ht="12">
      <c r="A22" t="s">
        <v>11</v>
      </c>
      <c r="D22" s="7">
        <f>+D21/(D15+D19)</f>
        <v>4.793103448275862</v>
      </c>
      <c r="H22" t="s">
        <v>11</v>
      </c>
      <c r="M22" s="7">
        <f>+M21/(M15+M19)</f>
        <v>8.19047619047619</v>
      </c>
      <c r="V22">
        <f>+V21*60</f>
        <v>53.877551020408276</v>
      </c>
      <c r="W22">
        <f>+W21*60</f>
        <v>6.122448979591724</v>
      </c>
    </row>
    <row r="23" spans="1:23" ht="12">
      <c r="A23" t="s">
        <v>12</v>
      </c>
      <c r="D23" s="7">
        <f>+D18/D16</f>
        <v>10.375</v>
      </c>
      <c r="H23" t="s">
        <v>12</v>
      </c>
      <c r="M23" s="7">
        <f>+M18/M16</f>
        <v>14.307692307692308</v>
      </c>
      <c r="U23">
        <v>0</v>
      </c>
      <c r="V23" s="11">
        <f>ROUND(V22,0)</f>
        <v>54</v>
      </c>
      <c r="W23">
        <f>ROUND(W22,0)</f>
        <v>6</v>
      </c>
    </row>
    <row r="24" spans="22:23" ht="12">
      <c r="V24">
        <f>INT(V20)</f>
        <v>28</v>
      </c>
      <c r="W24">
        <f>INT(W20)</f>
        <v>31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309</v>
      </c>
      <c r="H26" t="s">
        <v>14</v>
      </c>
      <c r="M26">
        <f>+M21+M12</f>
        <v>344</v>
      </c>
      <c r="V26" s="14" t="str">
        <f>+V24&amp;V25&amp;V23</f>
        <v>28:54</v>
      </c>
      <c r="W26" s="9" t="str">
        <f>+W24&amp;W25&amp;W23</f>
        <v>31:6</v>
      </c>
    </row>
    <row r="27" spans="1:23" ht="12">
      <c r="A27" t="s">
        <v>15</v>
      </c>
      <c r="D27" s="7">
        <f>+D12/D26*100</f>
        <v>55.016181229773466</v>
      </c>
      <c r="H27" t="s">
        <v>15</v>
      </c>
      <c r="M27" s="7">
        <f>+M12/M26*100</f>
        <v>50</v>
      </c>
      <c r="V27" s="9" t="str">
        <f>IF(V23&lt;10,+V24&amp;V25&amp;$U$23&amp;V23,+V24&amp;V25&amp;V23)</f>
        <v>28:54</v>
      </c>
      <c r="W27" s="9" t="str">
        <f>IF(W23&lt;10,+W24&amp;W25&amp;$U$23&amp;W23,+W24&amp;W25&amp;W23)</f>
        <v>31:06</v>
      </c>
    </row>
    <row r="28" spans="1:13" ht="12">
      <c r="A28" s="1" t="s">
        <v>90</v>
      </c>
      <c r="D28" s="7">
        <f>+D21/D26*100</f>
        <v>44.983818770226534</v>
      </c>
      <c r="H28" s="1" t="s">
        <v>90</v>
      </c>
      <c r="M28" s="7">
        <f>+M21/M26*100</f>
        <v>50</v>
      </c>
    </row>
    <row r="30" spans="1:13" ht="12">
      <c r="A30" t="s">
        <v>16</v>
      </c>
      <c r="D30">
        <f>+D11+D15+D19</f>
        <v>62</v>
      </c>
      <c r="H30" t="s">
        <v>16</v>
      </c>
      <c r="M30">
        <f>+M11+M15+M19</f>
        <v>64</v>
      </c>
    </row>
    <row r="31" spans="1:13" ht="12">
      <c r="A31" t="s">
        <v>17</v>
      </c>
      <c r="D31" s="8">
        <f>+D26/D30</f>
        <v>4.983870967741935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5.375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0</v>
      </c>
      <c r="H34" t="s">
        <v>19</v>
      </c>
      <c r="M34" s="2">
        <v>1</v>
      </c>
    </row>
    <row r="35" spans="1:13" ht="12">
      <c r="A35" t="s">
        <v>20</v>
      </c>
      <c r="D35" s="2">
        <v>0</v>
      </c>
      <c r="H35" t="s">
        <v>20</v>
      </c>
      <c r="M35" s="2">
        <v>11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5</v>
      </c>
      <c r="H38" t="s">
        <v>22</v>
      </c>
      <c r="M38" s="2">
        <v>4</v>
      </c>
    </row>
    <row r="39" spans="1:13" ht="12">
      <c r="A39" t="s">
        <v>23</v>
      </c>
      <c r="D39" s="2">
        <f>41+44+54+54+52</f>
        <v>245</v>
      </c>
      <c r="H39" t="s">
        <v>23</v>
      </c>
      <c r="M39" s="2">
        <f>37+54+48+41</f>
        <v>180</v>
      </c>
    </row>
    <row r="40" spans="1:13" ht="12">
      <c r="A40" t="s">
        <v>24</v>
      </c>
      <c r="D40" s="8">
        <f>+D39/D38</f>
        <v>49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45</v>
      </c>
    </row>
    <row r="42" spans="1:13" ht="12">
      <c r="A42" t="s">
        <v>25</v>
      </c>
      <c r="D42" s="2">
        <v>4</v>
      </c>
      <c r="H42" t="s">
        <v>25</v>
      </c>
      <c r="M42" s="2">
        <v>3</v>
      </c>
    </row>
    <row r="43" spans="1:13" ht="12">
      <c r="A43" t="s">
        <v>26</v>
      </c>
      <c r="D43" s="2">
        <f>3+4+10+0</f>
        <v>17</v>
      </c>
      <c r="H43" t="s">
        <v>26</v>
      </c>
      <c r="M43" s="2">
        <f>10+0+4</f>
        <v>14</v>
      </c>
    </row>
    <row r="44" spans="1:13" ht="12">
      <c r="A44" t="s">
        <v>27</v>
      </c>
      <c r="D44" s="8">
        <f>+D43/D42</f>
        <v>4.25</v>
      </c>
      <c r="H44" t="s">
        <v>27</v>
      </c>
      <c r="M44" s="8">
        <f>+M43/M42</f>
        <v>4.666666666666667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1</v>
      </c>
      <c r="H47" t="s">
        <v>30</v>
      </c>
      <c r="M47" s="2">
        <v>2</v>
      </c>
    </row>
    <row r="48" spans="1:13" ht="12">
      <c r="A48" t="s">
        <v>26</v>
      </c>
      <c r="D48" s="2">
        <v>9</v>
      </c>
      <c r="H48" t="s">
        <v>26</v>
      </c>
      <c r="M48" s="2">
        <f>19+21</f>
        <v>40</v>
      </c>
    </row>
    <row r="49" spans="1:13" ht="12">
      <c r="A49" t="s">
        <v>27</v>
      </c>
      <c r="D49" s="8">
        <f>+D48/D47</f>
        <v>9</v>
      </c>
      <c r="H49" t="s">
        <v>27</v>
      </c>
      <c r="M49" s="8">
        <f>+M48/M47</f>
        <v>20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3</v>
      </c>
      <c r="H52" t="s">
        <v>31</v>
      </c>
      <c r="M52" s="2">
        <v>5</v>
      </c>
    </row>
    <row r="53" spans="1:13" ht="12">
      <c r="A53" t="s">
        <v>32</v>
      </c>
      <c r="D53" s="2">
        <v>35</v>
      </c>
      <c r="H53" t="s">
        <v>32</v>
      </c>
      <c r="M53" s="2">
        <v>51</v>
      </c>
    </row>
    <row r="55" spans="1:13" ht="12">
      <c r="A55" t="s">
        <v>33</v>
      </c>
      <c r="D55" s="2">
        <v>1</v>
      </c>
      <c r="H55" t="s">
        <v>33</v>
      </c>
      <c r="M55" s="2">
        <v>3</v>
      </c>
    </row>
    <row r="56" spans="1:13" ht="12">
      <c r="A56" t="s">
        <v>34</v>
      </c>
      <c r="D56" s="2">
        <v>0</v>
      </c>
      <c r="H56" t="s">
        <v>34</v>
      </c>
      <c r="M56" s="2">
        <v>3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1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13</v>
      </c>
      <c r="H61" t="s">
        <v>38</v>
      </c>
      <c r="M61" s="2">
        <v>17</v>
      </c>
    </row>
    <row r="62" spans="1:13" ht="12">
      <c r="A62" t="s">
        <v>39</v>
      </c>
      <c r="D62" s="2">
        <v>1</v>
      </c>
      <c r="H62" t="s">
        <v>39</v>
      </c>
      <c r="M62" s="2">
        <v>2</v>
      </c>
    </row>
    <row r="63" spans="1:13" ht="12">
      <c r="A63" t="s">
        <v>40</v>
      </c>
      <c r="D63" s="2">
        <v>1</v>
      </c>
      <c r="H63" t="s">
        <v>40</v>
      </c>
      <c r="M63" s="2">
        <v>1</v>
      </c>
    </row>
    <row r="64" spans="1:13" ht="12">
      <c r="A64" t="s">
        <v>41</v>
      </c>
      <c r="D64" s="2">
        <v>0</v>
      </c>
      <c r="H64" t="s">
        <v>41</v>
      </c>
      <c r="M64" s="2">
        <v>1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1</v>
      </c>
      <c r="H66" t="s">
        <v>43</v>
      </c>
      <c r="M66" s="2">
        <v>2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2</v>
      </c>
      <c r="H68" t="s">
        <v>45</v>
      </c>
      <c r="M68" s="2">
        <v>1</v>
      </c>
    </row>
    <row r="69" spans="1:13" ht="12">
      <c r="A69" t="s">
        <v>46</v>
      </c>
      <c r="D69" s="2">
        <v>2</v>
      </c>
      <c r="H69" t="s">
        <v>46</v>
      </c>
      <c r="M69" s="2">
        <v>2</v>
      </c>
    </row>
    <row r="70" spans="1:13" ht="12">
      <c r="A70" t="s">
        <v>47</v>
      </c>
      <c r="D70" s="8">
        <f>+D68/D69*100</f>
        <v>100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50</v>
      </c>
    </row>
    <row r="71" spans="1:13" ht="12">
      <c r="A71" t="s">
        <v>93</v>
      </c>
      <c r="D71" s="10" t="str">
        <f>IF(V23&lt;10,V27,V26)</f>
        <v>28:54</v>
      </c>
      <c r="E71" s="8"/>
      <c r="F71" s="8"/>
      <c r="H71" t="s">
        <v>93</v>
      </c>
      <c r="M71" s="10" t="str">
        <f>IF(W23&lt;10,W27,W26)</f>
        <v>31:06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5" ht="12">
      <c r="A75" t="s">
        <v>100</v>
      </c>
      <c r="E75" s="12" t="e">
        <f>+D75/C75</f>
        <v>#DIV/0!</v>
      </c>
    </row>
    <row r="76" spans="1:6" ht="12">
      <c r="A76" t="s">
        <v>101</v>
      </c>
      <c r="C76">
        <v>1</v>
      </c>
      <c r="D76">
        <v>2</v>
      </c>
      <c r="E76" s="12">
        <f>+D76/C76</f>
        <v>2</v>
      </c>
      <c r="F76">
        <v>2</v>
      </c>
    </row>
    <row r="77" spans="1:5" ht="12">
      <c r="A77" t="s">
        <v>102</v>
      </c>
      <c r="E77" s="12" t="e">
        <f>+D77/C77</f>
        <v>#DIV/0!</v>
      </c>
    </row>
    <row r="78" spans="1:7" ht="12">
      <c r="A78" t="s">
        <v>103</v>
      </c>
      <c r="C78">
        <v>6</v>
      </c>
      <c r="D78">
        <v>38</v>
      </c>
      <c r="E78" s="12">
        <f aca="true" t="shared" si="0" ref="E78:E84">+D78/C78</f>
        <v>6.333333333333333</v>
      </c>
      <c r="F78">
        <v>21</v>
      </c>
      <c r="G78">
        <v>1</v>
      </c>
    </row>
    <row r="79" spans="1:6" ht="12">
      <c r="A79" t="s">
        <v>104</v>
      </c>
      <c r="C79">
        <v>20</v>
      </c>
      <c r="D79">
        <v>105</v>
      </c>
      <c r="E79" s="12">
        <f t="shared" si="0"/>
        <v>5.25</v>
      </c>
      <c r="F79">
        <v>21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6</v>
      </c>
      <c r="D83">
        <v>25</v>
      </c>
      <c r="E83" s="12">
        <f t="shared" si="0"/>
        <v>4.166666666666667</v>
      </c>
      <c r="F83">
        <v>15</v>
      </c>
    </row>
    <row r="84" spans="1:5" ht="12">
      <c r="A84" t="s">
        <v>109</v>
      </c>
      <c r="E84" s="12" t="e">
        <f t="shared" si="0"/>
        <v>#DIV/0!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5" ht="12">
      <c r="A91" t="s">
        <v>103</v>
      </c>
      <c r="E91" s="12" t="e">
        <f t="shared" si="1"/>
        <v>#DIV/0!</v>
      </c>
    </row>
    <row r="92" spans="1:6" ht="12">
      <c r="A92" t="s">
        <v>104</v>
      </c>
      <c r="C92">
        <v>2</v>
      </c>
      <c r="D92">
        <v>16</v>
      </c>
      <c r="E92" s="12">
        <f t="shared" si="1"/>
        <v>8</v>
      </c>
      <c r="F92">
        <v>11</v>
      </c>
    </row>
    <row r="93" spans="1:5" ht="12">
      <c r="A93" s="2" t="s">
        <v>105</v>
      </c>
      <c r="E93" s="12" t="e">
        <f t="shared" si="1"/>
        <v>#DIV/0!</v>
      </c>
    </row>
    <row r="94" spans="1:6" ht="12">
      <c r="A94" t="s">
        <v>113</v>
      </c>
      <c r="C94">
        <v>3</v>
      </c>
      <c r="D94">
        <v>51</v>
      </c>
      <c r="E94" s="12">
        <f t="shared" si="1"/>
        <v>17</v>
      </c>
      <c r="F94">
        <v>24</v>
      </c>
    </row>
    <row r="95" spans="1:5" ht="12">
      <c r="A95" t="s">
        <v>108</v>
      </c>
      <c r="E95" s="12" t="e">
        <f t="shared" si="1"/>
        <v>#DIV/0!</v>
      </c>
    </row>
    <row r="96" spans="1:6" ht="12">
      <c r="A96" t="s">
        <v>114</v>
      </c>
      <c r="C96">
        <v>2</v>
      </c>
      <c r="D96">
        <v>19</v>
      </c>
      <c r="E96" s="12">
        <f t="shared" si="1"/>
        <v>9.5</v>
      </c>
      <c r="F96">
        <v>11</v>
      </c>
    </row>
    <row r="97" spans="1:6" ht="12">
      <c r="A97" t="s">
        <v>115</v>
      </c>
      <c r="C97">
        <v>9</v>
      </c>
      <c r="D97">
        <v>80</v>
      </c>
      <c r="E97" s="12">
        <f t="shared" si="1"/>
        <v>8.88888888888889</v>
      </c>
      <c r="F97">
        <v>31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E106" s="12" t="e">
        <f>+D106/C106*100</f>
        <v>#DIV/0!</v>
      </c>
      <c r="J106" s="8" t="e">
        <f>+G106/C106*100</f>
        <v>#DIV/0!</v>
      </c>
      <c r="K106" s="12" t="e">
        <f>+I106/C106*100</f>
        <v>#DIV/0!</v>
      </c>
      <c r="L106" s="12" t="e">
        <f>+F106/C106</f>
        <v>#DIV/0!</v>
      </c>
      <c r="M106" s="12" t="e">
        <f>100*(S106+U106+W106+Y106)/6</f>
        <v>#DIV/0!</v>
      </c>
      <c r="R106" t="e">
        <f>+(E106-30)/20</f>
        <v>#DIV/0!</v>
      </c>
      <c r="S106" s="2" t="e">
        <f>IF(R106&lt;0,0,R106)</f>
        <v>#DIV/0!</v>
      </c>
      <c r="T106" s="6" t="e">
        <f>+(L106-3)/4</f>
        <v>#DIV/0!</v>
      </c>
      <c r="U106" s="2" t="e">
        <f>IF(T106&lt;0,0,T106)</f>
        <v>#DIV/0!</v>
      </c>
      <c r="V106" t="e">
        <f>+J106/5</f>
        <v>#DIV/0!</v>
      </c>
      <c r="W106" s="2" t="e">
        <f>IF(V106&lt;0,0,V106)</f>
        <v>#DIV/0!</v>
      </c>
      <c r="X106" t="e">
        <f>(9.5-K106)/4</f>
        <v>#DIV/0!</v>
      </c>
      <c r="Y106" s="2" t="e">
        <f>IF(X106&lt;0,0,X106)</f>
        <v>#DIV/0!</v>
      </c>
    </row>
    <row r="107" spans="1:25" ht="12">
      <c r="A107" t="s">
        <v>101</v>
      </c>
      <c r="C107">
        <v>26</v>
      </c>
      <c r="D107">
        <v>16</v>
      </c>
      <c r="E107" s="12">
        <f>+D107/C107*100</f>
        <v>61.53846153846154</v>
      </c>
      <c r="F107">
        <v>166</v>
      </c>
      <c r="G107">
        <v>0</v>
      </c>
      <c r="H107">
        <v>31</v>
      </c>
      <c r="I107">
        <v>0</v>
      </c>
      <c r="J107" s="8"/>
      <c r="K107" s="12">
        <f>+I107/C107*100</f>
        <v>0</v>
      </c>
      <c r="L107" s="12">
        <f>+F107/C107</f>
        <v>6.384615384615385</v>
      </c>
      <c r="M107" s="12">
        <f>100*(S107+U107+W107+Y107)/6</f>
        <v>79.96794871794872</v>
      </c>
      <c r="N107">
        <v>1</v>
      </c>
      <c r="O107">
        <v>3</v>
      </c>
      <c r="R107">
        <f>+(E107-30)/20</f>
        <v>1.576923076923077</v>
      </c>
      <c r="S107" s="2">
        <f>IF(R107&lt;0,0,R107)</f>
        <v>1.576923076923077</v>
      </c>
      <c r="T107" s="6">
        <f>+(L107-3)/4</f>
        <v>0.8461538461538463</v>
      </c>
      <c r="U107" s="2">
        <f>IF(T107&lt;0,0,T107)</f>
        <v>0.8461538461538463</v>
      </c>
      <c r="V107">
        <f>+J107/5</f>
        <v>0</v>
      </c>
      <c r="W107" s="2">
        <f>IF(V107&lt;0,0,V107)</f>
        <v>0</v>
      </c>
      <c r="X107">
        <f>(9.5-K107)/4</f>
        <v>2.375</v>
      </c>
      <c r="Y107" s="2">
        <f>IF(X107&lt;0,0,X107)</f>
        <v>2.375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2</v>
      </c>
      <c r="E113">
        <v>7</v>
      </c>
      <c r="F113" s="12">
        <f aca="true" t="shared" si="2" ref="F113:F118">+E113/C113</f>
        <v>3.5</v>
      </c>
      <c r="G113">
        <v>4</v>
      </c>
    </row>
    <row r="114" spans="1:6" ht="12">
      <c r="A114" t="s">
        <v>104</v>
      </c>
      <c r="F114" s="12" t="e">
        <f t="shared" si="2"/>
        <v>#DIV/0!</v>
      </c>
    </row>
    <row r="115" spans="1:7" ht="12">
      <c r="A115" t="s">
        <v>117</v>
      </c>
      <c r="C115">
        <v>2</v>
      </c>
      <c r="E115">
        <v>10</v>
      </c>
      <c r="F115" s="12">
        <f t="shared" si="2"/>
        <v>5</v>
      </c>
      <c r="G115">
        <v>10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5" ht="12">
      <c r="A125" t="s">
        <v>119</v>
      </c>
      <c r="E125" s="12" t="e">
        <f t="shared" si="3"/>
        <v>#DIV/0!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6" ht="12">
      <c r="A130" t="s">
        <v>117</v>
      </c>
      <c r="C130">
        <v>1</v>
      </c>
      <c r="D130">
        <v>9</v>
      </c>
      <c r="E130" s="12">
        <f>+D130/C130</f>
        <v>9</v>
      </c>
      <c r="F130">
        <v>9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5</v>
      </c>
      <c r="D133">
        <f>41+44+54+54+52</f>
        <v>245</v>
      </c>
      <c r="E133" s="12"/>
      <c r="F133">
        <v>54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7" ht="12">
      <c r="A141" t="s">
        <v>121</v>
      </c>
      <c r="C141">
        <v>4</v>
      </c>
      <c r="D141">
        <v>2</v>
      </c>
      <c r="E141">
        <v>1</v>
      </c>
      <c r="F141">
        <v>1</v>
      </c>
      <c r="G141">
        <v>2</v>
      </c>
      <c r="H141">
        <v>2</v>
      </c>
      <c r="I141" s="12">
        <f>+H141/G141*100</f>
        <v>100</v>
      </c>
      <c r="J141">
        <v>31</v>
      </c>
      <c r="L141">
        <v>1</v>
      </c>
      <c r="M141">
        <v>1</v>
      </c>
      <c r="P141">
        <v>1</v>
      </c>
      <c r="Q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5" ht="12">
      <c r="A149" t="s">
        <v>116</v>
      </c>
      <c r="E149" s="12" t="e">
        <f t="shared" si="4"/>
        <v>#DIV/0!</v>
      </c>
    </row>
    <row r="150" spans="1:6" ht="12">
      <c r="A150" t="s">
        <v>124</v>
      </c>
      <c r="C150">
        <v>1</v>
      </c>
      <c r="D150">
        <v>11</v>
      </c>
      <c r="E150" s="12">
        <f t="shared" si="4"/>
        <v>11</v>
      </c>
      <c r="F150">
        <v>11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/>
      <c r="D165" s="3"/>
    </row>
    <row r="166" spans="1:4" ht="12">
      <c r="A166" t="s">
        <v>129</v>
      </c>
      <c r="C166" s="3">
        <v>1</v>
      </c>
      <c r="D166" s="3">
        <v>7</v>
      </c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>
        <v>1</v>
      </c>
      <c r="D168" s="3">
        <v>7</v>
      </c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/>
      <c r="D170" s="3"/>
    </row>
    <row r="171" spans="1:4" ht="12">
      <c r="A171" t="s">
        <v>133</v>
      </c>
      <c r="C171" s="3"/>
      <c r="D171" s="3"/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C1" sqref="C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17</v>
      </c>
      <c r="H6" s="1" t="s">
        <v>29</v>
      </c>
      <c r="M6" s="2">
        <v>11</v>
      </c>
    </row>
    <row r="7" spans="1:13" ht="12">
      <c r="A7" s="18" t="s">
        <v>95</v>
      </c>
      <c r="D7" s="2">
        <v>9</v>
      </c>
      <c r="H7" s="18" t="s">
        <v>95</v>
      </c>
      <c r="M7" s="2">
        <v>5</v>
      </c>
    </row>
    <row r="8" spans="1:13" ht="12">
      <c r="A8" s="18" t="s">
        <v>96</v>
      </c>
      <c r="D8" s="2">
        <v>7</v>
      </c>
      <c r="H8" s="18" t="s">
        <v>96</v>
      </c>
      <c r="M8" s="2">
        <v>6</v>
      </c>
    </row>
    <row r="9" spans="1:13" ht="12">
      <c r="A9" s="18" t="s">
        <v>97</v>
      </c>
      <c r="D9" s="2">
        <v>1</v>
      </c>
      <c r="H9" s="18" t="s">
        <v>97</v>
      </c>
      <c r="M9" s="2">
        <v>0</v>
      </c>
    </row>
    <row r="11" spans="1:23" ht="12">
      <c r="A11" t="s">
        <v>1</v>
      </c>
      <c r="D11" s="2">
        <f>15+6+5+3</f>
        <v>29</v>
      </c>
      <c r="H11" t="s">
        <v>1</v>
      </c>
      <c r="M11" s="2">
        <f>18+13+4+1</f>
        <v>36</v>
      </c>
      <c r="V11">
        <f>+D11</f>
        <v>29</v>
      </c>
      <c r="W11">
        <f>+M11</f>
        <v>36</v>
      </c>
    </row>
    <row r="12" spans="1:23" ht="12">
      <c r="A12" t="s">
        <v>2</v>
      </c>
      <c r="D12" s="2">
        <f>90+38+0+9</f>
        <v>137</v>
      </c>
      <c r="H12" t="s">
        <v>2</v>
      </c>
      <c r="M12" s="2">
        <f>57+22+23+16</f>
        <v>118</v>
      </c>
      <c r="U12" s="13"/>
      <c r="V12">
        <f>+D16</f>
        <v>16</v>
      </c>
      <c r="W12">
        <f>+M16</f>
        <v>10</v>
      </c>
    </row>
    <row r="13" spans="1:23" ht="12">
      <c r="A13" s="1" t="s">
        <v>3</v>
      </c>
      <c r="D13" s="8">
        <f>+D12/D11</f>
        <v>4.724137931034483</v>
      </c>
      <c r="H13" s="1" t="s">
        <v>3</v>
      </c>
      <c r="M13" s="8">
        <f>+M12/M11</f>
        <v>3.2777777777777777</v>
      </c>
      <c r="V13">
        <f>+(D15-D16)/2</f>
        <v>8.5</v>
      </c>
      <c r="W13">
        <f>+(M15-M16)/2</f>
        <v>3.5</v>
      </c>
    </row>
    <row r="14" spans="22:23" ht="12">
      <c r="V14">
        <f>+D38/2</f>
        <v>2</v>
      </c>
      <c r="W14">
        <f>+M38/2</f>
        <v>3</v>
      </c>
    </row>
    <row r="15" spans="1:23" ht="12">
      <c r="A15" t="s">
        <v>4</v>
      </c>
      <c r="D15" s="2">
        <v>33</v>
      </c>
      <c r="H15" t="s">
        <v>4</v>
      </c>
      <c r="M15" s="2">
        <v>17</v>
      </c>
      <c r="V15">
        <f>+D42/2</f>
        <v>1</v>
      </c>
      <c r="W15">
        <f>+M42/2</f>
        <v>1</v>
      </c>
    </row>
    <row r="16" spans="1:23" ht="12">
      <c r="A16" t="s">
        <v>5</v>
      </c>
      <c r="D16" s="2">
        <v>16</v>
      </c>
      <c r="H16" t="s">
        <v>5</v>
      </c>
      <c r="M16" s="2">
        <v>10</v>
      </c>
      <c r="V16">
        <f>+D47/2</f>
        <v>3</v>
      </c>
      <c r="W16">
        <f>+M47/2</f>
        <v>1.5</v>
      </c>
    </row>
    <row r="17" spans="1:13" ht="12">
      <c r="A17" t="s">
        <v>6</v>
      </c>
      <c r="D17" s="8">
        <f>+D16/D15*100</f>
        <v>48.484848484848484</v>
      </c>
      <c r="H17" t="s">
        <v>6</v>
      </c>
      <c r="M17" s="8">
        <f>+M16/M15*100</f>
        <v>58.82352941176471</v>
      </c>
    </row>
    <row r="18" spans="1:24" ht="12">
      <c r="A18" t="s">
        <v>7</v>
      </c>
      <c r="D18" s="2">
        <v>163</v>
      </c>
      <c r="H18" t="s">
        <v>7</v>
      </c>
      <c r="M18" s="2">
        <v>156</v>
      </c>
      <c r="V18">
        <f>SUM(V11:V16)</f>
        <v>59.5</v>
      </c>
      <c r="W18">
        <f>SUM(W11:W16)</f>
        <v>55</v>
      </c>
      <c r="X18">
        <f>+W18+V18</f>
        <v>114.5</v>
      </c>
    </row>
    <row r="19" spans="1:23" ht="12">
      <c r="A19" t="s">
        <v>8</v>
      </c>
      <c r="D19" s="2">
        <v>2</v>
      </c>
      <c r="H19" t="s">
        <v>8</v>
      </c>
      <c r="M19" s="2">
        <v>1</v>
      </c>
      <c r="V19">
        <f>+V18/X18</f>
        <v>0.519650655021834</v>
      </c>
      <c r="W19">
        <f>+W18/X18</f>
        <v>0.48034934497816595</v>
      </c>
    </row>
    <row r="20" spans="1:23" ht="12">
      <c r="A20" t="s">
        <v>9</v>
      </c>
      <c r="D20" s="2">
        <v>8</v>
      </c>
      <c r="H20" t="s">
        <v>9</v>
      </c>
      <c r="M20" s="2">
        <v>4</v>
      </c>
      <c r="V20">
        <f>+V19*60</f>
        <v>31.17903930131004</v>
      </c>
      <c r="W20">
        <f>+W19*60</f>
        <v>28.82096069868996</v>
      </c>
    </row>
    <row r="21" spans="1:23" ht="12">
      <c r="A21" t="s">
        <v>10</v>
      </c>
      <c r="D21">
        <f>+D18-D20</f>
        <v>155</v>
      </c>
      <c r="H21" t="s">
        <v>10</v>
      </c>
      <c r="M21">
        <f>+M18-M20</f>
        <v>152</v>
      </c>
      <c r="V21">
        <f>+V20-INT(V20)</f>
        <v>0.1790393013100413</v>
      </c>
      <c r="W21">
        <f>+W20-INT(W20)</f>
        <v>0.8209606986899587</v>
      </c>
    </row>
    <row r="22" spans="1:23" ht="12">
      <c r="A22" t="s">
        <v>11</v>
      </c>
      <c r="D22" s="7">
        <f>+D21/(D15+D19)</f>
        <v>4.428571428571429</v>
      </c>
      <c r="H22" t="s">
        <v>11</v>
      </c>
      <c r="M22" s="7">
        <f>+M21/(M15+M19)</f>
        <v>8.444444444444445</v>
      </c>
      <c r="V22">
        <f>+V21*60</f>
        <v>10.742358078602479</v>
      </c>
      <c r="W22">
        <f>+W21*60</f>
        <v>49.25764192139752</v>
      </c>
    </row>
    <row r="23" spans="1:23" ht="12">
      <c r="A23" t="s">
        <v>12</v>
      </c>
      <c r="D23" s="7">
        <f>+D18/D16</f>
        <v>10.1875</v>
      </c>
      <c r="H23" t="s">
        <v>12</v>
      </c>
      <c r="M23" s="7">
        <f>+M18/M16</f>
        <v>15.6</v>
      </c>
      <c r="U23">
        <v>0</v>
      </c>
      <c r="V23" s="11">
        <f>ROUND(V22,0)</f>
        <v>11</v>
      </c>
      <c r="W23">
        <f>ROUND(W22,0)</f>
        <v>49</v>
      </c>
    </row>
    <row r="24" spans="22:23" ht="12">
      <c r="V24">
        <f>INT(V20)</f>
        <v>31</v>
      </c>
      <c r="W24">
        <f>INT(W20)</f>
        <v>28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292</v>
      </c>
      <c r="H26" t="s">
        <v>14</v>
      </c>
      <c r="M26">
        <f>+M21+M12</f>
        <v>270</v>
      </c>
      <c r="V26" s="14" t="str">
        <f>+V24&amp;V25&amp;V23</f>
        <v>31:11</v>
      </c>
      <c r="W26" s="9" t="str">
        <f>+W24&amp;W25&amp;W23</f>
        <v>28:49</v>
      </c>
    </row>
    <row r="27" spans="1:23" ht="12">
      <c r="A27" t="s">
        <v>15</v>
      </c>
      <c r="D27" s="7">
        <f>+D12/D26*100</f>
        <v>46.917808219178085</v>
      </c>
      <c r="H27" t="s">
        <v>15</v>
      </c>
      <c r="M27" s="7">
        <f>+M12/M26*100</f>
        <v>43.7037037037037</v>
      </c>
      <c r="V27" s="9" t="str">
        <f>IF(V23&lt;10,+V24&amp;V25&amp;$U$23&amp;V23,+V24&amp;V25&amp;V23)</f>
        <v>31:11</v>
      </c>
      <c r="W27" s="9" t="str">
        <f>IF(W23&lt;10,+W24&amp;W25&amp;$U$23&amp;W23,+W24&amp;W25&amp;W23)</f>
        <v>28:49</v>
      </c>
    </row>
    <row r="28" spans="1:13" ht="12">
      <c r="A28" s="1" t="s">
        <v>90</v>
      </c>
      <c r="D28" s="7">
        <f>+D21/D26*100</f>
        <v>53.082191780821915</v>
      </c>
      <c r="H28" s="1" t="s">
        <v>90</v>
      </c>
      <c r="M28" s="7">
        <f>+M21/M26*100</f>
        <v>56.2962962962963</v>
      </c>
    </row>
    <row r="30" spans="1:13" ht="12">
      <c r="A30" t="s">
        <v>16</v>
      </c>
      <c r="D30">
        <f>+D11+D15+D19</f>
        <v>64</v>
      </c>
      <c r="H30" t="s">
        <v>16</v>
      </c>
      <c r="M30">
        <f>+M11+M15+M19</f>
        <v>54</v>
      </c>
    </row>
    <row r="31" spans="1:13" ht="12">
      <c r="A31" t="s">
        <v>17</v>
      </c>
      <c r="D31" s="8">
        <f>+D26/D30</f>
        <v>4.5625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1</v>
      </c>
      <c r="H34" t="s">
        <v>19</v>
      </c>
      <c r="M34" s="2">
        <v>0</v>
      </c>
    </row>
    <row r="35" spans="1:13" ht="12">
      <c r="A35" t="s">
        <v>20</v>
      </c>
      <c r="D35" s="2">
        <v>-2</v>
      </c>
      <c r="H35" t="s">
        <v>20</v>
      </c>
      <c r="M35" s="2">
        <v>0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4</v>
      </c>
      <c r="H38" t="s">
        <v>22</v>
      </c>
      <c r="M38" s="2">
        <v>6</v>
      </c>
    </row>
    <row r="39" spans="1:13" ht="12">
      <c r="A39" t="s">
        <v>23</v>
      </c>
      <c r="D39" s="2">
        <f>34+40+34+42</f>
        <v>150</v>
      </c>
      <c r="H39" t="s">
        <v>23</v>
      </c>
      <c r="M39" s="2">
        <f>41+37+41+42+52+44</f>
        <v>257</v>
      </c>
    </row>
    <row r="40" spans="1:13" ht="12">
      <c r="A40" t="s">
        <v>24</v>
      </c>
      <c r="D40" s="8">
        <f>+D39/D38</f>
        <v>37.5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42.833333333333336</v>
      </c>
    </row>
    <row r="42" spans="1:13" ht="12">
      <c r="A42" t="s">
        <v>25</v>
      </c>
      <c r="D42" s="2">
        <v>2</v>
      </c>
      <c r="H42" t="s">
        <v>25</v>
      </c>
      <c r="M42" s="2">
        <v>2</v>
      </c>
    </row>
    <row r="43" spans="1:13" ht="12">
      <c r="A43" t="s">
        <v>26</v>
      </c>
      <c r="D43" s="2">
        <v>17</v>
      </c>
      <c r="H43" t="s">
        <v>26</v>
      </c>
      <c r="M43" s="2">
        <v>4</v>
      </c>
    </row>
    <row r="44" spans="1:13" ht="12">
      <c r="A44" t="s">
        <v>27</v>
      </c>
      <c r="D44" s="8">
        <f>+D43/D42</f>
        <v>8.5</v>
      </c>
      <c r="H44" t="s">
        <v>27</v>
      </c>
      <c r="M44" s="8">
        <f>+M43/M42</f>
        <v>2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6</v>
      </c>
      <c r="H47" t="s">
        <v>30</v>
      </c>
      <c r="M47" s="2">
        <v>3</v>
      </c>
    </row>
    <row r="48" spans="1:13" ht="12">
      <c r="A48" t="s">
        <v>26</v>
      </c>
      <c r="D48" s="2">
        <f>34+19+19+10+13+20</f>
        <v>115</v>
      </c>
      <c r="H48" t="s">
        <v>26</v>
      </c>
      <c r="M48" s="2">
        <f>8+94+22</f>
        <v>124</v>
      </c>
    </row>
    <row r="49" spans="1:13" ht="12">
      <c r="A49" t="s">
        <v>27</v>
      </c>
      <c r="D49" s="8">
        <f>+D48/D47</f>
        <v>19.166666666666668</v>
      </c>
      <c r="H49" t="s">
        <v>27</v>
      </c>
      <c r="M49" s="8">
        <f>+M48/M47</f>
        <v>41.333333333333336</v>
      </c>
    </row>
    <row r="50" spans="1:13" ht="12">
      <c r="A50" t="s">
        <v>28</v>
      </c>
      <c r="D50" s="2">
        <v>0</v>
      </c>
      <c r="H50" t="s">
        <v>28</v>
      </c>
      <c r="M50" s="2">
        <v>1</v>
      </c>
    </row>
    <row r="52" spans="1:13" ht="12">
      <c r="A52" t="s">
        <v>31</v>
      </c>
      <c r="D52" s="2">
        <v>4</v>
      </c>
      <c r="H52" t="s">
        <v>31</v>
      </c>
      <c r="M52" s="2">
        <v>3</v>
      </c>
    </row>
    <row r="53" spans="1:13" ht="12">
      <c r="A53" t="s">
        <v>32</v>
      </c>
      <c r="D53" s="2">
        <v>33</v>
      </c>
      <c r="H53" t="s">
        <v>32</v>
      </c>
      <c r="M53" s="2">
        <v>31</v>
      </c>
    </row>
    <row r="55" spans="1:13" ht="12">
      <c r="A55" t="s">
        <v>33</v>
      </c>
      <c r="D55" s="2">
        <v>3</v>
      </c>
      <c r="H55" t="s">
        <v>33</v>
      </c>
      <c r="M55" s="2">
        <v>0</v>
      </c>
    </row>
    <row r="56" spans="1:13" ht="12">
      <c r="A56" t="s">
        <v>34</v>
      </c>
      <c r="D56" s="2">
        <v>2</v>
      </c>
      <c r="H56" t="s">
        <v>34</v>
      </c>
      <c r="M56" s="2">
        <v>0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1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9</v>
      </c>
      <c r="H61" t="s">
        <v>38</v>
      </c>
      <c r="M61" s="2">
        <v>27</v>
      </c>
    </row>
    <row r="62" spans="1:13" ht="12">
      <c r="A62" t="s">
        <v>39</v>
      </c>
      <c r="D62" s="2">
        <v>0</v>
      </c>
      <c r="H62" t="s">
        <v>39</v>
      </c>
      <c r="M62" s="2">
        <v>3</v>
      </c>
    </row>
    <row r="63" spans="1:13" ht="12">
      <c r="A63" t="s">
        <v>40</v>
      </c>
      <c r="D63" s="2">
        <v>0</v>
      </c>
      <c r="H63" t="s">
        <v>40</v>
      </c>
      <c r="M63" s="2">
        <v>0</v>
      </c>
    </row>
    <row r="64" spans="1:13" ht="12">
      <c r="A64" t="s">
        <v>41</v>
      </c>
      <c r="D64" s="2">
        <v>0</v>
      </c>
      <c r="H64" t="s">
        <v>41</v>
      </c>
      <c r="M64" s="2">
        <v>2</v>
      </c>
    </row>
    <row r="65" spans="1:13" ht="12">
      <c r="A65" t="s">
        <v>42</v>
      </c>
      <c r="D65" s="2">
        <v>0</v>
      </c>
      <c r="H65" t="s">
        <v>42</v>
      </c>
      <c r="M65" s="2">
        <v>1</v>
      </c>
    </row>
    <row r="66" spans="1:13" ht="12">
      <c r="A66" t="s">
        <v>43</v>
      </c>
      <c r="D66" s="2">
        <v>0</v>
      </c>
      <c r="H66" t="s">
        <v>43</v>
      </c>
      <c r="M66" s="2">
        <v>3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3</v>
      </c>
      <c r="H68" t="s">
        <v>45</v>
      </c>
      <c r="M68" s="2">
        <v>2</v>
      </c>
    </row>
    <row r="69" spans="1:13" ht="12">
      <c r="A69" t="s">
        <v>46</v>
      </c>
      <c r="D69" s="2">
        <v>5</v>
      </c>
      <c r="H69" t="s">
        <v>46</v>
      </c>
      <c r="M69" s="2">
        <v>3</v>
      </c>
    </row>
    <row r="70" spans="1:13" ht="12">
      <c r="A70" t="s">
        <v>47</v>
      </c>
      <c r="D70" s="8">
        <f>+D68/D69*100</f>
        <v>60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66.66666666666666</v>
      </c>
    </row>
    <row r="71" spans="1:13" ht="12">
      <c r="A71" t="s">
        <v>93</v>
      </c>
      <c r="D71" s="10" t="str">
        <f>IF(V23&lt;10,V27,V26)</f>
        <v>31:11</v>
      </c>
      <c r="E71" s="8"/>
      <c r="F71" s="8"/>
      <c r="H71" t="s">
        <v>93</v>
      </c>
      <c r="M71" s="10" t="str">
        <f>IF(W23&lt;10,W27,W26)</f>
        <v>28:49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">
      <c r="A75" t="s">
        <v>100</v>
      </c>
      <c r="C75">
        <v>3</v>
      </c>
      <c r="D75">
        <v>9</v>
      </c>
      <c r="E75" s="12">
        <f>+D75/C75</f>
        <v>3</v>
      </c>
      <c r="F75">
        <v>8</v>
      </c>
    </row>
    <row r="76" spans="1:5" ht="12">
      <c r="A76" t="s">
        <v>101</v>
      </c>
      <c r="E76" s="12" t="e">
        <f>+D76/C76</f>
        <v>#DIV/0!</v>
      </c>
    </row>
    <row r="77" spans="1:5" ht="12">
      <c r="A77" t="s">
        <v>102</v>
      </c>
      <c r="E77" s="12" t="e">
        <f>+D77/C77</f>
        <v>#DIV/0!</v>
      </c>
    </row>
    <row r="78" spans="1:6" ht="12">
      <c r="A78" t="s">
        <v>103</v>
      </c>
      <c r="C78">
        <v>6</v>
      </c>
      <c r="D78">
        <v>38</v>
      </c>
      <c r="E78" s="12">
        <f aca="true" t="shared" si="0" ref="E78:E84">+D78/C78</f>
        <v>6.333333333333333</v>
      </c>
      <c r="F78">
        <v>12</v>
      </c>
    </row>
    <row r="79" spans="1:6" ht="12">
      <c r="A79" t="s">
        <v>104</v>
      </c>
      <c r="C79">
        <v>15</v>
      </c>
      <c r="D79">
        <v>90</v>
      </c>
      <c r="E79" s="12">
        <f t="shared" si="0"/>
        <v>6</v>
      </c>
      <c r="F79">
        <v>24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5</v>
      </c>
      <c r="D83">
        <v>0</v>
      </c>
      <c r="E83" s="12">
        <f t="shared" si="0"/>
        <v>0</v>
      </c>
      <c r="F83">
        <v>2</v>
      </c>
    </row>
    <row r="84" spans="1:5" ht="12">
      <c r="A84" t="s">
        <v>109</v>
      </c>
      <c r="E84" s="12" t="e">
        <f t="shared" si="0"/>
        <v>#DIV/0!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6" ht="12">
      <c r="A90" t="s">
        <v>112</v>
      </c>
      <c r="C90">
        <v>1</v>
      </c>
      <c r="D90">
        <v>5</v>
      </c>
      <c r="E90" s="12">
        <f t="shared" si="1"/>
        <v>5</v>
      </c>
      <c r="F90">
        <v>5</v>
      </c>
    </row>
    <row r="91" spans="1:6" ht="12">
      <c r="A91" t="s">
        <v>103</v>
      </c>
      <c r="C91">
        <v>7</v>
      </c>
      <c r="D91">
        <v>61</v>
      </c>
      <c r="E91" s="12">
        <f t="shared" si="1"/>
        <v>8.714285714285714</v>
      </c>
      <c r="F91">
        <v>18</v>
      </c>
    </row>
    <row r="92" spans="1:6" ht="12">
      <c r="A92" t="s">
        <v>104</v>
      </c>
      <c r="C92">
        <v>2</v>
      </c>
      <c r="D92">
        <v>14</v>
      </c>
      <c r="E92" s="12">
        <f t="shared" si="1"/>
        <v>7</v>
      </c>
      <c r="F92">
        <v>8</v>
      </c>
    </row>
    <row r="93" spans="1:6" ht="12">
      <c r="A93" s="2" t="s">
        <v>105</v>
      </c>
      <c r="C93">
        <v>1</v>
      </c>
      <c r="D93">
        <v>28</v>
      </c>
      <c r="E93" s="12">
        <f t="shared" si="1"/>
        <v>28</v>
      </c>
      <c r="F93">
        <v>28</v>
      </c>
    </row>
    <row r="94" spans="1:6" ht="12">
      <c r="A94" t="s">
        <v>113</v>
      </c>
      <c r="C94">
        <v>2</v>
      </c>
      <c r="D94">
        <v>36</v>
      </c>
      <c r="E94" s="12">
        <f t="shared" si="1"/>
        <v>18</v>
      </c>
      <c r="F94">
        <v>24</v>
      </c>
    </row>
    <row r="95" spans="1:6" ht="12">
      <c r="A95" t="s">
        <v>108</v>
      </c>
      <c r="C95">
        <v>1</v>
      </c>
      <c r="D95">
        <v>7</v>
      </c>
      <c r="E95" s="12">
        <f t="shared" si="1"/>
        <v>7</v>
      </c>
      <c r="F95">
        <v>7</v>
      </c>
    </row>
    <row r="96" spans="1:5" ht="12">
      <c r="A96" t="s">
        <v>114</v>
      </c>
      <c r="E96" s="12" t="e">
        <f t="shared" si="1"/>
        <v>#DIV/0!</v>
      </c>
    </row>
    <row r="97" spans="1:6" ht="12">
      <c r="A97" t="s">
        <v>115</v>
      </c>
      <c r="C97">
        <v>2</v>
      </c>
      <c r="D97">
        <v>12</v>
      </c>
      <c r="E97" s="12">
        <f t="shared" si="1"/>
        <v>6</v>
      </c>
      <c r="F97">
        <v>8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25</v>
      </c>
      <c r="D106">
        <v>12</v>
      </c>
      <c r="E106" s="12">
        <f>+D106/C106*100</f>
        <v>48</v>
      </c>
      <c r="F106">
        <v>101</v>
      </c>
      <c r="H106">
        <v>18</v>
      </c>
      <c r="I106">
        <v>1</v>
      </c>
      <c r="J106" s="8">
        <f>+G106/C106*100</f>
        <v>0</v>
      </c>
      <c r="K106" s="12">
        <f>+I106/C106*100</f>
        <v>4</v>
      </c>
      <c r="L106" s="12">
        <f>+F106/C106</f>
        <v>4.04</v>
      </c>
      <c r="M106" s="12">
        <f>100*(S106+U106+W106+Y106)/6</f>
        <v>42.25</v>
      </c>
      <c r="N106">
        <v>1</v>
      </c>
      <c r="O106">
        <v>1</v>
      </c>
      <c r="R106">
        <f>+(E106-30)/20</f>
        <v>0.9</v>
      </c>
      <c r="S106" s="2">
        <f>IF(R106&lt;0,0,R106)</f>
        <v>0.9</v>
      </c>
      <c r="T106" s="6">
        <f>+(L106-3)/4</f>
        <v>0.26</v>
      </c>
      <c r="U106" s="2">
        <f>IF(T106&lt;0,0,T106)</f>
        <v>0.26</v>
      </c>
      <c r="V106">
        <f>+J106/5</f>
        <v>0</v>
      </c>
      <c r="W106" s="2">
        <f>IF(V106&lt;0,0,V106)</f>
        <v>0</v>
      </c>
      <c r="X106">
        <f>(9.5-K106)/4</f>
        <v>1.375</v>
      </c>
      <c r="Y106" s="2">
        <f>IF(X106&lt;0,0,X106)</f>
        <v>1.375</v>
      </c>
    </row>
    <row r="107" spans="1:25" ht="12">
      <c r="A107" t="s">
        <v>101</v>
      </c>
      <c r="C107">
        <v>8</v>
      </c>
      <c r="D107">
        <v>4</v>
      </c>
      <c r="E107" s="12">
        <f>+D107/C107*100</f>
        <v>50</v>
      </c>
      <c r="F107">
        <v>62</v>
      </c>
      <c r="H107">
        <v>28</v>
      </c>
      <c r="J107" s="8"/>
      <c r="K107" s="12">
        <f>+I107/C107*100</f>
        <v>0</v>
      </c>
      <c r="L107" s="12">
        <f>+F107/C107</f>
        <v>7.75</v>
      </c>
      <c r="M107" s="12">
        <f>100*(S107+U107+W107+Y107)/6</f>
        <v>76.04166666666667</v>
      </c>
      <c r="O107">
        <v>1</v>
      </c>
      <c r="R107">
        <f>+(E107-30)/20</f>
        <v>1</v>
      </c>
      <c r="S107" s="2">
        <f>IF(R107&lt;0,0,R107)</f>
        <v>1</v>
      </c>
      <c r="T107" s="6">
        <f>+(L107-3)/4</f>
        <v>1.1875</v>
      </c>
      <c r="U107" s="2">
        <f>IF(T107&lt;0,0,T107)</f>
        <v>1.1875</v>
      </c>
      <c r="V107">
        <f>+J107/5</f>
        <v>0</v>
      </c>
      <c r="W107" s="2">
        <f>IF(V107&lt;0,0,V107)</f>
        <v>0</v>
      </c>
      <c r="X107">
        <f>(9.5-K107)/4</f>
        <v>2.375</v>
      </c>
      <c r="Y107" s="2">
        <f>IF(X107&lt;0,0,X107)</f>
        <v>2.375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1</v>
      </c>
      <c r="D113">
        <v>3</v>
      </c>
      <c r="E113">
        <v>8</v>
      </c>
      <c r="F113" s="12">
        <f aca="true" t="shared" si="2" ref="F113:F118">+E113/C113</f>
        <v>8</v>
      </c>
      <c r="G113">
        <v>8</v>
      </c>
    </row>
    <row r="114" spans="1:6" ht="12">
      <c r="A114" t="s">
        <v>104</v>
      </c>
      <c r="F114" s="12" t="e">
        <f t="shared" si="2"/>
        <v>#DIV/0!</v>
      </c>
    </row>
    <row r="115" spans="1:9" ht="12">
      <c r="A115" t="s">
        <v>117</v>
      </c>
      <c r="C115">
        <v>1</v>
      </c>
      <c r="D115">
        <v>1</v>
      </c>
      <c r="E115">
        <v>9</v>
      </c>
      <c r="F115" s="12">
        <f t="shared" si="2"/>
        <v>9</v>
      </c>
      <c r="G115">
        <v>9</v>
      </c>
      <c r="I115">
        <v>1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8" ht="12">
      <c r="A125" t="s">
        <v>119</v>
      </c>
      <c r="C125">
        <v>4</v>
      </c>
      <c r="D125">
        <f>34+19+19+10</f>
        <v>82</v>
      </c>
      <c r="E125" s="12">
        <f t="shared" si="3"/>
        <v>20.5</v>
      </c>
      <c r="F125">
        <v>34</v>
      </c>
      <c r="H125">
        <v>1</v>
      </c>
    </row>
    <row r="126" spans="1:6" ht="12">
      <c r="A126" t="s">
        <v>104</v>
      </c>
      <c r="C126">
        <v>1</v>
      </c>
      <c r="D126">
        <v>20</v>
      </c>
      <c r="E126" s="12">
        <f t="shared" si="3"/>
        <v>20</v>
      </c>
      <c r="F126">
        <v>20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6" ht="12">
      <c r="A130" t="s">
        <v>117</v>
      </c>
      <c r="C130">
        <v>1</v>
      </c>
      <c r="D130">
        <v>13</v>
      </c>
      <c r="E130" s="12">
        <f>+D130/C130</f>
        <v>13</v>
      </c>
      <c r="F130">
        <v>13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4</v>
      </c>
      <c r="D133">
        <f>34+40+34+42</f>
        <v>150</v>
      </c>
      <c r="E133" s="12"/>
      <c r="F133">
        <v>42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20" ht="12">
      <c r="A141" t="s">
        <v>121</v>
      </c>
      <c r="C141">
        <v>4</v>
      </c>
      <c r="D141">
        <v>1</v>
      </c>
      <c r="G141">
        <v>5</v>
      </c>
      <c r="H141">
        <v>3</v>
      </c>
      <c r="I141" s="12">
        <f>+H141/G141*100</f>
        <v>60</v>
      </c>
      <c r="J141">
        <v>38</v>
      </c>
      <c r="L141">
        <v>1</v>
      </c>
      <c r="M141">
        <v>1</v>
      </c>
      <c r="N141">
        <v>1</v>
      </c>
      <c r="O141">
        <v>1</v>
      </c>
      <c r="P141">
        <v>1</v>
      </c>
      <c r="Q141">
        <v>1</v>
      </c>
      <c r="T141">
        <v>2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5" ht="12">
      <c r="A149" t="s">
        <v>116</v>
      </c>
      <c r="E149" s="12" t="e">
        <f t="shared" si="4"/>
        <v>#DIV/0!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/>
      <c r="D165" s="3"/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>
        <v>0.5</v>
      </c>
      <c r="D168" s="3">
        <v>2</v>
      </c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>
        <v>0.5</v>
      </c>
      <c r="D170" s="3">
        <v>2</v>
      </c>
    </row>
    <row r="171" spans="1:4" ht="12">
      <c r="A171" t="s">
        <v>133</v>
      </c>
      <c r="C171" s="3"/>
      <c r="D171" s="3"/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spans="1:3" ht="12">
      <c r="A208" t="s">
        <v>141</v>
      </c>
      <c r="C208">
        <v>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spans="1:3" ht="12">
      <c r="A224" t="s">
        <v>115</v>
      </c>
      <c r="C224">
        <v>1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D27" sqref="D27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24</v>
      </c>
      <c r="H6" s="1" t="s">
        <v>29</v>
      </c>
      <c r="M6" s="2">
        <v>14</v>
      </c>
    </row>
    <row r="7" spans="1:13" ht="12">
      <c r="A7" s="18" t="s">
        <v>95</v>
      </c>
      <c r="D7" s="2">
        <v>9</v>
      </c>
      <c r="H7" s="18" t="s">
        <v>95</v>
      </c>
      <c r="M7" s="2">
        <v>7</v>
      </c>
    </row>
    <row r="8" spans="1:13" ht="12">
      <c r="A8" s="18" t="s">
        <v>96</v>
      </c>
      <c r="D8" s="2">
        <v>12</v>
      </c>
      <c r="H8" s="18" t="s">
        <v>96</v>
      </c>
      <c r="M8" s="2">
        <v>7</v>
      </c>
    </row>
    <row r="9" spans="1:13" ht="12">
      <c r="A9" s="18" t="s">
        <v>97</v>
      </c>
      <c r="D9" s="2">
        <v>3</v>
      </c>
      <c r="H9" s="18" t="s">
        <v>97</v>
      </c>
      <c r="M9" s="2">
        <v>0</v>
      </c>
    </row>
    <row r="11" spans="1:23" ht="12">
      <c r="A11" t="s">
        <v>1</v>
      </c>
      <c r="D11" s="2">
        <f>30+6+3+1+3</f>
        <v>43</v>
      </c>
      <c r="H11" t="s">
        <v>1</v>
      </c>
      <c r="M11" s="2">
        <f>16+7+1+3</f>
        <v>27</v>
      </c>
      <c r="V11">
        <f>+D11</f>
        <v>43</v>
      </c>
      <c r="W11">
        <f>+M11</f>
        <v>27</v>
      </c>
    </row>
    <row r="12" spans="1:23" ht="12">
      <c r="A12" t="s">
        <v>2</v>
      </c>
      <c r="D12" s="2">
        <f>113+16+20+8-2</f>
        <v>155</v>
      </c>
      <c r="H12" t="s">
        <v>2</v>
      </c>
      <c r="M12" s="2">
        <f>79+36+4+13</f>
        <v>132</v>
      </c>
      <c r="U12" s="13"/>
      <c r="V12">
        <f>+D16</f>
        <v>18</v>
      </c>
      <c r="W12">
        <f>+M16</f>
        <v>9</v>
      </c>
    </row>
    <row r="13" spans="1:23" ht="12">
      <c r="A13" s="1" t="s">
        <v>3</v>
      </c>
      <c r="D13" s="8">
        <f>+D12/D11</f>
        <v>3.604651162790698</v>
      </c>
      <c r="H13" s="1" t="s">
        <v>3</v>
      </c>
      <c r="M13" s="8">
        <f>+M12/M11</f>
        <v>4.888888888888889</v>
      </c>
      <c r="V13">
        <f>+(D15-D16)/2</f>
        <v>5.5</v>
      </c>
      <c r="W13">
        <f>+(M15-M16)/2</f>
        <v>9.5</v>
      </c>
    </row>
    <row r="14" spans="22:23" ht="12">
      <c r="V14">
        <f>+D38/2</f>
        <v>0.5</v>
      </c>
      <c r="W14">
        <f>+M38/2</f>
        <v>3.5</v>
      </c>
    </row>
    <row r="15" spans="1:23" ht="12">
      <c r="A15" t="s">
        <v>4</v>
      </c>
      <c r="D15" s="2">
        <v>29</v>
      </c>
      <c r="H15" t="s">
        <v>4</v>
      </c>
      <c r="M15" s="2">
        <v>28</v>
      </c>
      <c r="V15">
        <f>+D42/2</f>
        <v>2.5</v>
      </c>
      <c r="W15">
        <f>+M42/2</f>
        <v>0</v>
      </c>
    </row>
    <row r="16" spans="1:23" ht="12">
      <c r="A16" t="s">
        <v>5</v>
      </c>
      <c r="D16" s="2">
        <v>18</v>
      </c>
      <c r="H16" t="s">
        <v>5</v>
      </c>
      <c r="M16" s="2">
        <v>9</v>
      </c>
      <c r="V16">
        <f>+D47/2</f>
        <v>0</v>
      </c>
      <c r="W16">
        <f>+M47/2</f>
        <v>1</v>
      </c>
    </row>
    <row r="17" spans="1:13" ht="12">
      <c r="A17" t="s">
        <v>6</v>
      </c>
      <c r="D17" s="8">
        <f>+D16/D15*100</f>
        <v>62.06896551724138</v>
      </c>
      <c r="H17" t="s">
        <v>6</v>
      </c>
      <c r="M17" s="8">
        <f>+M16/M15*100</f>
        <v>32.142857142857146</v>
      </c>
    </row>
    <row r="18" spans="1:24" ht="12">
      <c r="A18" t="s">
        <v>7</v>
      </c>
      <c r="D18" s="2">
        <v>256</v>
      </c>
      <c r="H18" t="s">
        <v>7</v>
      </c>
      <c r="M18" s="2">
        <v>107</v>
      </c>
      <c r="V18">
        <f>SUM(V11:V16)</f>
        <v>69.5</v>
      </c>
      <c r="W18">
        <f>SUM(W11:W16)</f>
        <v>50</v>
      </c>
      <c r="X18">
        <f>+W18+V18</f>
        <v>119.5</v>
      </c>
    </row>
    <row r="19" spans="1:23" ht="12">
      <c r="A19" t="s">
        <v>8</v>
      </c>
      <c r="D19" s="2">
        <v>1</v>
      </c>
      <c r="H19" t="s">
        <v>8</v>
      </c>
      <c r="M19" s="2">
        <v>1</v>
      </c>
      <c r="V19">
        <f>+V18/X18</f>
        <v>0.5815899581589958</v>
      </c>
      <c r="W19">
        <f>+W18/X18</f>
        <v>0.41841004184100417</v>
      </c>
    </row>
    <row r="20" spans="1:23" ht="12">
      <c r="A20" t="s">
        <v>9</v>
      </c>
      <c r="D20" s="2">
        <v>2</v>
      </c>
      <c r="H20" t="s">
        <v>9</v>
      </c>
      <c r="M20" s="2">
        <v>9</v>
      </c>
      <c r="V20">
        <f>+V19*60</f>
        <v>34.89539748953975</v>
      </c>
      <c r="W20">
        <f>+W19*60</f>
        <v>25.10460251046025</v>
      </c>
    </row>
    <row r="21" spans="1:23" ht="12">
      <c r="A21" t="s">
        <v>10</v>
      </c>
      <c r="D21">
        <f>+D18-D20</f>
        <v>254</v>
      </c>
      <c r="H21" t="s">
        <v>10</v>
      </c>
      <c r="M21">
        <f>+M18-M20</f>
        <v>98</v>
      </c>
      <c r="V21">
        <f>+V20-INT(V20)</f>
        <v>0.8953974895397465</v>
      </c>
      <c r="W21">
        <f>+W20-INT(W20)</f>
        <v>0.10460251046024993</v>
      </c>
    </row>
    <row r="22" spans="1:23" ht="12">
      <c r="A22" t="s">
        <v>11</v>
      </c>
      <c r="D22" s="7">
        <f>+D21/(D15+D19)</f>
        <v>8.466666666666667</v>
      </c>
      <c r="H22" t="s">
        <v>11</v>
      </c>
      <c r="M22" s="7">
        <f>+M21/(M15+M19)</f>
        <v>3.3793103448275863</v>
      </c>
      <c r="V22">
        <f>+V21*60</f>
        <v>53.72384937238479</v>
      </c>
      <c r="W22">
        <f>+W21*60</f>
        <v>6.276150627614996</v>
      </c>
    </row>
    <row r="23" spans="1:23" ht="12">
      <c r="A23" t="s">
        <v>12</v>
      </c>
      <c r="D23" s="7">
        <f>+D18/D16</f>
        <v>14.222222222222221</v>
      </c>
      <c r="H23" t="s">
        <v>12</v>
      </c>
      <c r="M23" s="7">
        <f>+M18/M16</f>
        <v>11.88888888888889</v>
      </c>
      <c r="U23">
        <v>0</v>
      </c>
      <c r="V23" s="11">
        <f>ROUND(V22,0)</f>
        <v>54</v>
      </c>
      <c r="W23">
        <f>ROUND(W22,0)</f>
        <v>6</v>
      </c>
    </row>
    <row r="24" spans="22:23" ht="12">
      <c r="V24">
        <f>INT(V20)</f>
        <v>34</v>
      </c>
      <c r="W24">
        <f>INT(W20)</f>
        <v>25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409</v>
      </c>
      <c r="H26" t="s">
        <v>14</v>
      </c>
      <c r="M26">
        <f>+M21+M12</f>
        <v>230</v>
      </c>
      <c r="V26" s="14" t="str">
        <f>+V24&amp;V25&amp;V23</f>
        <v>34:54</v>
      </c>
      <c r="W26" s="9" t="str">
        <f>+W24&amp;W25&amp;W23</f>
        <v>25:6</v>
      </c>
    </row>
    <row r="27" spans="1:23" ht="12">
      <c r="A27" t="s">
        <v>15</v>
      </c>
      <c r="D27" s="7">
        <f>+D12/D26*100</f>
        <v>37.89731051344744</v>
      </c>
      <c r="H27" t="s">
        <v>15</v>
      </c>
      <c r="M27" s="7">
        <f>+M12/M26*100</f>
        <v>57.391304347826086</v>
      </c>
      <c r="V27" s="9" t="str">
        <f>IF(V23&lt;10,+V24&amp;V25&amp;$U$23&amp;V23,+V24&amp;V25&amp;V23)</f>
        <v>34:54</v>
      </c>
      <c r="W27" s="9" t="str">
        <f>IF(W23&lt;10,+W24&amp;W25&amp;$U$23&amp;W23,+W24&amp;W25&amp;W23)</f>
        <v>25:06</v>
      </c>
    </row>
    <row r="28" spans="1:13" ht="12">
      <c r="A28" s="1" t="s">
        <v>90</v>
      </c>
      <c r="D28" s="7">
        <f>+D21/D26*100</f>
        <v>62.10268948655256</v>
      </c>
      <c r="H28" s="1" t="s">
        <v>90</v>
      </c>
      <c r="M28" s="7">
        <f>+M21/M26*100</f>
        <v>42.608695652173914</v>
      </c>
    </row>
    <row r="30" spans="1:13" ht="12">
      <c r="A30" t="s">
        <v>16</v>
      </c>
      <c r="D30">
        <f>+D11+D15+D19</f>
        <v>73</v>
      </c>
      <c r="H30" t="s">
        <v>16</v>
      </c>
      <c r="M30">
        <f>+M11+M15+M19</f>
        <v>56</v>
      </c>
    </row>
    <row r="31" spans="1:13" ht="12">
      <c r="A31" t="s">
        <v>17</v>
      </c>
      <c r="D31" s="8">
        <f>+D26/D30</f>
        <v>5.602739726027397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4.107142857142857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2</v>
      </c>
      <c r="H34" t="s">
        <v>19</v>
      </c>
      <c r="M34" s="2">
        <v>3</v>
      </c>
    </row>
    <row r="35" spans="1:13" ht="12">
      <c r="A35" t="s">
        <v>20</v>
      </c>
      <c r="D35" s="2">
        <v>5</v>
      </c>
      <c r="H35" t="s">
        <v>20</v>
      </c>
      <c r="M35" s="2">
        <v>29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1</v>
      </c>
      <c r="H38" t="s">
        <v>22</v>
      </c>
      <c r="M38" s="2">
        <v>7</v>
      </c>
    </row>
    <row r="39" spans="1:13" ht="12">
      <c r="A39" t="s">
        <v>23</v>
      </c>
      <c r="D39" s="2">
        <v>42</v>
      </c>
      <c r="H39" t="s">
        <v>23</v>
      </c>
      <c r="M39" s="2">
        <f>40+34+40+42+45+52+41</f>
        <v>294</v>
      </c>
    </row>
    <row r="40" spans="1:13" ht="12">
      <c r="A40" t="s">
        <v>24</v>
      </c>
      <c r="D40" s="8">
        <f>+D39/D38</f>
        <v>42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42</v>
      </c>
    </row>
    <row r="42" spans="1:13" ht="12">
      <c r="A42" t="s">
        <v>25</v>
      </c>
      <c r="D42" s="2">
        <v>5</v>
      </c>
      <c r="H42" t="s">
        <v>25</v>
      </c>
      <c r="M42" s="2">
        <v>0</v>
      </c>
    </row>
    <row r="43" spans="1:13" ht="12">
      <c r="A43" t="s">
        <v>26</v>
      </c>
      <c r="D43" s="2">
        <f>2+0+8+17+32</f>
        <v>59</v>
      </c>
      <c r="H43" t="s">
        <v>26</v>
      </c>
      <c r="M43" s="2">
        <v>0</v>
      </c>
    </row>
    <row r="44" spans="1:13" ht="12">
      <c r="A44" t="s">
        <v>27</v>
      </c>
      <c r="D44" s="8">
        <f>+D43/D42</f>
        <v>11.8</v>
      </c>
      <c r="H44" t="s">
        <v>27</v>
      </c>
      <c r="M44" s="8" t="e">
        <f>+M43/M42</f>
        <v>#DIV/0!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0</v>
      </c>
      <c r="H47" t="s">
        <v>30</v>
      </c>
      <c r="M47" s="2">
        <v>2</v>
      </c>
    </row>
    <row r="48" spans="1:13" ht="12">
      <c r="A48" t="s">
        <v>26</v>
      </c>
      <c r="D48" s="2">
        <v>0</v>
      </c>
      <c r="H48" t="s">
        <v>26</v>
      </c>
      <c r="M48" s="2">
        <v>56</v>
      </c>
    </row>
    <row r="49" spans="1:13" ht="12">
      <c r="A49" t="s">
        <v>27</v>
      </c>
      <c r="D49" s="8" t="e">
        <f>+D48/D47</f>
        <v>#DIV/0!</v>
      </c>
      <c r="H49" t="s">
        <v>27</v>
      </c>
      <c r="M49" s="8">
        <f>+M48/M47</f>
        <v>28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4</v>
      </c>
      <c r="H52" t="s">
        <v>31</v>
      </c>
      <c r="M52" s="2">
        <v>5</v>
      </c>
    </row>
    <row r="53" spans="1:13" ht="12">
      <c r="A53" t="s">
        <v>32</v>
      </c>
      <c r="D53" s="2">
        <v>40</v>
      </c>
      <c r="H53" t="s">
        <v>32</v>
      </c>
      <c r="M53" s="2">
        <v>63</v>
      </c>
    </row>
    <row r="55" spans="1:13" ht="12">
      <c r="A55" t="s">
        <v>33</v>
      </c>
      <c r="D55" s="2">
        <v>1</v>
      </c>
      <c r="H55" t="s">
        <v>33</v>
      </c>
      <c r="M55" s="2">
        <v>2</v>
      </c>
    </row>
    <row r="56" spans="1:13" ht="12">
      <c r="A56" t="s">
        <v>34</v>
      </c>
      <c r="D56" s="2">
        <v>0</v>
      </c>
      <c r="H56" t="s">
        <v>34</v>
      </c>
      <c r="M56" s="2">
        <v>2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1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27</v>
      </c>
      <c r="H61" t="s">
        <v>38</v>
      </c>
      <c r="M61" s="2">
        <v>10</v>
      </c>
    </row>
    <row r="62" spans="1:13" ht="12">
      <c r="A62" t="s">
        <v>39</v>
      </c>
      <c r="D62" s="2">
        <v>3</v>
      </c>
      <c r="H62" t="s">
        <v>39</v>
      </c>
      <c r="M62" s="2">
        <v>1</v>
      </c>
    </row>
    <row r="63" spans="1:13" ht="12">
      <c r="A63" t="s">
        <v>40</v>
      </c>
      <c r="D63" s="2">
        <v>2</v>
      </c>
      <c r="H63" t="s">
        <v>40</v>
      </c>
      <c r="M63" s="2">
        <v>0</v>
      </c>
    </row>
    <row r="64" spans="1:13" ht="12">
      <c r="A64" t="s">
        <v>41</v>
      </c>
      <c r="D64" s="2">
        <v>1</v>
      </c>
      <c r="H64" t="s">
        <v>41</v>
      </c>
      <c r="M64" s="2">
        <v>1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3</v>
      </c>
      <c r="H66" t="s">
        <v>43</v>
      </c>
      <c r="M66" s="2">
        <v>1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2</v>
      </c>
      <c r="H68" t="s">
        <v>45</v>
      </c>
      <c r="M68" s="2">
        <v>1</v>
      </c>
    </row>
    <row r="69" spans="1:13" ht="12">
      <c r="A69" t="s">
        <v>46</v>
      </c>
      <c r="D69" s="2">
        <v>3</v>
      </c>
      <c r="H69" t="s">
        <v>46</v>
      </c>
      <c r="M69" s="2">
        <v>1</v>
      </c>
    </row>
    <row r="70" spans="1:13" ht="12">
      <c r="A70" t="s">
        <v>47</v>
      </c>
      <c r="D70" s="8">
        <f>+D68/D69*100</f>
        <v>66.66666666666666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100</v>
      </c>
    </row>
    <row r="71" spans="1:13" ht="12">
      <c r="A71" t="s">
        <v>93</v>
      </c>
      <c r="D71" s="10" t="str">
        <f>IF(V23&lt;10,V27,V26)</f>
        <v>34:54</v>
      </c>
      <c r="E71" s="8"/>
      <c r="F71" s="8"/>
      <c r="H71" t="s">
        <v>93</v>
      </c>
      <c r="M71" s="10" t="str">
        <f>IF(W23&lt;10,W27,W26)</f>
        <v>25:06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">
      <c r="A75" t="s">
        <v>100</v>
      </c>
      <c r="C75">
        <v>3</v>
      </c>
      <c r="D75">
        <v>-2</v>
      </c>
      <c r="E75" s="12">
        <f>+D75/C75</f>
        <v>-0.6666666666666666</v>
      </c>
      <c r="F75">
        <v>5</v>
      </c>
    </row>
    <row r="76" spans="1:5" ht="12">
      <c r="A76" t="s">
        <v>101</v>
      </c>
      <c r="E76" s="12" t="e">
        <f>+D76/C76</f>
        <v>#DIV/0!</v>
      </c>
    </row>
    <row r="77" spans="1:5" ht="12">
      <c r="A77" t="s">
        <v>102</v>
      </c>
      <c r="E77" s="12" t="e">
        <f>+D77/C77</f>
        <v>#DIV/0!</v>
      </c>
    </row>
    <row r="78" spans="1:8" ht="12">
      <c r="A78" t="s">
        <v>103</v>
      </c>
      <c r="C78">
        <v>6</v>
      </c>
      <c r="D78">
        <v>16</v>
      </c>
      <c r="E78" s="12">
        <f aca="true" t="shared" si="0" ref="E78:E84">+D78/C78</f>
        <v>2.6666666666666665</v>
      </c>
      <c r="F78">
        <v>8</v>
      </c>
      <c r="H78">
        <v>1</v>
      </c>
    </row>
    <row r="79" spans="1:7" ht="12">
      <c r="A79" t="s">
        <v>104</v>
      </c>
      <c r="C79">
        <v>30</v>
      </c>
      <c r="D79">
        <v>113</v>
      </c>
      <c r="E79" s="12">
        <f t="shared" si="0"/>
        <v>3.7666666666666666</v>
      </c>
      <c r="F79">
        <v>20</v>
      </c>
      <c r="G79">
        <v>1</v>
      </c>
    </row>
    <row r="80" spans="1:5" ht="12">
      <c r="A80" t="s">
        <v>105</v>
      </c>
      <c r="E80" s="12" t="e">
        <f t="shared" si="0"/>
        <v>#DIV/0!</v>
      </c>
    </row>
    <row r="81" spans="1:6" ht="12">
      <c r="A81" t="s">
        <v>106</v>
      </c>
      <c r="C81">
        <v>1</v>
      </c>
      <c r="D81">
        <v>8</v>
      </c>
      <c r="E81" s="12">
        <f t="shared" si="0"/>
        <v>8</v>
      </c>
      <c r="F81">
        <v>8</v>
      </c>
    </row>
    <row r="82" spans="1:5" ht="12">
      <c r="A82" t="s">
        <v>107</v>
      </c>
      <c r="E82" s="12" t="e">
        <f t="shared" si="0"/>
        <v>#DIV/0!</v>
      </c>
    </row>
    <row r="83" spans="1:7" ht="12">
      <c r="A83" t="s">
        <v>108</v>
      </c>
      <c r="C83">
        <v>3</v>
      </c>
      <c r="D83">
        <v>20</v>
      </c>
      <c r="E83" s="12">
        <f t="shared" si="0"/>
        <v>6.666666666666667</v>
      </c>
      <c r="F83">
        <v>12</v>
      </c>
      <c r="G83">
        <v>1</v>
      </c>
    </row>
    <row r="84" spans="1:5" ht="12">
      <c r="A84" t="s">
        <v>109</v>
      </c>
      <c r="E84" s="12" t="e">
        <f t="shared" si="0"/>
        <v>#DIV/0!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6" ht="12">
      <c r="A91" t="s">
        <v>103</v>
      </c>
      <c r="C91">
        <v>5</v>
      </c>
      <c r="D91">
        <v>37</v>
      </c>
      <c r="E91" s="12">
        <f t="shared" si="1"/>
        <v>7.4</v>
      </c>
      <c r="F91">
        <v>10</v>
      </c>
    </row>
    <row r="92" spans="1:6" ht="12">
      <c r="A92" t="s">
        <v>104</v>
      </c>
      <c r="C92">
        <v>3</v>
      </c>
      <c r="D92">
        <v>63</v>
      </c>
      <c r="E92" s="12">
        <f t="shared" si="1"/>
        <v>21</v>
      </c>
      <c r="F92">
        <v>23</v>
      </c>
    </row>
    <row r="93" spans="1:6" ht="12">
      <c r="A93" s="2" t="s">
        <v>105</v>
      </c>
      <c r="C93">
        <v>3</v>
      </c>
      <c r="D93">
        <v>65</v>
      </c>
      <c r="E93" s="12">
        <f t="shared" si="1"/>
        <v>21.666666666666668</v>
      </c>
      <c r="F93">
        <v>30</v>
      </c>
    </row>
    <row r="94" spans="1:7" ht="12">
      <c r="A94" t="s">
        <v>113</v>
      </c>
      <c r="C94">
        <v>6</v>
      </c>
      <c r="D94">
        <v>79</v>
      </c>
      <c r="E94" s="12">
        <f t="shared" si="1"/>
        <v>13.166666666666666</v>
      </c>
      <c r="F94">
        <v>23</v>
      </c>
      <c r="G94">
        <v>1</v>
      </c>
    </row>
    <row r="95" spans="1:6" ht="12">
      <c r="A95" t="s">
        <v>108</v>
      </c>
      <c r="C95">
        <v>1</v>
      </c>
      <c r="D95">
        <v>12</v>
      </c>
      <c r="E95" s="12">
        <f t="shared" si="1"/>
        <v>12</v>
      </c>
      <c r="F95">
        <v>12</v>
      </c>
    </row>
    <row r="96" spans="1:5" ht="12">
      <c r="A96" t="s">
        <v>114</v>
      </c>
      <c r="E96" s="12" t="e">
        <f t="shared" si="1"/>
        <v>#DIV/0!</v>
      </c>
    </row>
    <row r="97" spans="1:5" ht="12">
      <c r="A97" t="s">
        <v>115</v>
      </c>
      <c r="E97" s="12" t="e">
        <f t="shared" si="1"/>
        <v>#DIV/0!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29</v>
      </c>
      <c r="D106">
        <v>18</v>
      </c>
      <c r="E106" s="12">
        <f>+D106/C106*100</f>
        <v>62.06896551724138</v>
      </c>
      <c r="F106">
        <v>256</v>
      </c>
      <c r="G106">
        <v>1</v>
      </c>
      <c r="H106">
        <v>30</v>
      </c>
      <c r="I106">
        <v>2</v>
      </c>
      <c r="J106" s="8">
        <f>+G106/C106*100</f>
        <v>3.4482758620689653</v>
      </c>
      <c r="K106" s="12">
        <f>+I106/C106*100</f>
        <v>6.896551724137931</v>
      </c>
      <c r="L106" s="12">
        <f>+F106/C106</f>
        <v>8.827586206896552</v>
      </c>
      <c r="M106" s="12">
        <f>100*(S106+U106+W106+Y106)/6</f>
        <v>73.3477011494253</v>
      </c>
      <c r="O106">
        <v>1</v>
      </c>
      <c r="R106">
        <f>+(E106-30)/20</f>
        <v>1.603448275862069</v>
      </c>
      <c r="S106" s="2">
        <f>IF(R106&lt;0,0,IF(R106&gt;2.375,2.375,R106))</f>
        <v>1.603448275862069</v>
      </c>
      <c r="T106" s="6">
        <f>+(L106-3)/4</f>
        <v>1.456896551724138</v>
      </c>
      <c r="U106" s="2">
        <f>IF(T106&lt;0,0,IF(T106&gt;2.375,2.375,T106))</f>
        <v>1.456896551724138</v>
      </c>
      <c r="V106">
        <f>+J106/5</f>
        <v>0.689655172413793</v>
      </c>
      <c r="W106" s="2">
        <f>IF(V106&lt;0,0,IF(V106&gt;2.375,2.375,V106))</f>
        <v>0.689655172413793</v>
      </c>
      <c r="X106">
        <f>(9.5-K106)/4</f>
        <v>0.6508620689655173</v>
      </c>
      <c r="Y106" s="2">
        <f>IF(X106&lt;0,0,X106)</f>
        <v>0.6508620689655173</v>
      </c>
    </row>
    <row r="107" spans="1:25" ht="12">
      <c r="A107" t="s">
        <v>101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IF(R107&lt;0,0,IF(R107&gt;2.375,2.375,R107))</f>
        <v>#DIV/0!</v>
      </c>
      <c r="T107" s="6" t="e">
        <f>+(L107-3)/4</f>
        <v>#DIV/0!</v>
      </c>
      <c r="U107" s="2" t="e">
        <f>IF(T107&lt;0,0,IF(T107&gt;2.375,2.375,T107))</f>
        <v>#DIV/0!</v>
      </c>
      <c r="V107" t="e">
        <f>+J107/5</f>
        <v>#DIV/0!</v>
      </c>
      <c r="W107" s="2" t="e">
        <f>IF(V107&lt;0,0,IF(V107&gt;2.375,2.375,V107))</f>
        <v>#DIV/0!</v>
      </c>
      <c r="X107" t="e">
        <f>(9.5-K107)/4</f>
        <v>#DIV/0!</v>
      </c>
      <c r="Y107" s="2" t="e">
        <f>IF(X107&lt;0,0,X107)</f>
        <v>#DIV/0!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IF(R108&lt;0,0,IF(R108&gt;2.375,2.375,R108))</f>
        <v>#DIV/0!</v>
      </c>
      <c r="T108" s="6" t="e">
        <f>+(L108-3)/4</f>
        <v>#DIV/0!</v>
      </c>
      <c r="U108" s="2" t="e">
        <f>IF(T108&lt;0,0,IF(T108&gt;2.375,2.375,T108))</f>
        <v>#DIV/0!</v>
      </c>
      <c r="V108">
        <f>+J108/5</f>
        <v>0</v>
      </c>
      <c r="W108" s="2">
        <f>IF(V108&lt;0,0,IF(V108&gt;2.375,2.375,V108))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IF(R109&lt;0,0,IF(R109&gt;2.375,2.375,R109))</f>
        <v>#DIV/0!</v>
      </c>
      <c r="T109" s="6" t="e">
        <f>+(L109-3)/4</f>
        <v>#DIV/0!</v>
      </c>
      <c r="U109" s="2" t="e">
        <f>IF(T109&lt;0,0,IF(T109&gt;2.375,2.375,T109))</f>
        <v>#DIV/0!</v>
      </c>
      <c r="V109">
        <f>+J109/5</f>
        <v>0</v>
      </c>
      <c r="W109" s="2">
        <f>IF(V109&lt;0,0,IF(V109&gt;2.375,2.375,V109))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3</v>
      </c>
      <c r="D113">
        <v>1</v>
      </c>
      <c r="E113">
        <f>8+17+32</f>
        <v>57</v>
      </c>
      <c r="F113" s="12">
        <f aca="true" t="shared" si="2" ref="F113:F118">+E113/C113</f>
        <v>19</v>
      </c>
      <c r="G113">
        <v>32</v>
      </c>
    </row>
    <row r="114" spans="1:6" ht="12">
      <c r="A114" t="s">
        <v>104</v>
      </c>
      <c r="F114" s="12" t="e">
        <f t="shared" si="2"/>
        <v>#DIV/0!</v>
      </c>
    </row>
    <row r="115" spans="1:7" ht="12">
      <c r="A115" t="s">
        <v>117</v>
      </c>
      <c r="C115">
        <v>2</v>
      </c>
      <c r="E115">
        <v>2</v>
      </c>
      <c r="F115" s="12">
        <f t="shared" si="2"/>
        <v>1</v>
      </c>
      <c r="G115">
        <v>2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5" ht="12">
      <c r="A125" t="s">
        <v>119</v>
      </c>
      <c r="E125" s="12" t="e">
        <f t="shared" si="3"/>
        <v>#DIV/0!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5" ht="12">
      <c r="A130" t="s">
        <v>117</v>
      </c>
      <c r="E130" s="12" t="e">
        <f>+D130/C130</f>
        <v>#DIV/0!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1</v>
      </c>
      <c r="D133">
        <v>42</v>
      </c>
      <c r="E133" s="12"/>
      <c r="F133">
        <v>42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9" ht="12">
      <c r="A141" t="s">
        <v>121</v>
      </c>
      <c r="C141">
        <v>6</v>
      </c>
      <c r="D141">
        <v>4</v>
      </c>
      <c r="E141">
        <v>3</v>
      </c>
      <c r="F141">
        <v>3</v>
      </c>
      <c r="G141">
        <v>3</v>
      </c>
      <c r="H141">
        <v>2</v>
      </c>
      <c r="I141" s="12">
        <f>+H141/G141*100</f>
        <v>66.66666666666666</v>
      </c>
      <c r="J141">
        <v>42</v>
      </c>
      <c r="P141">
        <v>1</v>
      </c>
      <c r="Q141">
        <v>1</v>
      </c>
      <c r="R141">
        <v>2</v>
      </c>
      <c r="S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6" ht="12">
      <c r="A149" t="s">
        <v>116</v>
      </c>
      <c r="C149">
        <v>2</v>
      </c>
      <c r="D149">
        <v>29</v>
      </c>
      <c r="E149" s="12">
        <f t="shared" si="4"/>
        <v>14.5</v>
      </c>
      <c r="F149">
        <v>20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C151">
        <v>1</v>
      </c>
      <c r="E151" s="12">
        <f t="shared" si="4"/>
        <v>0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/>
      <c r="D165" s="3"/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>
        <v>1</v>
      </c>
      <c r="D168" s="3">
        <v>9</v>
      </c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/>
      <c r="D170" s="3"/>
    </row>
    <row r="171" spans="1:4" ht="12">
      <c r="A171" t="s">
        <v>133</v>
      </c>
      <c r="C171" s="3"/>
      <c r="D171" s="3"/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R101" sqref="R10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20</v>
      </c>
      <c r="H6" s="1" t="s">
        <v>29</v>
      </c>
      <c r="M6" s="2">
        <v>9</v>
      </c>
    </row>
    <row r="7" spans="1:13" ht="12">
      <c r="A7" s="18" t="s">
        <v>95</v>
      </c>
      <c r="D7" s="2">
        <v>10</v>
      </c>
      <c r="H7" s="18" t="s">
        <v>95</v>
      </c>
      <c r="M7" s="2">
        <v>1</v>
      </c>
    </row>
    <row r="8" spans="1:13" ht="12">
      <c r="A8" s="18" t="s">
        <v>96</v>
      </c>
      <c r="D8" s="2">
        <v>8</v>
      </c>
      <c r="H8" s="18" t="s">
        <v>96</v>
      </c>
      <c r="M8" s="2">
        <v>6</v>
      </c>
    </row>
    <row r="9" spans="1:13" ht="12">
      <c r="A9" s="18" t="s">
        <v>97</v>
      </c>
      <c r="D9" s="2">
        <v>2</v>
      </c>
      <c r="H9" s="18" t="s">
        <v>97</v>
      </c>
      <c r="M9" s="2">
        <v>2</v>
      </c>
    </row>
    <row r="11" spans="1:23" ht="12">
      <c r="A11" t="s">
        <v>1</v>
      </c>
      <c r="D11" s="2">
        <f>20+5+3+1+5</f>
        <v>34</v>
      </c>
      <c r="H11" t="s">
        <v>1</v>
      </c>
      <c r="M11" s="2">
        <f>9+6+4+1</f>
        <v>20</v>
      </c>
      <c r="V11">
        <f>+D11</f>
        <v>34</v>
      </c>
      <c r="W11">
        <f>+M11</f>
        <v>20</v>
      </c>
    </row>
    <row r="12" spans="1:23" ht="12">
      <c r="A12" t="s">
        <v>2</v>
      </c>
      <c r="D12" s="2">
        <f>77+45+22+5+8</f>
        <v>157</v>
      </c>
      <c r="H12" t="s">
        <v>2</v>
      </c>
      <c r="M12" s="2">
        <f>9+16+16+1</f>
        <v>42</v>
      </c>
      <c r="U12" s="13"/>
      <c r="V12">
        <f>+D16</f>
        <v>19</v>
      </c>
      <c r="W12">
        <f>+M16</f>
        <v>11</v>
      </c>
    </row>
    <row r="13" spans="1:23" ht="12">
      <c r="A13" s="1" t="s">
        <v>3</v>
      </c>
      <c r="D13" s="8">
        <f>+D12/D11</f>
        <v>4.617647058823529</v>
      </c>
      <c r="H13" s="1" t="s">
        <v>3</v>
      </c>
      <c r="M13" s="8">
        <f>+M12/M11</f>
        <v>2.1</v>
      </c>
      <c r="V13">
        <f>+(D15-D16)/2</f>
        <v>5.5</v>
      </c>
      <c r="W13">
        <f>+(M15-M16)/2</f>
        <v>10</v>
      </c>
    </row>
    <row r="14" spans="22:23" ht="12">
      <c r="V14">
        <f>+D38/2</f>
        <v>3</v>
      </c>
      <c r="W14">
        <f>+M38/2</f>
        <v>4.5</v>
      </c>
    </row>
    <row r="15" spans="1:23" ht="12">
      <c r="A15" t="s">
        <v>4</v>
      </c>
      <c r="D15" s="2">
        <v>30</v>
      </c>
      <c r="H15" t="s">
        <v>4</v>
      </c>
      <c r="M15" s="2">
        <v>31</v>
      </c>
      <c r="V15">
        <f>+D42/2</f>
        <v>2</v>
      </c>
      <c r="W15">
        <f>+M42/2</f>
        <v>2.5</v>
      </c>
    </row>
    <row r="16" spans="1:23" ht="12">
      <c r="A16" t="s">
        <v>5</v>
      </c>
      <c r="D16" s="2">
        <v>19</v>
      </c>
      <c r="H16" t="s">
        <v>5</v>
      </c>
      <c r="M16" s="2">
        <v>11</v>
      </c>
      <c r="V16">
        <f>+D47/2</f>
        <v>1.5</v>
      </c>
      <c r="W16">
        <f>+M47/2</f>
        <v>1</v>
      </c>
    </row>
    <row r="17" spans="1:13" ht="12">
      <c r="A17" t="s">
        <v>6</v>
      </c>
      <c r="D17" s="8">
        <f>+D16/D15*100</f>
        <v>63.33333333333333</v>
      </c>
      <c r="H17" t="s">
        <v>6</v>
      </c>
      <c r="M17" s="8">
        <f>+M16/M15*100</f>
        <v>35.483870967741936</v>
      </c>
    </row>
    <row r="18" spans="1:24" ht="12">
      <c r="A18" t="s">
        <v>7</v>
      </c>
      <c r="D18" s="2">
        <v>181</v>
      </c>
      <c r="H18" t="s">
        <v>7</v>
      </c>
      <c r="M18" s="2">
        <f>49+97</f>
        <v>146</v>
      </c>
      <c r="V18">
        <f>SUM(V11:V16)</f>
        <v>65</v>
      </c>
      <c r="W18">
        <f>SUM(W11:W16)</f>
        <v>49</v>
      </c>
      <c r="X18">
        <f>+W18+V18</f>
        <v>114</v>
      </c>
    </row>
    <row r="19" spans="1:23" ht="12">
      <c r="A19" t="s">
        <v>8</v>
      </c>
      <c r="D19" s="2">
        <v>2</v>
      </c>
      <c r="H19" t="s">
        <v>8</v>
      </c>
      <c r="M19" s="2">
        <v>4</v>
      </c>
      <c r="V19">
        <f>+V18/X18</f>
        <v>0.5701754385964912</v>
      </c>
      <c r="W19">
        <f>+W18/X18</f>
        <v>0.4298245614035088</v>
      </c>
    </row>
    <row r="20" spans="1:23" ht="12">
      <c r="A20" t="s">
        <v>9</v>
      </c>
      <c r="D20" s="2">
        <v>13</v>
      </c>
      <c r="H20" t="s">
        <v>9</v>
      </c>
      <c r="M20" s="2">
        <f>8+8+16+6</f>
        <v>38</v>
      </c>
      <c r="V20">
        <f>+V19*60</f>
        <v>34.21052631578947</v>
      </c>
      <c r="W20">
        <f>+W19*60</f>
        <v>25.789473684210527</v>
      </c>
    </row>
    <row r="21" spans="1:23" ht="12">
      <c r="A21" t="s">
        <v>10</v>
      </c>
      <c r="D21">
        <f>+D18-D20</f>
        <v>168</v>
      </c>
      <c r="H21" t="s">
        <v>10</v>
      </c>
      <c r="M21">
        <f>+M18-M20</f>
        <v>108</v>
      </c>
      <c r="V21">
        <f>+V20-INT(V20)</f>
        <v>0.21052631578947256</v>
      </c>
      <c r="W21">
        <f>+W20-INT(W20)</f>
        <v>0.7894736842105274</v>
      </c>
    </row>
    <row r="22" spans="1:23" ht="12">
      <c r="A22" t="s">
        <v>11</v>
      </c>
      <c r="D22" s="7">
        <f>+D21/(D15+D19)</f>
        <v>5.25</v>
      </c>
      <c r="H22" t="s">
        <v>11</v>
      </c>
      <c r="M22" s="7">
        <f>+M21/(M15+M19)</f>
        <v>3.085714285714286</v>
      </c>
      <c r="V22">
        <f>+V21*60</f>
        <v>12.631578947368354</v>
      </c>
      <c r="W22">
        <f>+W21*60</f>
        <v>47.368421052631646</v>
      </c>
    </row>
    <row r="23" spans="1:23" ht="12">
      <c r="A23" t="s">
        <v>12</v>
      </c>
      <c r="D23" s="7">
        <f>+D18/D16</f>
        <v>9.526315789473685</v>
      </c>
      <c r="H23" t="s">
        <v>12</v>
      </c>
      <c r="M23" s="7">
        <f>+M18/M16</f>
        <v>13.272727272727273</v>
      </c>
      <c r="U23">
        <v>0</v>
      </c>
      <c r="V23" s="11">
        <f>ROUND(V22,0)</f>
        <v>13</v>
      </c>
      <c r="W23">
        <f>ROUND(W22,0)</f>
        <v>47</v>
      </c>
    </row>
    <row r="24" spans="22:23" ht="12">
      <c r="V24">
        <f>INT(V20)</f>
        <v>34</v>
      </c>
      <c r="W24">
        <f>INT(W20)</f>
        <v>25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325</v>
      </c>
      <c r="H26" t="s">
        <v>14</v>
      </c>
      <c r="M26">
        <f>+M21+M12</f>
        <v>150</v>
      </c>
      <c r="V26" s="14" t="str">
        <f>+V24&amp;V25&amp;V23</f>
        <v>34:13</v>
      </c>
      <c r="W26" s="9" t="str">
        <f>+W24&amp;W25&amp;W23</f>
        <v>25:47</v>
      </c>
    </row>
    <row r="27" spans="1:23" ht="12">
      <c r="A27" t="s">
        <v>15</v>
      </c>
      <c r="D27" s="7">
        <f>+D12/D26*100</f>
        <v>48.30769230769231</v>
      </c>
      <c r="H27" t="s">
        <v>15</v>
      </c>
      <c r="M27" s="7">
        <f>+M12/M26*100</f>
        <v>28.000000000000004</v>
      </c>
      <c r="V27" s="9" t="str">
        <f>IF(V23&lt;10,+V24&amp;V25&amp;$U$23&amp;V23,+V24&amp;V25&amp;V23)</f>
        <v>34:13</v>
      </c>
      <c r="W27" s="9" t="str">
        <f>IF(W23&lt;10,+W24&amp;W25&amp;$U$23&amp;W23,+W24&amp;W25&amp;W23)</f>
        <v>25:47</v>
      </c>
    </row>
    <row r="28" spans="1:13" ht="12">
      <c r="A28" s="1" t="s">
        <v>90</v>
      </c>
      <c r="D28" s="7">
        <f>+D21/D26*100</f>
        <v>51.69230769230769</v>
      </c>
      <c r="H28" s="1" t="s">
        <v>90</v>
      </c>
      <c r="M28" s="7">
        <f>+M21/M26*100</f>
        <v>72</v>
      </c>
    </row>
    <row r="30" spans="1:13" ht="12">
      <c r="A30" t="s">
        <v>16</v>
      </c>
      <c r="D30">
        <f>+D11+D15+D19</f>
        <v>66</v>
      </c>
      <c r="H30" t="s">
        <v>16</v>
      </c>
      <c r="M30">
        <f>+M11+M15+M19</f>
        <v>55</v>
      </c>
    </row>
    <row r="31" spans="1:13" ht="12">
      <c r="A31" t="s">
        <v>17</v>
      </c>
      <c r="D31" s="8">
        <f>+D26/D30</f>
        <v>4.924242424242424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2.727272727272727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0</v>
      </c>
      <c r="H34" t="s">
        <v>19</v>
      </c>
      <c r="M34" s="2">
        <v>3</v>
      </c>
    </row>
    <row r="35" spans="1:13" ht="12">
      <c r="A35" t="s">
        <v>20</v>
      </c>
      <c r="D35" s="2">
        <v>0</v>
      </c>
      <c r="H35" t="s">
        <v>20</v>
      </c>
      <c r="M35" s="2">
        <v>40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6</v>
      </c>
      <c r="H38" t="s">
        <v>22</v>
      </c>
      <c r="M38" s="2">
        <v>9</v>
      </c>
    </row>
    <row r="39" spans="1:13" ht="12">
      <c r="A39" t="s">
        <v>23</v>
      </c>
      <c r="D39" s="2">
        <f>48+40+41+22+34+26</f>
        <v>211</v>
      </c>
      <c r="H39" t="s">
        <v>23</v>
      </c>
      <c r="M39" s="2">
        <f>41+40+42+42+39+42+55+41+32</f>
        <v>374</v>
      </c>
    </row>
    <row r="40" spans="1:13" ht="12">
      <c r="A40" t="s">
        <v>24</v>
      </c>
      <c r="D40" s="8">
        <f>+D39/D38</f>
        <v>35.166666666666664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41.55555555555556</v>
      </c>
    </row>
    <row r="42" spans="1:13" ht="12">
      <c r="A42" t="s">
        <v>25</v>
      </c>
      <c r="D42" s="2">
        <v>4</v>
      </c>
      <c r="H42" t="s">
        <v>25</v>
      </c>
      <c r="M42" s="2">
        <v>5</v>
      </c>
    </row>
    <row r="43" spans="1:13" ht="12">
      <c r="A43" t="s">
        <v>26</v>
      </c>
      <c r="D43" s="2">
        <v>8</v>
      </c>
      <c r="H43" t="s">
        <v>26</v>
      </c>
      <c r="M43" s="2">
        <f>10+6+8+0+0</f>
        <v>24</v>
      </c>
    </row>
    <row r="44" spans="1:13" ht="12">
      <c r="A44" t="s">
        <v>27</v>
      </c>
      <c r="D44" s="8">
        <f>+D43/D42</f>
        <v>2</v>
      </c>
      <c r="H44" t="s">
        <v>27</v>
      </c>
      <c r="M44" s="8">
        <f>+M43/M42</f>
        <v>4.8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3</v>
      </c>
      <c r="H47" t="s">
        <v>30</v>
      </c>
      <c r="M47" s="2">
        <v>2</v>
      </c>
    </row>
    <row r="48" spans="1:13" ht="12">
      <c r="A48" t="s">
        <v>26</v>
      </c>
      <c r="D48" s="2">
        <f>13+21+13</f>
        <v>47</v>
      </c>
      <c r="H48" t="s">
        <v>26</v>
      </c>
      <c r="M48" s="2">
        <v>33</v>
      </c>
    </row>
    <row r="49" spans="1:13" ht="12">
      <c r="A49" t="s">
        <v>27</v>
      </c>
      <c r="D49" s="8">
        <f>+D48/D47</f>
        <v>15.666666666666666</v>
      </c>
      <c r="H49" t="s">
        <v>27</v>
      </c>
      <c r="M49" s="8">
        <f>+M48/M47</f>
        <v>16.5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5</v>
      </c>
      <c r="H52" t="s">
        <v>31</v>
      </c>
      <c r="M52" s="2">
        <v>7</v>
      </c>
    </row>
    <row r="53" spans="1:13" ht="12">
      <c r="A53" t="s">
        <v>32</v>
      </c>
      <c r="D53" s="2">
        <v>68</v>
      </c>
      <c r="H53" t="s">
        <v>32</v>
      </c>
      <c r="M53" s="2">
        <v>75</v>
      </c>
    </row>
    <row r="55" spans="1:13" ht="12">
      <c r="A55" t="s">
        <v>33</v>
      </c>
      <c r="D55" s="2">
        <v>3</v>
      </c>
      <c r="H55" t="s">
        <v>33</v>
      </c>
      <c r="M55" s="2">
        <v>1</v>
      </c>
    </row>
    <row r="56" spans="1:13" ht="12">
      <c r="A56" t="s">
        <v>34</v>
      </c>
      <c r="D56" s="2">
        <v>0</v>
      </c>
      <c r="H56" t="s">
        <v>34</v>
      </c>
      <c r="M56" s="2">
        <v>1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3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20</v>
      </c>
      <c r="H61" t="s">
        <v>38</v>
      </c>
      <c r="M61" s="2">
        <v>6</v>
      </c>
    </row>
    <row r="62" spans="1:13" ht="12">
      <c r="A62" t="s">
        <v>39</v>
      </c>
      <c r="D62" s="2">
        <v>2</v>
      </c>
      <c r="H62" t="s">
        <v>39</v>
      </c>
      <c r="M62" s="2">
        <v>0</v>
      </c>
    </row>
    <row r="63" spans="1:13" ht="12">
      <c r="A63" t="s">
        <v>40</v>
      </c>
      <c r="D63" s="2">
        <v>2</v>
      </c>
      <c r="H63" t="s">
        <v>40</v>
      </c>
      <c r="M63" s="2">
        <v>0</v>
      </c>
    </row>
    <row r="64" spans="1:13" ht="12">
      <c r="A64" t="s">
        <v>41</v>
      </c>
      <c r="D64" s="2">
        <v>0</v>
      </c>
      <c r="H64" t="s">
        <v>41</v>
      </c>
      <c r="M64" s="2">
        <v>0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2</v>
      </c>
      <c r="H66" t="s">
        <v>43</v>
      </c>
      <c r="M66" s="2">
        <v>0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2</v>
      </c>
      <c r="H68" t="s">
        <v>45</v>
      </c>
      <c r="M68" s="2">
        <v>2</v>
      </c>
    </row>
    <row r="69" spans="1:13" ht="12">
      <c r="A69" t="s">
        <v>46</v>
      </c>
      <c r="D69" s="2">
        <v>3</v>
      </c>
      <c r="H69" t="s">
        <v>46</v>
      </c>
      <c r="M69" s="2">
        <v>3</v>
      </c>
    </row>
    <row r="70" spans="1:13" ht="12">
      <c r="A70" t="s">
        <v>47</v>
      </c>
      <c r="D70" s="8">
        <f>+D68/D69*100</f>
        <v>66.66666666666666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66.66666666666666</v>
      </c>
    </row>
    <row r="71" spans="1:13" ht="12">
      <c r="A71" t="s">
        <v>93</v>
      </c>
      <c r="D71" s="10" t="str">
        <f>IF(V23&lt;10,V27,V26)</f>
        <v>34:13</v>
      </c>
      <c r="E71" s="8"/>
      <c r="F71" s="8"/>
      <c r="H71" t="s">
        <v>93</v>
      </c>
      <c r="M71" s="10" t="str">
        <f>IF(W23&lt;10,W27,W26)</f>
        <v>25:47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">
      <c r="A75" t="s">
        <v>100</v>
      </c>
      <c r="C75">
        <v>5</v>
      </c>
      <c r="D75">
        <v>8</v>
      </c>
      <c r="E75" s="12">
        <f>+D75/C75</f>
        <v>1.6</v>
      </c>
      <c r="F75">
        <v>3</v>
      </c>
    </row>
    <row r="76" spans="1:5" ht="12">
      <c r="A76" t="s">
        <v>101</v>
      </c>
      <c r="E76" s="12" t="e">
        <f>+D76/C76</f>
        <v>#DIV/0!</v>
      </c>
    </row>
    <row r="77" spans="1:5" ht="12">
      <c r="A77" t="s">
        <v>102</v>
      </c>
      <c r="E77" s="12" t="e">
        <f>+D77/C77</f>
        <v>#DIV/0!</v>
      </c>
    </row>
    <row r="78" spans="1:6" ht="12">
      <c r="A78" t="s">
        <v>103</v>
      </c>
      <c r="C78">
        <v>5</v>
      </c>
      <c r="D78">
        <v>45</v>
      </c>
      <c r="E78" s="12">
        <f aca="true" t="shared" si="0" ref="E78:E84">+D78/C78</f>
        <v>9</v>
      </c>
      <c r="F78">
        <v>32</v>
      </c>
    </row>
    <row r="79" spans="1:8" ht="12">
      <c r="A79" t="s">
        <v>104</v>
      </c>
      <c r="C79">
        <v>20</v>
      </c>
      <c r="D79">
        <v>77</v>
      </c>
      <c r="E79" s="12">
        <f t="shared" si="0"/>
        <v>3.85</v>
      </c>
      <c r="F79">
        <v>24</v>
      </c>
      <c r="G79">
        <v>2</v>
      </c>
      <c r="H79">
        <v>1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6" ht="12">
      <c r="A82" t="s">
        <v>107</v>
      </c>
      <c r="C82">
        <v>1</v>
      </c>
      <c r="D82">
        <v>5</v>
      </c>
      <c r="E82" s="12">
        <f t="shared" si="0"/>
        <v>5</v>
      </c>
      <c r="F82">
        <v>5</v>
      </c>
    </row>
    <row r="83" spans="1:6" ht="12">
      <c r="A83" t="s">
        <v>108</v>
      </c>
      <c r="C83">
        <v>3</v>
      </c>
      <c r="D83">
        <v>22</v>
      </c>
      <c r="E83" s="12">
        <f t="shared" si="0"/>
        <v>7.333333333333333</v>
      </c>
      <c r="F83">
        <v>11</v>
      </c>
    </row>
    <row r="84" spans="1:5" ht="12">
      <c r="A84" t="s">
        <v>109</v>
      </c>
      <c r="E84" s="12" t="e">
        <f t="shared" si="0"/>
        <v>#DIV/0!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6" ht="12">
      <c r="A90" t="s">
        <v>112</v>
      </c>
      <c r="C90">
        <v>1</v>
      </c>
      <c r="D90">
        <v>15</v>
      </c>
      <c r="E90" s="12">
        <f t="shared" si="1"/>
        <v>15</v>
      </c>
      <c r="F90">
        <v>15</v>
      </c>
    </row>
    <row r="91" spans="1:6" ht="12">
      <c r="A91" t="s">
        <v>103</v>
      </c>
      <c r="C91">
        <v>6</v>
      </c>
      <c r="D91">
        <v>56</v>
      </c>
      <c r="E91" s="12">
        <f t="shared" si="1"/>
        <v>9.333333333333334</v>
      </c>
      <c r="F91">
        <v>18</v>
      </c>
    </row>
    <row r="92" spans="1:8" ht="12">
      <c r="A92" t="s">
        <v>104</v>
      </c>
      <c r="C92">
        <v>1</v>
      </c>
      <c r="D92">
        <v>15</v>
      </c>
      <c r="E92" s="12">
        <f t="shared" si="1"/>
        <v>15</v>
      </c>
      <c r="F92">
        <v>15</v>
      </c>
      <c r="H92">
        <v>1</v>
      </c>
    </row>
    <row r="93" spans="1:6" ht="12">
      <c r="A93" s="2" t="s">
        <v>105</v>
      </c>
      <c r="C93">
        <v>2</v>
      </c>
      <c r="D93">
        <v>10</v>
      </c>
      <c r="E93" s="12">
        <f t="shared" si="1"/>
        <v>5</v>
      </c>
      <c r="F93">
        <v>5</v>
      </c>
    </row>
    <row r="94" spans="1:6" ht="12">
      <c r="A94" t="s">
        <v>113</v>
      </c>
      <c r="C94">
        <v>7</v>
      </c>
      <c r="D94">
        <v>57</v>
      </c>
      <c r="E94" s="12">
        <f t="shared" si="1"/>
        <v>8.142857142857142</v>
      </c>
      <c r="F94">
        <v>13</v>
      </c>
    </row>
    <row r="95" spans="1:6" ht="12">
      <c r="A95" t="s">
        <v>108</v>
      </c>
      <c r="C95">
        <v>1</v>
      </c>
      <c r="D95">
        <v>11</v>
      </c>
      <c r="E95" s="12">
        <f t="shared" si="1"/>
        <v>11</v>
      </c>
      <c r="F95">
        <v>11</v>
      </c>
    </row>
    <row r="96" spans="1:6" ht="12">
      <c r="A96" t="s">
        <v>114</v>
      </c>
      <c r="C96">
        <v>1</v>
      </c>
      <c r="D96">
        <v>17</v>
      </c>
      <c r="E96" s="12">
        <f t="shared" si="1"/>
        <v>17</v>
      </c>
      <c r="F96">
        <v>17</v>
      </c>
    </row>
    <row r="97" spans="1:5" ht="12">
      <c r="A97" t="s">
        <v>115</v>
      </c>
      <c r="E97" s="12" t="e">
        <f t="shared" si="1"/>
        <v>#DIV/0!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30</v>
      </c>
      <c r="D106">
        <v>19</v>
      </c>
      <c r="E106" s="12">
        <f>+D106/C106*100</f>
        <v>63.33333333333333</v>
      </c>
      <c r="F106">
        <v>181</v>
      </c>
      <c r="H106">
        <v>18</v>
      </c>
      <c r="J106" s="8">
        <f>+G106/C106*100</f>
        <v>0</v>
      </c>
      <c r="K106" s="12">
        <f>+I106/C106*100</f>
        <v>0</v>
      </c>
      <c r="L106" s="12">
        <f>+F106/C106</f>
        <v>6.033333333333333</v>
      </c>
      <c r="M106" s="12">
        <f>100*(S106+U106+W106+Y106)/6</f>
        <v>80</v>
      </c>
      <c r="O106">
        <v>2</v>
      </c>
      <c r="R106">
        <f>+(E106-30)/20</f>
        <v>1.6666666666666665</v>
      </c>
      <c r="S106" s="2">
        <f>IF(R106&lt;0,0,R106)</f>
        <v>1.6666666666666665</v>
      </c>
      <c r="T106" s="6">
        <f>+(L106-3)/4</f>
        <v>0.7583333333333333</v>
      </c>
      <c r="U106" s="2">
        <f>IF(T106&lt;0,0,T106)</f>
        <v>0.7583333333333333</v>
      </c>
      <c r="V106">
        <f>+J106/5</f>
        <v>0</v>
      </c>
      <c r="W106" s="2">
        <f>IF(V106&lt;0,0,V106)</f>
        <v>0</v>
      </c>
      <c r="X106">
        <f>(9.5-K106)/4</f>
        <v>2.375</v>
      </c>
      <c r="Y106" s="2">
        <f>IF(X106&lt;0,0,X106)</f>
        <v>2.375</v>
      </c>
    </row>
    <row r="107" spans="1:25" ht="12">
      <c r="A107" t="s">
        <v>101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3</v>
      </c>
      <c r="D113">
        <v>4</v>
      </c>
      <c r="E113">
        <v>9</v>
      </c>
      <c r="F113" s="12">
        <f aca="true" t="shared" si="2" ref="F113:F118">+E113/C113</f>
        <v>3</v>
      </c>
      <c r="G113">
        <v>9</v>
      </c>
    </row>
    <row r="114" spans="1:6" ht="12">
      <c r="A114" t="s">
        <v>104</v>
      </c>
      <c r="F114" s="12" t="e">
        <f t="shared" si="2"/>
        <v>#DIV/0!</v>
      </c>
    </row>
    <row r="115" spans="1:7" ht="12">
      <c r="A115" t="s">
        <v>117</v>
      </c>
      <c r="C115">
        <v>1</v>
      </c>
      <c r="E115">
        <v>-1</v>
      </c>
      <c r="F115" s="12">
        <f t="shared" si="2"/>
        <v>-1</v>
      </c>
      <c r="G115">
        <v>-1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6" ht="12">
      <c r="A125" t="s">
        <v>119</v>
      </c>
      <c r="C125">
        <v>2</v>
      </c>
      <c r="D125">
        <v>34</v>
      </c>
      <c r="E125" s="12">
        <f t="shared" si="3"/>
        <v>17</v>
      </c>
      <c r="F125">
        <v>21</v>
      </c>
    </row>
    <row r="126" spans="1:5" ht="12">
      <c r="A126" t="s">
        <v>104</v>
      </c>
      <c r="E126" s="12" t="e">
        <f t="shared" si="3"/>
        <v>#DIV/0!</v>
      </c>
    </row>
    <row r="127" spans="1:6" ht="12">
      <c r="A127" t="s">
        <v>105</v>
      </c>
      <c r="C127">
        <v>1</v>
      </c>
      <c r="D127">
        <v>13</v>
      </c>
      <c r="E127" s="12">
        <f t="shared" si="3"/>
        <v>13</v>
      </c>
      <c r="F127">
        <v>13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5" ht="12">
      <c r="A130" t="s">
        <v>117</v>
      </c>
      <c r="E130" s="12" t="e">
        <f>+D130/C130</f>
        <v>#DIV/0!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6</v>
      </c>
      <c r="D133">
        <f>48+40+41+22+34+26</f>
        <v>211</v>
      </c>
      <c r="E133" s="12"/>
      <c r="F133">
        <v>48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7" ht="12">
      <c r="A141" t="s">
        <v>121</v>
      </c>
      <c r="C141">
        <v>5</v>
      </c>
      <c r="D141">
        <v>3</v>
      </c>
      <c r="E141">
        <v>2</v>
      </c>
      <c r="F141">
        <v>2</v>
      </c>
      <c r="G141">
        <v>3</v>
      </c>
      <c r="H141">
        <v>2</v>
      </c>
      <c r="I141" s="12">
        <f>+H141/G141*100</f>
        <v>66.66666666666666</v>
      </c>
      <c r="J141">
        <v>39</v>
      </c>
      <c r="L141">
        <v>1</v>
      </c>
      <c r="M141">
        <v>1</v>
      </c>
      <c r="N141">
        <v>1</v>
      </c>
      <c r="P141">
        <v>1</v>
      </c>
      <c r="Q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6" ht="12">
      <c r="A149" t="s">
        <v>116</v>
      </c>
      <c r="C149">
        <v>2</v>
      </c>
      <c r="D149">
        <v>29</v>
      </c>
      <c r="E149" s="12">
        <f t="shared" si="4"/>
        <v>14.5</v>
      </c>
      <c r="F149">
        <v>29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8" ht="12">
      <c r="A152" t="s">
        <v>117</v>
      </c>
      <c r="C152">
        <v>1</v>
      </c>
      <c r="D152">
        <v>11</v>
      </c>
      <c r="E152" s="12">
        <f t="shared" si="4"/>
        <v>11</v>
      </c>
      <c r="F152">
        <v>11</v>
      </c>
      <c r="H152">
        <v>1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>
        <v>0.5</v>
      </c>
      <c r="D165" s="3">
        <v>8</v>
      </c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>
        <v>1</v>
      </c>
      <c r="D169" s="3">
        <v>8</v>
      </c>
    </row>
    <row r="170" spans="1:4" ht="12">
      <c r="A170" t="s">
        <v>132</v>
      </c>
      <c r="C170" s="3">
        <v>2</v>
      </c>
      <c r="D170" s="3">
        <v>14</v>
      </c>
    </row>
    <row r="171" spans="1:4" ht="12">
      <c r="A171" t="s">
        <v>133</v>
      </c>
      <c r="C171" s="3">
        <v>0.5</v>
      </c>
      <c r="D171" s="3">
        <v>8</v>
      </c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B1" sqref="B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11</v>
      </c>
      <c r="H6" s="1" t="s">
        <v>29</v>
      </c>
      <c r="M6" s="2">
        <v>20</v>
      </c>
    </row>
    <row r="7" spans="1:13" ht="12">
      <c r="A7" s="18" t="s">
        <v>95</v>
      </c>
      <c r="D7" s="2">
        <v>5</v>
      </c>
      <c r="H7" s="18" t="s">
        <v>95</v>
      </c>
      <c r="M7" s="2">
        <v>5</v>
      </c>
    </row>
    <row r="8" spans="1:13" ht="12">
      <c r="A8" s="18" t="s">
        <v>96</v>
      </c>
      <c r="D8" s="2">
        <v>6</v>
      </c>
      <c r="H8" s="18" t="s">
        <v>96</v>
      </c>
      <c r="M8" s="2">
        <v>13</v>
      </c>
    </row>
    <row r="9" spans="1:13" ht="12">
      <c r="A9" s="18" t="s">
        <v>97</v>
      </c>
      <c r="D9" s="2">
        <v>0</v>
      </c>
      <c r="H9" s="18" t="s">
        <v>97</v>
      </c>
      <c r="M9" s="2">
        <v>2</v>
      </c>
    </row>
    <row r="11" spans="1:23" ht="12">
      <c r="A11" t="s">
        <v>1</v>
      </c>
      <c r="D11" s="2">
        <v>25</v>
      </c>
      <c r="G11" t="str">
        <f>IF(D11=SUM(C75:C86),"ok","ERR")</f>
        <v>ok</v>
      </c>
      <c r="H11" t="s">
        <v>1</v>
      </c>
      <c r="M11" s="2">
        <v>31</v>
      </c>
      <c r="V11">
        <f>+D11</f>
        <v>25</v>
      </c>
      <c r="W11">
        <f>+M11</f>
        <v>31</v>
      </c>
    </row>
    <row r="12" spans="1:23" ht="12">
      <c r="A12" t="s">
        <v>2</v>
      </c>
      <c r="D12" s="2">
        <f>28+20+2+9+2</f>
        <v>61</v>
      </c>
      <c r="H12" t="s">
        <v>2</v>
      </c>
      <c r="M12" s="2">
        <f>39+68+6+17</f>
        <v>130</v>
      </c>
      <c r="P12" s="13"/>
      <c r="U12" s="13"/>
      <c r="V12">
        <f>+D16</f>
        <v>12</v>
      </c>
      <c r="W12">
        <f>+M16</f>
        <v>20</v>
      </c>
    </row>
    <row r="13" spans="1:23" ht="12">
      <c r="A13" s="1" t="s">
        <v>3</v>
      </c>
      <c r="D13" s="8">
        <f>+D12/D11</f>
        <v>2.44</v>
      </c>
      <c r="H13" s="1" t="s">
        <v>3</v>
      </c>
      <c r="M13" s="8">
        <f>+M12/M11</f>
        <v>4.193548387096774</v>
      </c>
      <c r="V13">
        <f>+(D15-D16)/2</f>
        <v>5</v>
      </c>
      <c r="W13">
        <f>+(M15-M16)/2</f>
        <v>7</v>
      </c>
    </row>
    <row r="14" spans="22:23" ht="12">
      <c r="V14">
        <f>+D38/2</f>
        <v>3.5</v>
      </c>
      <c r="W14">
        <f>+M38/2</f>
        <v>3</v>
      </c>
    </row>
    <row r="15" spans="1:23" ht="12">
      <c r="A15" t="s">
        <v>4</v>
      </c>
      <c r="D15" s="2">
        <v>22</v>
      </c>
      <c r="H15" t="s">
        <v>4</v>
      </c>
      <c r="M15" s="2">
        <v>34</v>
      </c>
      <c r="V15">
        <f>+D42/2</f>
        <v>1.5</v>
      </c>
      <c r="W15">
        <f>+M42/2</f>
        <v>1.5</v>
      </c>
    </row>
    <row r="16" spans="1:23" ht="12">
      <c r="A16" t="s">
        <v>5</v>
      </c>
      <c r="D16" s="2">
        <v>12</v>
      </c>
      <c r="H16" t="s">
        <v>5</v>
      </c>
      <c r="M16" s="2">
        <v>20</v>
      </c>
      <c r="V16">
        <f>+D47/2</f>
        <v>0</v>
      </c>
      <c r="W16">
        <f>+M47/2</f>
        <v>1</v>
      </c>
    </row>
    <row r="17" spans="1:13" ht="12">
      <c r="A17" t="s">
        <v>6</v>
      </c>
      <c r="D17" s="8">
        <f>+D16/D15*100</f>
        <v>54.54545454545454</v>
      </c>
      <c r="H17" t="s">
        <v>6</v>
      </c>
      <c r="M17" s="8">
        <f>+M16/M15*100</f>
        <v>58.82352941176471</v>
      </c>
    </row>
    <row r="18" spans="1:24" ht="12">
      <c r="A18" t="s">
        <v>7</v>
      </c>
      <c r="D18" s="2">
        <v>144</v>
      </c>
      <c r="H18" t="s">
        <v>7</v>
      </c>
      <c r="M18" s="2">
        <v>275</v>
      </c>
      <c r="V18">
        <f>SUM(V11:V16)</f>
        <v>47</v>
      </c>
      <c r="W18">
        <f>SUM(W11:W16)</f>
        <v>63.5</v>
      </c>
      <c r="X18">
        <f>+W18+V18</f>
        <v>110.5</v>
      </c>
    </row>
    <row r="19" spans="1:23" ht="12">
      <c r="A19" t="s">
        <v>8</v>
      </c>
      <c r="D19" s="2">
        <v>0</v>
      </c>
      <c r="H19" t="s">
        <v>8</v>
      </c>
      <c r="M19" s="2">
        <v>6</v>
      </c>
      <c r="V19">
        <f>+V18/X18</f>
        <v>0.4253393665158371</v>
      </c>
      <c r="W19">
        <f>+W18/X18</f>
        <v>0.5746606334841629</v>
      </c>
    </row>
    <row r="20" spans="1:23" ht="12">
      <c r="A20" t="s">
        <v>9</v>
      </c>
      <c r="D20" s="2">
        <v>0</v>
      </c>
      <c r="H20" t="s">
        <v>9</v>
      </c>
      <c r="M20" s="2">
        <f>2+8+4+11+7+12</f>
        <v>44</v>
      </c>
      <c r="V20">
        <f>+V19*60</f>
        <v>25.520361990950224</v>
      </c>
      <c r="W20">
        <f>+W19*60</f>
        <v>34.47963800904977</v>
      </c>
    </row>
    <row r="21" spans="1:23" ht="12">
      <c r="A21" t="s">
        <v>10</v>
      </c>
      <c r="D21">
        <f>+D18-D20</f>
        <v>144</v>
      </c>
      <c r="H21" t="s">
        <v>10</v>
      </c>
      <c r="M21">
        <f>+M18-M20</f>
        <v>231</v>
      </c>
      <c r="V21">
        <f>+V20-INT(V20)</f>
        <v>0.5203619909502244</v>
      </c>
      <c r="W21">
        <f>+W20-INT(W20)</f>
        <v>0.47963800904977205</v>
      </c>
    </row>
    <row r="22" spans="1:23" ht="12">
      <c r="A22" t="s">
        <v>11</v>
      </c>
      <c r="D22" s="7">
        <f>+D21/(D15+D19)</f>
        <v>6.545454545454546</v>
      </c>
      <c r="H22" t="s">
        <v>11</v>
      </c>
      <c r="M22" s="7">
        <f>+M21/(M15+M19)</f>
        <v>5.775</v>
      </c>
      <c r="V22">
        <f>+V21*60</f>
        <v>31.221719457013464</v>
      </c>
      <c r="W22">
        <f>+W21*60</f>
        <v>28.778280542986323</v>
      </c>
    </row>
    <row r="23" spans="1:23" ht="12">
      <c r="A23" t="s">
        <v>12</v>
      </c>
      <c r="D23" s="7">
        <f>+D18/D16</f>
        <v>12</v>
      </c>
      <c r="H23" t="s">
        <v>12</v>
      </c>
      <c r="M23" s="7">
        <f>+M18/M16</f>
        <v>13.75</v>
      </c>
      <c r="Q23" s="11"/>
      <c r="U23">
        <v>0</v>
      </c>
      <c r="V23" s="11">
        <f>ROUND(V22,0)</f>
        <v>31</v>
      </c>
      <c r="W23">
        <f>ROUND(W22,0)</f>
        <v>29</v>
      </c>
    </row>
    <row r="24" spans="22:23" ht="12">
      <c r="V24">
        <f>INT(V20)</f>
        <v>25</v>
      </c>
      <c r="W24">
        <f>INT(W20)</f>
        <v>34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205</v>
      </c>
      <c r="H26" t="s">
        <v>14</v>
      </c>
      <c r="M26">
        <f>+M21+M12</f>
        <v>361</v>
      </c>
      <c r="Q26" s="14"/>
      <c r="R26" s="9"/>
      <c r="V26" s="14" t="str">
        <f>+V24&amp;V25&amp;V23</f>
        <v>25:31</v>
      </c>
      <c r="W26" s="9" t="str">
        <f>+W24&amp;W25&amp;W23</f>
        <v>34:29</v>
      </c>
    </row>
    <row r="27" spans="1:23" ht="12">
      <c r="A27" t="s">
        <v>15</v>
      </c>
      <c r="D27" s="7">
        <f>+D12/D26*100</f>
        <v>29.756097560975608</v>
      </c>
      <c r="H27" t="s">
        <v>15</v>
      </c>
      <c r="M27" s="7">
        <f>+M12/M26*100</f>
        <v>36.011080332409975</v>
      </c>
      <c r="Q27" s="9"/>
      <c r="R27" s="9"/>
      <c r="V27" s="9" t="str">
        <f>IF(V23&lt;10,+V24&amp;V25&amp;$U$23&amp;V23,+V24&amp;V25&amp;V23)</f>
        <v>25:31</v>
      </c>
      <c r="W27" s="9" t="str">
        <f>IF(W23&lt;10,+W24&amp;W25&amp;$U$23&amp;W23,+W24&amp;W25&amp;W23)</f>
        <v>34:29</v>
      </c>
    </row>
    <row r="28" spans="1:16" ht="12">
      <c r="A28" s="1" t="s">
        <v>90</v>
      </c>
      <c r="D28" s="7">
        <f>+D21/D26*100</f>
        <v>70.24390243902438</v>
      </c>
      <c r="H28" s="1" t="s">
        <v>90</v>
      </c>
      <c r="M28" s="7">
        <f>+M21/M26*100</f>
        <v>63.988919667590025</v>
      </c>
      <c r="P28" s="13"/>
    </row>
    <row r="30" spans="1:13" ht="12">
      <c r="A30" t="s">
        <v>16</v>
      </c>
      <c r="D30">
        <f>+D11+D15+D19</f>
        <v>47</v>
      </c>
      <c r="H30" t="s">
        <v>16</v>
      </c>
      <c r="M30">
        <f>+M11+M15+M19</f>
        <v>71</v>
      </c>
    </row>
    <row r="31" spans="1:13" ht="12">
      <c r="A31" t="s">
        <v>17</v>
      </c>
      <c r="D31" s="8">
        <f>+D26/D30</f>
        <v>4.361702127659575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5.084507042253521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1</v>
      </c>
      <c r="H34" t="s">
        <v>19</v>
      </c>
      <c r="M34" s="2">
        <v>4</v>
      </c>
    </row>
    <row r="35" spans="1:13" ht="12">
      <c r="A35" t="s">
        <v>20</v>
      </c>
      <c r="D35" s="2">
        <v>11</v>
      </c>
      <c r="H35" t="s">
        <v>20</v>
      </c>
      <c r="M35" s="2">
        <f>34+68+9</f>
        <v>111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7</v>
      </c>
      <c r="H38" t="s">
        <v>22</v>
      </c>
      <c r="M38" s="2">
        <v>6</v>
      </c>
    </row>
    <row r="39" spans="1:13" ht="12">
      <c r="A39" t="s">
        <v>23</v>
      </c>
      <c r="D39" s="2">
        <f>54+48+45+41+52+54+44</f>
        <v>338</v>
      </c>
      <c r="H39" t="s">
        <v>23</v>
      </c>
      <c r="M39" s="2">
        <f>26+31+34+34+45+46</f>
        <v>216</v>
      </c>
    </row>
    <row r="40" spans="1:13" ht="12">
      <c r="A40" t="s">
        <v>24</v>
      </c>
      <c r="D40" s="8">
        <f>+D39/D38</f>
        <v>48.285714285714285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36</v>
      </c>
    </row>
    <row r="42" spans="1:13" ht="12">
      <c r="A42" t="s">
        <v>25</v>
      </c>
      <c r="D42" s="2">
        <v>3</v>
      </c>
      <c r="H42" t="s">
        <v>25</v>
      </c>
      <c r="M42" s="2">
        <v>3</v>
      </c>
    </row>
    <row r="43" spans="1:13" ht="12">
      <c r="A43" t="s">
        <v>26</v>
      </c>
      <c r="D43" s="2">
        <v>24</v>
      </c>
      <c r="H43" t="s">
        <v>26</v>
      </c>
      <c r="M43" s="2">
        <v>1</v>
      </c>
    </row>
    <row r="44" spans="1:13" ht="12">
      <c r="A44" t="s">
        <v>27</v>
      </c>
      <c r="D44" s="8">
        <f>+D43/D42</f>
        <v>8</v>
      </c>
      <c r="H44" t="s">
        <v>27</v>
      </c>
      <c r="M44" s="8">
        <f>+M43/M42</f>
        <v>0.3333333333333333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0</v>
      </c>
      <c r="H47" t="s">
        <v>30</v>
      </c>
      <c r="M47" s="2">
        <v>2</v>
      </c>
    </row>
    <row r="48" spans="1:13" ht="12">
      <c r="A48" t="s">
        <v>26</v>
      </c>
      <c r="D48" s="2">
        <v>0</v>
      </c>
      <c r="H48" t="s">
        <v>26</v>
      </c>
      <c r="M48" s="2">
        <v>51</v>
      </c>
    </row>
    <row r="49" spans="1:13" ht="12">
      <c r="A49" t="s">
        <v>27</v>
      </c>
      <c r="D49" s="8" t="e">
        <f>+D48/D47</f>
        <v>#DIV/0!</v>
      </c>
      <c r="H49" t="s">
        <v>27</v>
      </c>
      <c r="M49" s="8">
        <f>+M48/M47</f>
        <v>25.5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6</v>
      </c>
      <c r="H52" t="s">
        <v>31</v>
      </c>
      <c r="M52" s="2">
        <v>4</v>
      </c>
    </row>
    <row r="53" spans="1:13" ht="12">
      <c r="A53" t="s">
        <v>32</v>
      </c>
      <c r="D53" s="2">
        <v>55</v>
      </c>
      <c r="H53" t="s">
        <v>32</v>
      </c>
      <c r="M53" s="2">
        <v>35</v>
      </c>
    </row>
    <row r="55" spans="1:13" ht="12">
      <c r="A55" t="s">
        <v>33</v>
      </c>
      <c r="D55" s="2">
        <v>2</v>
      </c>
      <c r="H55" t="s">
        <v>33</v>
      </c>
      <c r="M55" s="2">
        <v>1</v>
      </c>
    </row>
    <row r="56" spans="1:13" ht="12">
      <c r="A56" t="s">
        <v>34</v>
      </c>
      <c r="D56" s="2">
        <v>1</v>
      </c>
      <c r="H56" t="s">
        <v>34</v>
      </c>
      <c r="M56" s="2">
        <v>1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1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14</v>
      </c>
      <c r="H61" t="s">
        <v>38</v>
      </c>
      <c r="M61" s="2">
        <v>7</v>
      </c>
    </row>
    <row r="62" spans="1:13" ht="12">
      <c r="A62" t="s">
        <v>39</v>
      </c>
      <c r="D62" s="2">
        <v>2</v>
      </c>
      <c r="H62" t="s">
        <v>39</v>
      </c>
      <c r="M62" s="2">
        <v>1</v>
      </c>
    </row>
    <row r="63" spans="1:13" ht="12">
      <c r="A63" t="s">
        <v>40</v>
      </c>
      <c r="D63" s="2">
        <v>1</v>
      </c>
      <c r="H63" t="s">
        <v>40</v>
      </c>
      <c r="M63" s="2">
        <v>0</v>
      </c>
    </row>
    <row r="64" spans="1:13" ht="12">
      <c r="A64" t="s">
        <v>41</v>
      </c>
      <c r="D64" s="2">
        <v>1</v>
      </c>
      <c r="H64" t="s">
        <v>41</v>
      </c>
      <c r="M64" s="2">
        <v>1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2</v>
      </c>
      <c r="H66" t="s">
        <v>43</v>
      </c>
      <c r="M66" s="2">
        <v>1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0</v>
      </c>
      <c r="H68" t="s">
        <v>45</v>
      </c>
      <c r="M68" s="2">
        <v>0</v>
      </c>
    </row>
    <row r="69" spans="1:13" ht="12">
      <c r="A69" t="s">
        <v>46</v>
      </c>
      <c r="D69" s="2">
        <v>1</v>
      </c>
      <c r="H69" t="s">
        <v>46</v>
      </c>
      <c r="M69" s="2">
        <v>1</v>
      </c>
    </row>
    <row r="70" spans="1:13" ht="12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0</v>
      </c>
    </row>
    <row r="71" spans="1:13" ht="12">
      <c r="A71" t="s">
        <v>93</v>
      </c>
      <c r="D71" s="10" t="str">
        <f>IF(V23&lt;10,V27,V26)</f>
        <v>25:31</v>
      </c>
      <c r="E71" s="8"/>
      <c r="F71" s="8"/>
      <c r="H71" t="s">
        <v>93</v>
      </c>
      <c r="M71" s="10" t="str">
        <f>IF(W23&lt;10,W27,W26)</f>
        <v>34:29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5" ht="12">
      <c r="A75" t="s">
        <v>100</v>
      </c>
      <c r="E75" s="12" t="e">
        <f>+D75/C75</f>
        <v>#DIV/0!</v>
      </c>
    </row>
    <row r="76" spans="1:5" ht="12">
      <c r="A76" t="s">
        <v>101</v>
      </c>
      <c r="E76" s="12" t="e">
        <f>+D76/C76</f>
        <v>#DIV/0!</v>
      </c>
    </row>
    <row r="77" spans="1:5" ht="12">
      <c r="A77" t="s">
        <v>102</v>
      </c>
      <c r="E77" s="12" t="e">
        <f>+D77/C77</f>
        <v>#DIV/0!</v>
      </c>
    </row>
    <row r="78" spans="1:8" ht="12">
      <c r="A78" t="s">
        <v>103</v>
      </c>
      <c r="C78">
        <v>4</v>
      </c>
      <c r="D78">
        <v>2</v>
      </c>
      <c r="E78" s="12">
        <f aca="true" t="shared" si="0" ref="E78:E84">+D78/C78</f>
        <v>0.5</v>
      </c>
      <c r="F78">
        <v>1</v>
      </c>
      <c r="G78">
        <v>0</v>
      </c>
      <c r="H78">
        <v>0</v>
      </c>
    </row>
    <row r="79" spans="1:8" ht="12">
      <c r="A79" t="s">
        <v>104</v>
      </c>
      <c r="C79">
        <v>7</v>
      </c>
      <c r="D79">
        <v>28</v>
      </c>
      <c r="E79" s="12">
        <f t="shared" si="0"/>
        <v>4</v>
      </c>
      <c r="F79">
        <v>12</v>
      </c>
      <c r="G79">
        <v>1</v>
      </c>
      <c r="H79">
        <v>0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8" ht="12">
      <c r="A83" t="s">
        <v>108</v>
      </c>
      <c r="C83">
        <v>3</v>
      </c>
      <c r="D83">
        <v>2</v>
      </c>
      <c r="E83" s="12">
        <f t="shared" si="0"/>
        <v>0.6666666666666666</v>
      </c>
      <c r="F83">
        <v>2</v>
      </c>
      <c r="G83">
        <v>0</v>
      </c>
      <c r="H83">
        <v>0</v>
      </c>
    </row>
    <row r="84" spans="1:8" ht="12">
      <c r="A84" t="s">
        <v>109</v>
      </c>
      <c r="C84">
        <v>1</v>
      </c>
      <c r="D84">
        <v>9</v>
      </c>
      <c r="E84" s="12">
        <f t="shared" si="0"/>
        <v>9</v>
      </c>
      <c r="F84">
        <v>9</v>
      </c>
      <c r="G84">
        <v>0</v>
      </c>
      <c r="H84">
        <v>0</v>
      </c>
    </row>
    <row r="85" spans="1:8" ht="12">
      <c r="A85" t="s">
        <v>110</v>
      </c>
      <c r="C85">
        <v>10</v>
      </c>
      <c r="D85">
        <v>20</v>
      </c>
      <c r="E85" s="12">
        <f>+D85/C85</f>
        <v>2</v>
      </c>
      <c r="F85">
        <v>11</v>
      </c>
      <c r="G85">
        <v>0</v>
      </c>
      <c r="H85">
        <v>1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8" ht="12">
      <c r="A91" t="s">
        <v>103</v>
      </c>
      <c r="C91">
        <v>2</v>
      </c>
      <c r="D91">
        <v>12</v>
      </c>
      <c r="E91" s="12">
        <f t="shared" si="1"/>
        <v>6</v>
      </c>
      <c r="F91">
        <v>11</v>
      </c>
      <c r="G91">
        <v>0</v>
      </c>
      <c r="H91">
        <v>0</v>
      </c>
    </row>
    <row r="92" spans="1:8" ht="12">
      <c r="A92" t="s">
        <v>104</v>
      </c>
      <c r="C92">
        <v>1</v>
      </c>
      <c r="D92">
        <v>13</v>
      </c>
      <c r="E92" s="12">
        <f t="shared" si="1"/>
        <v>13</v>
      </c>
      <c r="F92">
        <v>13</v>
      </c>
      <c r="G92">
        <v>0</v>
      </c>
      <c r="H92">
        <v>0</v>
      </c>
    </row>
    <row r="93" spans="1:5" ht="12">
      <c r="A93" s="2" t="s">
        <v>105</v>
      </c>
      <c r="E93" s="12" t="e">
        <f t="shared" si="1"/>
        <v>#DIV/0!</v>
      </c>
    </row>
    <row r="94" spans="1:8" ht="12">
      <c r="A94" t="s">
        <v>113</v>
      </c>
      <c r="C94">
        <v>3</v>
      </c>
      <c r="D94">
        <v>55</v>
      </c>
      <c r="E94" s="12">
        <f t="shared" si="1"/>
        <v>18.333333333333332</v>
      </c>
      <c r="F94">
        <v>28</v>
      </c>
      <c r="G94">
        <v>1</v>
      </c>
      <c r="H94">
        <v>0</v>
      </c>
    </row>
    <row r="95" spans="1:8" ht="12">
      <c r="A95" t="s">
        <v>108</v>
      </c>
      <c r="C95">
        <v>1</v>
      </c>
      <c r="D95">
        <v>2</v>
      </c>
      <c r="E95" s="12">
        <f t="shared" si="1"/>
        <v>2</v>
      </c>
      <c r="F95">
        <v>2</v>
      </c>
      <c r="G95">
        <v>0</v>
      </c>
      <c r="H95">
        <v>0</v>
      </c>
    </row>
    <row r="96" spans="1:8" ht="12">
      <c r="A96" t="s">
        <v>114</v>
      </c>
      <c r="C96">
        <v>1</v>
      </c>
      <c r="D96">
        <v>10</v>
      </c>
      <c r="E96" s="12">
        <f t="shared" si="1"/>
        <v>10</v>
      </c>
      <c r="F96">
        <v>10</v>
      </c>
      <c r="G96">
        <v>0</v>
      </c>
      <c r="H96">
        <v>0</v>
      </c>
    </row>
    <row r="97" spans="1:8" ht="12">
      <c r="A97" t="s">
        <v>115</v>
      </c>
      <c r="C97">
        <v>4</v>
      </c>
      <c r="D97">
        <v>52</v>
      </c>
      <c r="E97" s="12">
        <f t="shared" si="1"/>
        <v>13</v>
      </c>
      <c r="F97">
        <v>20</v>
      </c>
      <c r="G97">
        <v>0</v>
      </c>
      <c r="H97">
        <v>0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22</v>
      </c>
      <c r="D106">
        <v>12</v>
      </c>
      <c r="E106" s="12">
        <f>+D106/C106*100</f>
        <v>54.54545454545454</v>
      </c>
      <c r="F106">
        <v>144</v>
      </c>
      <c r="G106">
        <v>1</v>
      </c>
      <c r="H106">
        <v>28</v>
      </c>
      <c r="I106">
        <v>1</v>
      </c>
      <c r="J106" s="8">
        <f>+G106/C106*100</f>
        <v>4.545454545454546</v>
      </c>
      <c r="K106" s="12">
        <f>+I106/C106*100</f>
        <v>4.545454545454546</v>
      </c>
      <c r="L106" s="12">
        <f>+F106/C106</f>
        <v>6.545454545454546</v>
      </c>
      <c r="M106" s="12">
        <f>100*(S106+U106+W106+Y106)/6</f>
        <v>71.02272727272727</v>
      </c>
      <c r="N106">
        <v>0</v>
      </c>
      <c r="R106">
        <f>+(E106-30)/20</f>
        <v>1.227272727272727</v>
      </c>
      <c r="S106" s="2">
        <f>IF(R106&lt;0,0,R106)</f>
        <v>1.227272727272727</v>
      </c>
      <c r="T106" s="6">
        <f>+(L106-3)/4</f>
        <v>0.8863636363636365</v>
      </c>
      <c r="U106" s="2">
        <f>IF(T106&lt;0,0,T106)</f>
        <v>0.8863636363636365</v>
      </c>
      <c r="V106">
        <f>+J106/5</f>
        <v>0.9090909090909092</v>
      </c>
      <c r="W106" s="2">
        <f>IF(V106&lt;0,0,V106)</f>
        <v>0.9090909090909092</v>
      </c>
      <c r="X106">
        <f>(9.5-K106)/4</f>
        <v>1.2386363636363635</v>
      </c>
      <c r="Y106" s="2">
        <f>IF(X106&lt;0,0,X106)</f>
        <v>1.2386363636363635</v>
      </c>
    </row>
    <row r="107" spans="1:25" ht="12">
      <c r="A107" t="s">
        <v>101</v>
      </c>
      <c r="E107" s="12" t="e">
        <f>+D107/C107*100</f>
        <v>#DIV/0!</v>
      </c>
      <c r="J107" s="8" t="e">
        <f>+G107/C107*100</f>
        <v>#DIV/0!</v>
      </c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 t="e">
        <f>+J107/5</f>
        <v>#DIV/0!</v>
      </c>
      <c r="W107" s="2" t="e">
        <f>IF(V107&lt;0,0,V107)</f>
        <v>#DIV/0!</v>
      </c>
      <c r="X107" t="e">
        <f>(9.5-K107)/4</f>
        <v>#DIV/0!</v>
      </c>
      <c r="Y107" s="2" t="e">
        <f>IF(X107&lt;0,0,X107)</f>
        <v>#DIV/0!</v>
      </c>
    </row>
    <row r="108" spans="1:25" ht="12">
      <c r="A108" t="s">
        <v>110</v>
      </c>
      <c r="E108" s="12" t="e">
        <f>+D108/C108*100</f>
        <v>#DIV/0!</v>
      </c>
      <c r="J108" s="8" t="e">
        <f>+G108/C108*100</f>
        <v>#DIV/0!</v>
      </c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 t="e">
        <f>+J108/5</f>
        <v>#DIV/0!</v>
      </c>
      <c r="W108" s="2" t="e">
        <f>IF(V108&lt;0,0,V108)</f>
        <v>#DIV/0!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 t="e">
        <f>+J109/5</f>
        <v>#DIV/0!</v>
      </c>
      <c r="W109" s="2" t="e">
        <f>IF(V109&lt;0,0,V109)</f>
        <v>#DIV/0!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9" ht="12">
      <c r="A113" t="s">
        <v>116</v>
      </c>
      <c r="C113">
        <v>1</v>
      </c>
      <c r="D113">
        <v>3</v>
      </c>
      <c r="E113">
        <v>10</v>
      </c>
      <c r="F113" s="12">
        <f aca="true" t="shared" si="2" ref="F113:F118">+E113/C113</f>
        <v>10</v>
      </c>
      <c r="G113">
        <v>10</v>
      </c>
      <c r="H113">
        <v>0</v>
      </c>
      <c r="I113">
        <v>0</v>
      </c>
    </row>
    <row r="114" spans="1:6" ht="12">
      <c r="A114" t="s">
        <v>104</v>
      </c>
      <c r="F114" s="12" t="e">
        <f t="shared" si="2"/>
        <v>#DIV/0!</v>
      </c>
    </row>
    <row r="115" spans="1:9" ht="12">
      <c r="A115" t="s">
        <v>117</v>
      </c>
      <c r="C115">
        <v>2</v>
      </c>
      <c r="D115">
        <v>0</v>
      </c>
      <c r="E115">
        <v>14</v>
      </c>
      <c r="F115" s="12">
        <f t="shared" si="2"/>
        <v>7</v>
      </c>
      <c r="G115">
        <v>14</v>
      </c>
      <c r="H115">
        <v>0</v>
      </c>
      <c r="I115">
        <v>1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5" ht="12">
      <c r="A125" t="s">
        <v>119</v>
      </c>
      <c r="E125" s="12" t="e">
        <f t="shared" si="3"/>
        <v>#DIV/0!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5" ht="12">
      <c r="A130" t="s">
        <v>117</v>
      </c>
      <c r="E130" s="12" t="e">
        <f>+D130/C130</f>
        <v>#DIV/0!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8" ht="12">
      <c r="A133" t="s">
        <v>106</v>
      </c>
      <c r="C133">
        <v>7</v>
      </c>
      <c r="D133">
        <f>54+48+45+41+52+54+44</f>
        <v>338</v>
      </c>
      <c r="E133" s="12">
        <f>+D133/C133</f>
        <v>48.285714285714285</v>
      </c>
      <c r="F133">
        <v>54</v>
      </c>
      <c r="G133">
        <v>0</v>
      </c>
      <c r="H133">
        <v>0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6" ht="12">
      <c r="A141" t="s">
        <v>121</v>
      </c>
      <c r="C141">
        <v>3</v>
      </c>
      <c r="D141">
        <v>1</v>
      </c>
      <c r="E141">
        <v>2</v>
      </c>
      <c r="F141">
        <v>2</v>
      </c>
      <c r="G141">
        <v>1</v>
      </c>
      <c r="H141">
        <v>0</v>
      </c>
      <c r="I141" s="12">
        <f>+H141/G141*100</f>
        <v>0</v>
      </c>
      <c r="J141">
        <v>0</v>
      </c>
      <c r="P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8" ht="12">
      <c r="A148" t="s">
        <v>123</v>
      </c>
      <c r="C148">
        <v>1</v>
      </c>
      <c r="D148">
        <v>9</v>
      </c>
      <c r="E148" s="12">
        <f aca="true" t="shared" si="4" ref="E148:E154">+D148/C148</f>
        <v>9</v>
      </c>
      <c r="F148">
        <v>9</v>
      </c>
      <c r="G148">
        <v>0</v>
      </c>
      <c r="H148">
        <v>0</v>
      </c>
    </row>
    <row r="149" spans="1:8" ht="12">
      <c r="A149" t="s">
        <v>116</v>
      </c>
      <c r="C149">
        <v>1</v>
      </c>
      <c r="D149">
        <v>34</v>
      </c>
      <c r="E149" s="12">
        <f t="shared" si="4"/>
        <v>34</v>
      </c>
      <c r="F149">
        <v>34</v>
      </c>
      <c r="G149">
        <v>0</v>
      </c>
      <c r="H149">
        <v>0</v>
      </c>
    </row>
    <row r="150" spans="1:8" ht="12">
      <c r="A150" t="s">
        <v>124</v>
      </c>
      <c r="C150">
        <v>1</v>
      </c>
      <c r="D150">
        <v>68</v>
      </c>
      <c r="E150" s="12">
        <f t="shared" si="4"/>
        <v>68</v>
      </c>
      <c r="F150">
        <v>68</v>
      </c>
      <c r="G150">
        <v>0</v>
      </c>
      <c r="H150">
        <v>0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8" ht="12">
      <c r="A153" t="s">
        <v>125</v>
      </c>
      <c r="C153">
        <v>1</v>
      </c>
      <c r="D153">
        <v>0</v>
      </c>
      <c r="E153" s="12">
        <f t="shared" si="4"/>
        <v>0</v>
      </c>
      <c r="F153">
        <v>0</v>
      </c>
      <c r="G153">
        <v>0</v>
      </c>
      <c r="H153">
        <v>0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>
        <v>1</v>
      </c>
      <c r="D165" s="3">
        <v>4</v>
      </c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>
        <v>3</v>
      </c>
      <c r="D170" s="3">
        <v>22</v>
      </c>
    </row>
    <row r="171" spans="1:4" ht="12">
      <c r="A171" t="s">
        <v>133</v>
      </c>
      <c r="C171" s="3">
        <v>2</v>
      </c>
      <c r="D171" s="3">
        <v>18</v>
      </c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spans="1:7" ht="12">
      <c r="A208" t="s">
        <v>141</v>
      </c>
      <c r="C208">
        <v>1</v>
      </c>
      <c r="D208">
        <v>0</v>
      </c>
      <c r="E208">
        <v>0</v>
      </c>
      <c r="F208">
        <v>0</v>
      </c>
      <c r="G208">
        <v>0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B1" sqref="B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710937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17</v>
      </c>
      <c r="H6" s="1" t="s">
        <v>29</v>
      </c>
      <c r="M6" s="2">
        <v>19</v>
      </c>
    </row>
    <row r="7" spans="1:13" ht="12">
      <c r="A7" s="18" t="s">
        <v>95</v>
      </c>
      <c r="D7" s="2">
        <v>5</v>
      </c>
      <c r="H7" s="18" t="s">
        <v>95</v>
      </c>
      <c r="M7" s="2">
        <v>8</v>
      </c>
    </row>
    <row r="8" spans="1:13" ht="12">
      <c r="A8" s="18" t="s">
        <v>96</v>
      </c>
      <c r="D8" s="2">
        <v>9</v>
      </c>
      <c r="H8" s="18" t="s">
        <v>96</v>
      </c>
      <c r="M8" s="2">
        <v>10</v>
      </c>
    </row>
    <row r="9" spans="1:13" ht="12">
      <c r="A9" s="18" t="s">
        <v>97</v>
      </c>
      <c r="D9" s="2">
        <v>3</v>
      </c>
      <c r="H9" s="18" t="s">
        <v>97</v>
      </c>
      <c r="M9" s="2">
        <v>1</v>
      </c>
    </row>
    <row r="11" spans="1:23" ht="12">
      <c r="A11" t="s">
        <v>1</v>
      </c>
      <c r="D11" s="2">
        <v>21</v>
      </c>
      <c r="G11" t="str">
        <f>IF(D11=SUM(C75:C86),"ok","ERR")</f>
        <v>ok</v>
      </c>
      <c r="H11" t="s">
        <v>1</v>
      </c>
      <c r="M11" s="2">
        <v>42</v>
      </c>
      <c r="V11">
        <f>+D11</f>
        <v>21</v>
      </c>
      <c r="W11">
        <f>+M11</f>
        <v>42</v>
      </c>
    </row>
    <row r="12" spans="1:23" ht="12">
      <c r="A12" t="s">
        <v>2</v>
      </c>
      <c r="D12" s="2">
        <f>27+64+8+13+9</f>
        <v>121</v>
      </c>
      <c r="H12" t="s">
        <v>2</v>
      </c>
      <c r="M12" s="2">
        <f>196+9+30</f>
        <v>235</v>
      </c>
      <c r="U12" s="13"/>
      <c r="V12">
        <f>+D16</f>
        <v>21</v>
      </c>
      <c r="W12">
        <f>+M16</f>
        <v>14</v>
      </c>
    </row>
    <row r="13" spans="1:23" ht="12">
      <c r="A13" s="1" t="s">
        <v>3</v>
      </c>
      <c r="D13" s="8">
        <f>+D12/D11</f>
        <v>5.761904761904762</v>
      </c>
      <c r="H13" s="1" t="s">
        <v>3</v>
      </c>
      <c r="M13" s="8">
        <f>+M12/M11</f>
        <v>5.595238095238095</v>
      </c>
      <c r="V13">
        <f>+(D15-D16)/2</f>
        <v>6.5</v>
      </c>
      <c r="W13">
        <f>+(M15-M16)/2</f>
        <v>4.5</v>
      </c>
    </row>
    <row r="14" spans="22:23" ht="12">
      <c r="V14">
        <f>+D38/2</f>
        <v>2.5</v>
      </c>
      <c r="W14">
        <f>+M38/2</f>
        <v>2.5</v>
      </c>
    </row>
    <row r="15" spans="1:23" ht="12">
      <c r="A15" t="s">
        <v>4</v>
      </c>
      <c r="D15" s="2">
        <v>34</v>
      </c>
      <c r="H15" t="s">
        <v>4</v>
      </c>
      <c r="M15" s="2">
        <v>23</v>
      </c>
      <c r="V15">
        <f>+D42/2</f>
        <v>1.5</v>
      </c>
      <c r="W15">
        <f>+M42/2</f>
        <v>2.5</v>
      </c>
    </row>
    <row r="16" spans="1:23" ht="12">
      <c r="A16" t="s">
        <v>5</v>
      </c>
      <c r="D16" s="2">
        <v>21</v>
      </c>
      <c r="H16" t="s">
        <v>5</v>
      </c>
      <c r="M16" s="2">
        <v>14</v>
      </c>
      <c r="V16">
        <f>+D47/2</f>
        <v>2</v>
      </c>
      <c r="W16">
        <f>+M47/2</f>
        <v>2</v>
      </c>
    </row>
    <row r="17" spans="1:13" ht="12">
      <c r="A17" t="s">
        <v>6</v>
      </c>
      <c r="D17" s="8">
        <f>+D16/D15*100</f>
        <v>61.76470588235294</v>
      </c>
      <c r="H17" t="s">
        <v>6</v>
      </c>
      <c r="M17" s="8">
        <f>+M16/M15*100</f>
        <v>60.86956521739131</v>
      </c>
    </row>
    <row r="18" spans="1:24" ht="12">
      <c r="A18" t="s">
        <v>7</v>
      </c>
      <c r="D18" s="2">
        <f>143+53</f>
        <v>196</v>
      </c>
      <c r="H18" t="s">
        <v>7</v>
      </c>
      <c r="M18" s="2">
        <f>169+35</f>
        <v>204</v>
      </c>
      <c r="V18">
        <f>SUM(V11:V16)</f>
        <v>54.5</v>
      </c>
      <c r="W18">
        <f>SUM(W11:W16)</f>
        <v>67.5</v>
      </c>
      <c r="X18">
        <f>+W18+V18</f>
        <v>122</v>
      </c>
    </row>
    <row r="19" spans="1:23" ht="12">
      <c r="A19" t="s">
        <v>8</v>
      </c>
      <c r="D19" s="2">
        <v>3</v>
      </c>
      <c r="H19" t="s">
        <v>8</v>
      </c>
      <c r="M19" s="2">
        <v>2</v>
      </c>
      <c r="V19">
        <f>+V18/X18</f>
        <v>0.44672131147540983</v>
      </c>
      <c r="W19">
        <f>+W18/X18</f>
        <v>0.5532786885245902</v>
      </c>
    </row>
    <row r="20" spans="1:23" ht="12">
      <c r="A20" t="s">
        <v>9</v>
      </c>
      <c r="D20" s="2">
        <v>24</v>
      </c>
      <c r="H20" t="s">
        <v>9</v>
      </c>
      <c r="M20" s="2">
        <v>8</v>
      </c>
      <c r="V20">
        <f>+V19*60</f>
        <v>26.80327868852459</v>
      </c>
      <c r="W20">
        <f>+W19*60</f>
        <v>33.19672131147541</v>
      </c>
    </row>
    <row r="21" spans="1:23" ht="12">
      <c r="A21" t="s">
        <v>10</v>
      </c>
      <c r="D21">
        <f>+D18-D20</f>
        <v>172</v>
      </c>
      <c r="H21" t="s">
        <v>10</v>
      </c>
      <c r="M21">
        <f>+M18-M20</f>
        <v>196</v>
      </c>
      <c r="V21">
        <f>+V20-INT(V20)</f>
        <v>0.8032786885245891</v>
      </c>
      <c r="W21">
        <f>+W20-INT(W20)</f>
        <v>0.1967213114754074</v>
      </c>
    </row>
    <row r="22" spans="1:23" ht="12">
      <c r="A22" t="s">
        <v>11</v>
      </c>
      <c r="D22" s="7">
        <f>+D21/(D15+D19)</f>
        <v>4.648648648648648</v>
      </c>
      <c r="H22" t="s">
        <v>11</v>
      </c>
      <c r="M22" s="7">
        <f>+M21/(M15+M19)</f>
        <v>7.84</v>
      </c>
      <c r="V22">
        <f>+V21*60</f>
        <v>48.19672131147534</v>
      </c>
      <c r="W22">
        <f>+W21*60</f>
        <v>11.803278688524443</v>
      </c>
    </row>
    <row r="23" spans="1:23" ht="12">
      <c r="A23" t="s">
        <v>12</v>
      </c>
      <c r="D23" s="7">
        <f>+D18/D16</f>
        <v>9.333333333333334</v>
      </c>
      <c r="H23" t="s">
        <v>12</v>
      </c>
      <c r="M23" s="7">
        <f>+M18/M16</f>
        <v>14.571428571428571</v>
      </c>
      <c r="U23">
        <v>0</v>
      </c>
      <c r="V23" s="11">
        <f>ROUND(V22,0)</f>
        <v>48</v>
      </c>
      <c r="W23">
        <f>ROUND(W22,0)</f>
        <v>12</v>
      </c>
    </row>
    <row r="24" spans="22:23" ht="12">
      <c r="V24">
        <f>INT(V20)</f>
        <v>26</v>
      </c>
      <c r="W24">
        <f>INT(W20)</f>
        <v>33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293</v>
      </c>
      <c r="H26" t="s">
        <v>14</v>
      </c>
      <c r="M26">
        <f>+M21+M12</f>
        <v>431</v>
      </c>
      <c r="Q26" s="9"/>
      <c r="R26" s="9"/>
      <c r="V26" s="14" t="str">
        <f>+V24&amp;V25&amp;V23</f>
        <v>26:48</v>
      </c>
      <c r="W26" s="9" t="str">
        <f>+W24&amp;W25&amp;W23</f>
        <v>33:12</v>
      </c>
    </row>
    <row r="27" spans="1:23" ht="12">
      <c r="A27" t="s">
        <v>15</v>
      </c>
      <c r="D27" s="7">
        <f>+D12/D26*100</f>
        <v>41.29692832764505</v>
      </c>
      <c r="H27" t="s">
        <v>15</v>
      </c>
      <c r="M27" s="7">
        <f>+M12/M26*100</f>
        <v>54.524361948955914</v>
      </c>
      <c r="V27" s="9" t="str">
        <f>IF(V23&lt;10,+V24&amp;V25&amp;$U$23&amp;V23,+V24&amp;V25&amp;V23)</f>
        <v>26:48</v>
      </c>
      <c r="W27" s="9" t="str">
        <f>IF(W23&lt;10,+W24&amp;W25&amp;$U$23&amp;W23,+W24&amp;W25&amp;W23)</f>
        <v>33:12</v>
      </c>
    </row>
    <row r="28" spans="1:13" ht="12">
      <c r="A28" s="1" t="s">
        <v>90</v>
      </c>
      <c r="D28" s="7">
        <f>+D21/D26*100</f>
        <v>58.703071672354945</v>
      </c>
      <c r="H28" s="1" t="s">
        <v>90</v>
      </c>
      <c r="M28" s="7">
        <f>+M21/M26*100</f>
        <v>45.47563805104408</v>
      </c>
    </row>
    <row r="30" spans="1:13" ht="12">
      <c r="A30" t="s">
        <v>16</v>
      </c>
      <c r="D30">
        <f>+D11+D15+D19</f>
        <v>58</v>
      </c>
      <c r="H30" t="s">
        <v>16</v>
      </c>
      <c r="M30">
        <f>+M11+M15+M19</f>
        <v>67</v>
      </c>
    </row>
    <row r="31" spans="1:13" ht="12">
      <c r="A31" t="s">
        <v>17</v>
      </c>
      <c r="D31" s="8">
        <f>+D26/D30</f>
        <v>5.051724137931035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6.432835820895522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1</v>
      </c>
      <c r="H34" t="s">
        <v>19</v>
      </c>
      <c r="M34" s="2">
        <v>0</v>
      </c>
    </row>
    <row r="35" spans="1:13" ht="12">
      <c r="A35" t="s">
        <v>20</v>
      </c>
      <c r="D35" s="2">
        <v>14</v>
      </c>
      <c r="H35" t="s">
        <v>20</v>
      </c>
      <c r="M35" s="2">
        <v>0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5</v>
      </c>
      <c r="H38" t="s">
        <v>22</v>
      </c>
      <c r="M38" s="2">
        <v>5</v>
      </c>
    </row>
    <row r="39" spans="1:13" ht="12">
      <c r="A39" t="s">
        <v>23</v>
      </c>
      <c r="D39" s="2">
        <f>52+41+41+48+40</f>
        <v>222</v>
      </c>
      <c r="H39" t="s">
        <v>23</v>
      </c>
      <c r="M39" s="2">
        <f>52+40+48+50+32</f>
        <v>222</v>
      </c>
    </row>
    <row r="40" spans="1:13" ht="12">
      <c r="A40" t="s">
        <v>24</v>
      </c>
      <c r="D40" s="8">
        <f>+D39/D38</f>
        <v>44.4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44.4</v>
      </c>
    </row>
    <row r="42" spans="1:13" ht="12">
      <c r="A42" t="s">
        <v>25</v>
      </c>
      <c r="D42" s="2">
        <v>3</v>
      </c>
      <c r="H42" t="s">
        <v>25</v>
      </c>
      <c r="M42" s="2">
        <v>5</v>
      </c>
    </row>
    <row r="43" spans="1:13" ht="12">
      <c r="A43" t="s">
        <v>26</v>
      </c>
      <c r="D43" s="2">
        <v>21</v>
      </c>
      <c r="H43" t="s">
        <v>26</v>
      </c>
      <c r="M43" s="2">
        <v>35</v>
      </c>
    </row>
    <row r="44" spans="1:13" ht="12">
      <c r="A44" t="s">
        <v>27</v>
      </c>
      <c r="D44" s="8">
        <f>+D43/D42</f>
        <v>7</v>
      </c>
      <c r="H44" t="s">
        <v>27</v>
      </c>
      <c r="M44" s="8">
        <f>+M43/M42</f>
        <v>7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4</v>
      </c>
      <c r="H47" t="s">
        <v>30</v>
      </c>
      <c r="M47" s="2">
        <v>4</v>
      </c>
    </row>
    <row r="48" spans="1:13" ht="12">
      <c r="A48" t="s">
        <v>26</v>
      </c>
      <c r="D48" s="2">
        <f>28+13+31+21</f>
        <v>93</v>
      </c>
      <c r="H48" t="s">
        <v>26</v>
      </c>
      <c r="M48" s="2">
        <f>24+18+25+0</f>
        <v>67</v>
      </c>
    </row>
    <row r="49" spans="1:13" ht="12">
      <c r="A49" t="s">
        <v>27</v>
      </c>
      <c r="D49" s="8">
        <f>+D48/D47</f>
        <v>23.25</v>
      </c>
      <c r="H49" t="s">
        <v>27</v>
      </c>
      <c r="M49" s="8">
        <f>+M48/M47</f>
        <v>16.75</v>
      </c>
    </row>
    <row r="50" spans="1:13" ht="12">
      <c r="A50" t="s">
        <v>28</v>
      </c>
      <c r="D50" s="2"/>
      <c r="H50" t="s">
        <v>28</v>
      </c>
      <c r="M50" s="2">
        <v>0</v>
      </c>
    </row>
    <row r="52" spans="1:13" ht="12">
      <c r="A52" t="s">
        <v>31</v>
      </c>
      <c r="D52" s="2">
        <v>5</v>
      </c>
      <c r="H52" t="s">
        <v>31</v>
      </c>
      <c r="M52" s="2">
        <v>6</v>
      </c>
    </row>
    <row r="53" spans="1:13" ht="12">
      <c r="A53" t="s">
        <v>32</v>
      </c>
      <c r="D53" s="2">
        <v>48</v>
      </c>
      <c r="H53" t="s">
        <v>32</v>
      </c>
      <c r="M53" s="2">
        <v>59</v>
      </c>
    </row>
    <row r="55" spans="1:13" ht="12">
      <c r="A55" t="s">
        <v>33</v>
      </c>
      <c r="D55" s="2">
        <v>2</v>
      </c>
      <c r="H55" t="s">
        <v>33</v>
      </c>
      <c r="M55" s="2">
        <v>5</v>
      </c>
    </row>
    <row r="56" spans="1:13" ht="12">
      <c r="A56" t="s">
        <v>34</v>
      </c>
      <c r="D56" s="2">
        <v>0</v>
      </c>
      <c r="H56" t="s">
        <v>34</v>
      </c>
      <c r="M56" s="2">
        <v>3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2</v>
      </c>
      <c r="H58" t="s">
        <v>36</v>
      </c>
      <c r="M58" s="2">
        <v>2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31</v>
      </c>
      <c r="H61" t="s">
        <v>38</v>
      </c>
      <c r="M61" s="2">
        <v>38</v>
      </c>
    </row>
    <row r="62" spans="1:13" ht="12">
      <c r="A62" t="s">
        <v>39</v>
      </c>
      <c r="D62" s="2">
        <v>4</v>
      </c>
      <c r="H62" t="s">
        <v>39</v>
      </c>
      <c r="M62" s="2">
        <v>5</v>
      </c>
    </row>
    <row r="63" spans="1:13" ht="12">
      <c r="A63" t="s">
        <v>40</v>
      </c>
      <c r="D63" s="2">
        <v>1</v>
      </c>
      <c r="H63" t="s">
        <v>40</v>
      </c>
      <c r="M63" s="2">
        <v>4</v>
      </c>
    </row>
    <row r="64" spans="1:13" ht="12">
      <c r="A64" t="s">
        <v>41</v>
      </c>
      <c r="D64" s="2">
        <v>3</v>
      </c>
      <c r="H64" t="s">
        <v>41</v>
      </c>
      <c r="M64" s="2">
        <v>1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4</v>
      </c>
      <c r="H66" t="s">
        <v>43</v>
      </c>
      <c r="M66" s="2">
        <v>5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1</v>
      </c>
      <c r="H68" t="s">
        <v>45</v>
      </c>
      <c r="M68" s="2">
        <v>1</v>
      </c>
    </row>
    <row r="69" spans="1:13" ht="12">
      <c r="A69" t="s">
        <v>46</v>
      </c>
      <c r="D69" s="2">
        <v>2</v>
      </c>
      <c r="H69" t="s">
        <v>46</v>
      </c>
      <c r="M69" s="2">
        <v>2</v>
      </c>
    </row>
    <row r="70" spans="1:13" ht="12">
      <c r="A70" t="s">
        <v>47</v>
      </c>
      <c r="D70" s="8">
        <f>+D68/D69*100</f>
        <v>50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50</v>
      </c>
    </row>
    <row r="71" spans="1:13" ht="12">
      <c r="A71" t="s">
        <v>93</v>
      </c>
      <c r="D71" s="10" t="str">
        <f>IF(V23&lt;10,V27,V26)</f>
        <v>26:48</v>
      </c>
      <c r="E71" s="8"/>
      <c r="F71" s="8"/>
      <c r="H71" t="s">
        <v>93</v>
      </c>
      <c r="M71" s="10" t="str">
        <f>IF(W23&lt;10,W27,W26)</f>
        <v>33:12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">
      <c r="A75" t="s">
        <v>100</v>
      </c>
      <c r="C75">
        <v>1</v>
      </c>
      <c r="D75">
        <v>13</v>
      </c>
      <c r="E75" s="12">
        <f>+D75/C75</f>
        <v>13</v>
      </c>
      <c r="F75">
        <v>13</v>
      </c>
      <c r="H75">
        <v>1</v>
      </c>
    </row>
    <row r="76" spans="1:6" ht="12">
      <c r="A76" t="s">
        <v>101</v>
      </c>
      <c r="C76">
        <v>3</v>
      </c>
      <c r="D76">
        <v>9</v>
      </c>
      <c r="E76" s="12">
        <f>+D76/C76</f>
        <v>3</v>
      </c>
      <c r="F76">
        <v>6</v>
      </c>
    </row>
    <row r="77" spans="1:5" ht="12">
      <c r="A77" t="s">
        <v>102</v>
      </c>
      <c r="E77" s="12" t="e">
        <f>+D77/C77</f>
        <v>#DIV/0!</v>
      </c>
    </row>
    <row r="78" spans="1:6" ht="12">
      <c r="A78" t="s">
        <v>103</v>
      </c>
      <c r="C78">
        <v>4</v>
      </c>
      <c r="D78">
        <v>64</v>
      </c>
      <c r="E78" s="12">
        <f aca="true" t="shared" si="0" ref="E78:E84">+D78/C78</f>
        <v>16</v>
      </c>
      <c r="F78">
        <v>42</v>
      </c>
    </row>
    <row r="79" spans="1:6" ht="12">
      <c r="A79" t="s">
        <v>104</v>
      </c>
      <c r="C79">
        <v>9</v>
      </c>
      <c r="D79">
        <v>27</v>
      </c>
      <c r="E79" s="12">
        <f t="shared" si="0"/>
        <v>3</v>
      </c>
      <c r="F79">
        <v>12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7" ht="12">
      <c r="A83" t="s">
        <v>108</v>
      </c>
      <c r="C83">
        <v>2</v>
      </c>
      <c r="D83">
        <v>8</v>
      </c>
      <c r="E83" s="12">
        <f t="shared" si="0"/>
        <v>4</v>
      </c>
      <c r="F83">
        <v>5</v>
      </c>
      <c r="G83">
        <v>1</v>
      </c>
    </row>
    <row r="84" spans="1:5" ht="12">
      <c r="A84" t="s">
        <v>109</v>
      </c>
      <c r="C84">
        <v>2</v>
      </c>
      <c r="E84" s="12">
        <f t="shared" si="0"/>
        <v>0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8" ht="12">
      <c r="A91" t="s">
        <v>103</v>
      </c>
      <c r="C91">
        <v>4</v>
      </c>
      <c r="D91">
        <v>45</v>
      </c>
      <c r="E91" s="12">
        <f t="shared" si="1"/>
        <v>11.25</v>
      </c>
      <c r="F91">
        <v>19</v>
      </c>
      <c r="H91">
        <v>1</v>
      </c>
    </row>
    <row r="92" spans="1:7" ht="12">
      <c r="A92" t="s">
        <v>104</v>
      </c>
      <c r="C92">
        <v>3</v>
      </c>
      <c r="D92">
        <v>18</v>
      </c>
      <c r="E92" s="12">
        <f t="shared" si="1"/>
        <v>6</v>
      </c>
      <c r="F92">
        <v>8</v>
      </c>
      <c r="G92">
        <v>1</v>
      </c>
    </row>
    <row r="93" spans="1:5" ht="12">
      <c r="A93" s="2" t="s">
        <v>105</v>
      </c>
      <c r="E93" s="12" t="e">
        <f t="shared" si="1"/>
        <v>#DIV/0!</v>
      </c>
    </row>
    <row r="94" spans="1:7" ht="12">
      <c r="A94" t="s">
        <v>113</v>
      </c>
      <c r="C94">
        <v>5</v>
      </c>
      <c r="D94">
        <v>55</v>
      </c>
      <c r="E94" s="12">
        <f t="shared" si="1"/>
        <v>11</v>
      </c>
      <c r="F94">
        <v>19</v>
      </c>
      <c r="G94">
        <v>1</v>
      </c>
    </row>
    <row r="95" spans="1:6" ht="12">
      <c r="A95" t="s">
        <v>108</v>
      </c>
      <c r="C95">
        <v>1</v>
      </c>
      <c r="D95">
        <v>-4</v>
      </c>
      <c r="E95" s="12">
        <f t="shared" si="1"/>
        <v>-4</v>
      </c>
      <c r="F95">
        <v>-4</v>
      </c>
    </row>
    <row r="96" spans="1:7" ht="12">
      <c r="A96" t="s">
        <v>114</v>
      </c>
      <c r="C96">
        <v>3</v>
      </c>
      <c r="D96">
        <v>31</v>
      </c>
      <c r="E96" s="12">
        <f t="shared" si="1"/>
        <v>10.333333333333334</v>
      </c>
      <c r="F96">
        <v>11</v>
      </c>
      <c r="G96">
        <v>1</v>
      </c>
    </row>
    <row r="97" spans="1:6" ht="12">
      <c r="A97" t="s">
        <v>115</v>
      </c>
      <c r="C97">
        <v>5</v>
      </c>
      <c r="D97">
        <v>51</v>
      </c>
      <c r="E97" s="12">
        <f t="shared" si="1"/>
        <v>10.2</v>
      </c>
      <c r="F97">
        <v>16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14</v>
      </c>
      <c r="D106">
        <v>7</v>
      </c>
      <c r="E106" s="12">
        <f>+D106/C106*100</f>
        <v>50</v>
      </c>
      <c r="F106">
        <v>53</v>
      </c>
      <c r="G106">
        <v>1</v>
      </c>
      <c r="H106">
        <v>19</v>
      </c>
      <c r="I106">
        <v>1</v>
      </c>
      <c r="J106" s="8">
        <f>+G106/C106*100</f>
        <v>7.142857142857142</v>
      </c>
      <c r="K106" s="12">
        <f>+I106/C106*100</f>
        <v>7.142857142857142</v>
      </c>
      <c r="L106" s="12">
        <f>+F106/C106</f>
        <v>3.7857142857142856</v>
      </c>
      <c r="M106" s="12">
        <f>100*(S106+U106+W106+Y106)/6</f>
        <v>53.57142857142858</v>
      </c>
      <c r="N106">
        <v>0</v>
      </c>
      <c r="O106">
        <v>2</v>
      </c>
      <c r="R106">
        <f>+(E106-30)/20</f>
        <v>1</v>
      </c>
      <c r="S106" s="2">
        <f>IF(R106&lt;0,0,R106)</f>
        <v>1</v>
      </c>
      <c r="T106" s="6">
        <f>+(L106-3)/4</f>
        <v>0.1964285714285714</v>
      </c>
      <c r="U106" s="2">
        <f>IF(T106&lt;0,0,T106)</f>
        <v>0.1964285714285714</v>
      </c>
      <c r="V106">
        <f>+J106/5</f>
        <v>1.4285714285714284</v>
      </c>
      <c r="W106" s="2">
        <f>IF(V106&lt;0,0,V106)</f>
        <v>1.4285714285714284</v>
      </c>
      <c r="X106">
        <f>(9.5-K106)/4</f>
        <v>0.5892857142857144</v>
      </c>
      <c r="Y106" s="2">
        <f>IF(X106&lt;0,0,X106)</f>
        <v>0.5892857142857144</v>
      </c>
    </row>
    <row r="107" spans="1:25" ht="12">
      <c r="A107" t="s">
        <v>101</v>
      </c>
      <c r="C107">
        <v>20</v>
      </c>
      <c r="D107">
        <v>14</v>
      </c>
      <c r="E107" s="12">
        <f>+D107/C107*100</f>
        <v>70</v>
      </c>
      <c r="F107">
        <v>143</v>
      </c>
      <c r="G107">
        <v>2</v>
      </c>
      <c r="H107">
        <v>19</v>
      </c>
      <c r="I107">
        <v>0</v>
      </c>
      <c r="J107" s="8">
        <f>+G107/C107*100</f>
        <v>10</v>
      </c>
      <c r="K107" s="12">
        <f>+I107/C107*100</f>
        <v>0</v>
      </c>
      <c r="L107" s="12">
        <f>+F107/C107</f>
        <v>7.15</v>
      </c>
      <c r="M107" s="12">
        <f>100*(S107+U107+W107+Y107)/6</f>
        <v>123.54166666666667</v>
      </c>
      <c r="N107">
        <v>0</v>
      </c>
      <c r="O107">
        <v>1</v>
      </c>
      <c r="R107">
        <f>+(E107-30)/20</f>
        <v>2</v>
      </c>
      <c r="S107" s="2">
        <f>IF(R107&lt;0,0,R107)</f>
        <v>2</v>
      </c>
      <c r="T107" s="6">
        <f>+(L107-3)/4</f>
        <v>1.0375</v>
      </c>
      <c r="U107" s="2">
        <f>IF(T107&lt;0,0,T107)</f>
        <v>1.0375</v>
      </c>
      <c r="V107">
        <f>+J107/5</f>
        <v>2</v>
      </c>
      <c r="W107" s="2">
        <f>IF(V107&lt;0,0,V107)</f>
        <v>2</v>
      </c>
      <c r="X107">
        <f>(9.5-K107)/4</f>
        <v>2.375</v>
      </c>
      <c r="Y107" s="2">
        <f>IF(X107&lt;0,0,X107)</f>
        <v>2.375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6" ht="12">
      <c r="A113" t="s">
        <v>116</v>
      </c>
      <c r="D113">
        <v>1</v>
      </c>
      <c r="F113" s="12" t="e">
        <f aca="true" t="shared" si="2" ref="F113:F118">+E113/C113</f>
        <v>#DIV/0!</v>
      </c>
    </row>
    <row r="114" spans="1:6" ht="12">
      <c r="A114" t="s">
        <v>104</v>
      </c>
      <c r="F114" s="12" t="e">
        <f t="shared" si="2"/>
        <v>#DIV/0!</v>
      </c>
    </row>
    <row r="115" spans="1:7" ht="12">
      <c r="A115" t="s">
        <v>117</v>
      </c>
      <c r="C115">
        <v>3</v>
      </c>
      <c r="E115">
        <v>21</v>
      </c>
      <c r="F115" s="12">
        <f t="shared" si="2"/>
        <v>7</v>
      </c>
      <c r="G115">
        <v>15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">
      <c r="A123" t="s">
        <v>116</v>
      </c>
      <c r="C123">
        <v>1</v>
      </c>
      <c r="D123">
        <v>31</v>
      </c>
      <c r="E123" s="12">
        <f aca="true" t="shared" si="3" ref="E123:E128">+D123/C123</f>
        <v>31</v>
      </c>
      <c r="F123">
        <v>31</v>
      </c>
    </row>
    <row r="124" spans="1:6" ht="12">
      <c r="A124" t="s">
        <v>118</v>
      </c>
      <c r="C124">
        <v>1</v>
      </c>
      <c r="D124">
        <v>13</v>
      </c>
      <c r="E124" s="12">
        <f t="shared" si="3"/>
        <v>13</v>
      </c>
      <c r="F124">
        <v>13</v>
      </c>
    </row>
    <row r="125" spans="1:6" ht="12">
      <c r="A125" t="s">
        <v>119</v>
      </c>
      <c r="C125">
        <v>1</v>
      </c>
      <c r="D125">
        <v>21</v>
      </c>
      <c r="E125" s="12">
        <f t="shared" si="3"/>
        <v>21</v>
      </c>
      <c r="F125">
        <v>21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6" ht="12">
      <c r="A130" t="s">
        <v>117</v>
      </c>
      <c r="C130">
        <v>1</v>
      </c>
      <c r="D130">
        <v>28</v>
      </c>
      <c r="E130" s="12">
        <f>+D130/C130</f>
        <v>28</v>
      </c>
      <c r="F130">
        <v>28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5</v>
      </c>
      <c r="D133">
        <f>52+41+41+48+40</f>
        <v>222</v>
      </c>
      <c r="E133" s="12"/>
      <c r="F133">
        <v>52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8" ht="12">
      <c r="A141" t="s">
        <v>121</v>
      </c>
      <c r="C141">
        <v>5</v>
      </c>
      <c r="D141">
        <v>2</v>
      </c>
      <c r="E141">
        <v>4</v>
      </c>
      <c r="F141">
        <v>4</v>
      </c>
      <c r="G141">
        <v>2</v>
      </c>
      <c r="H141">
        <v>1</v>
      </c>
      <c r="I141" s="12">
        <f>+H141/G141*100</f>
        <v>50</v>
      </c>
      <c r="J141">
        <v>23</v>
      </c>
      <c r="N141">
        <v>1</v>
      </c>
      <c r="O141">
        <v>1</v>
      </c>
      <c r="R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5" ht="12">
      <c r="A149" t="s">
        <v>116</v>
      </c>
      <c r="E149" s="12" t="e">
        <f t="shared" si="4"/>
        <v>#DIV/0!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>
        <v>1</v>
      </c>
      <c r="D165" s="3">
        <v>7</v>
      </c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/>
      <c r="D170" s="3"/>
    </row>
    <row r="171" spans="1:4" ht="12">
      <c r="A171" t="s">
        <v>133</v>
      </c>
      <c r="C171" s="3">
        <v>1</v>
      </c>
      <c r="D171" s="3">
        <v>1</v>
      </c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spans="1:3" ht="12">
      <c r="A197" t="s">
        <v>135</v>
      </c>
      <c r="C197">
        <v>1</v>
      </c>
    </row>
    <row r="198" ht="12">
      <c r="A198" t="s">
        <v>136</v>
      </c>
    </row>
    <row r="199" spans="1:3" ht="12">
      <c r="A199" t="s">
        <v>119</v>
      </c>
      <c r="C199">
        <v>1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B1" sqref="B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17</v>
      </c>
      <c r="H6" s="1" t="s">
        <v>29</v>
      </c>
      <c r="M6" s="2">
        <v>13</v>
      </c>
    </row>
    <row r="7" spans="1:13" ht="12">
      <c r="A7" s="18" t="s">
        <v>95</v>
      </c>
      <c r="D7" s="2">
        <v>9</v>
      </c>
      <c r="H7" s="18" t="s">
        <v>95</v>
      </c>
      <c r="M7" s="2">
        <v>6</v>
      </c>
    </row>
    <row r="8" spans="1:13" ht="12">
      <c r="A8" s="18" t="s">
        <v>96</v>
      </c>
      <c r="D8" s="2">
        <v>5</v>
      </c>
      <c r="H8" s="18" t="s">
        <v>96</v>
      </c>
      <c r="M8" s="2">
        <v>7</v>
      </c>
    </row>
    <row r="9" spans="1:13" ht="12">
      <c r="A9" s="18" t="s">
        <v>97</v>
      </c>
      <c r="D9" s="2">
        <v>3</v>
      </c>
      <c r="H9" s="18" t="s">
        <v>97</v>
      </c>
      <c r="M9" s="2">
        <v>0</v>
      </c>
    </row>
    <row r="11" spans="1:23" ht="12">
      <c r="A11" t="s">
        <v>1</v>
      </c>
      <c r="D11" s="2">
        <f>11+11+18+4</f>
        <v>44</v>
      </c>
      <c r="G11" t="str">
        <f>IF(D11=SUM(C75:C86),"ok","ERR")</f>
        <v>ok</v>
      </c>
      <c r="H11" t="s">
        <v>1</v>
      </c>
      <c r="M11" s="2">
        <v>28</v>
      </c>
      <c r="V11">
        <f>+D11</f>
        <v>44</v>
      </c>
      <c r="W11">
        <f>+M11</f>
        <v>28</v>
      </c>
    </row>
    <row r="12" spans="1:23" ht="12">
      <c r="A12" t="s">
        <v>2</v>
      </c>
      <c r="D12" s="2">
        <f>49+23+74+11+12</f>
        <v>169</v>
      </c>
      <c r="H12" t="s">
        <v>2</v>
      </c>
      <c r="M12" s="2">
        <f>111+16+3</f>
        <v>130</v>
      </c>
      <c r="U12" s="13"/>
      <c r="V12">
        <f>+D16</f>
        <v>12</v>
      </c>
      <c r="W12">
        <f>+M16</f>
        <v>11</v>
      </c>
    </row>
    <row r="13" spans="1:23" ht="12">
      <c r="A13" s="1" t="s">
        <v>3</v>
      </c>
      <c r="D13" s="8">
        <f>+D12/D11</f>
        <v>3.840909090909091</v>
      </c>
      <c r="H13" s="1" t="s">
        <v>3</v>
      </c>
      <c r="M13" s="8">
        <f>+M12/M11</f>
        <v>4.642857142857143</v>
      </c>
      <c r="V13">
        <f>+(D15-D16)/2</f>
        <v>6.5</v>
      </c>
      <c r="W13">
        <f>+(M15-M16)/2</f>
        <v>8</v>
      </c>
    </row>
    <row r="14" spans="22:23" ht="12">
      <c r="V14">
        <f>+D38/2</f>
        <v>2.5</v>
      </c>
      <c r="W14">
        <f>+M38/2</f>
        <v>3</v>
      </c>
    </row>
    <row r="15" spans="1:23" ht="12">
      <c r="A15" t="s">
        <v>4</v>
      </c>
      <c r="D15" s="2">
        <v>25</v>
      </c>
      <c r="H15" t="s">
        <v>4</v>
      </c>
      <c r="M15" s="2">
        <v>27</v>
      </c>
      <c r="V15">
        <f>+D42/2</f>
        <v>1.5</v>
      </c>
      <c r="W15">
        <f>+M42/2</f>
        <v>0.5</v>
      </c>
    </row>
    <row r="16" spans="1:23" ht="12">
      <c r="A16" t="s">
        <v>5</v>
      </c>
      <c r="D16" s="2">
        <v>12</v>
      </c>
      <c r="H16" t="s">
        <v>5</v>
      </c>
      <c r="M16" s="2">
        <v>11</v>
      </c>
      <c r="V16">
        <f>+D47/2</f>
        <v>0.5</v>
      </c>
      <c r="W16">
        <f>+M47/2</f>
        <v>0.5</v>
      </c>
    </row>
    <row r="17" spans="1:13" ht="12">
      <c r="A17" t="s">
        <v>6</v>
      </c>
      <c r="D17" s="8">
        <f>+D16/D15*100</f>
        <v>48</v>
      </c>
      <c r="H17" t="s">
        <v>6</v>
      </c>
      <c r="M17" s="8">
        <f>+M16/M15*100</f>
        <v>40.74074074074074</v>
      </c>
    </row>
    <row r="18" spans="1:24" ht="12">
      <c r="A18" t="s">
        <v>7</v>
      </c>
      <c r="D18" s="2">
        <v>87</v>
      </c>
      <c r="H18" t="s">
        <v>7</v>
      </c>
      <c r="M18" s="2">
        <v>140</v>
      </c>
      <c r="V18">
        <f>SUM(V11:V16)</f>
        <v>67</v>
      </c>
      <c r="W18">
        <f>SUM(W11:W16)</f>
        <v>51</v>
      </c>
      <c r="X18">
        <f>+W18+V18</f>
        <v>118</v>
      </c>
    </row>
    <row r="19" spans="1:23" ht="12">
      <c r="A19" t="s">
        <v>8</v>
      </c>
      <c r="D19" s="2">
        <v>1</v>
      </c>
      <c r="H19" t="s">
        <v>8</v>
      </c>
      <c r="M19" s="2">
        <v>2</v>
      </c>
      <c r="V19">
        <f>+V18/X18</f>
        <v>0.5677966101694916</v>
      </c>
      <c r="W19">
        <f>+W18/X18</f>
        <v>0.4322033898305085</v>
      </c>
    </row>
    <row r="20" spans="1:23" ht="12">
      <c r="A20" t="s">
        <v>9</v>
      </c>
      <c r="D20" s="2">
        <v>5</v>
      </c>
      <c r="H20" t="s">
        <v>9</v>
      </c>
      <c r="M20" s="2">
        <v>14</v>
      </c>
      <c r="V20">
        <f>+V19*60</f>
        <v>34.067796610169495</v>
      </c>
      <c r="W20">
        <f>+W19*60</f>
        <v>25.93220338983051</v>
      </c>
    </row>
    <row r="21" spans="1:23" ht="12">
      <c r="A21" t="s">
        <v>10</v>
      </c>
      <c r="D21">
        <f>+D18-D20</f>
        <v>82</v>
      </c>
      <c r="H21" t="s">
        <v>10</v>
      </c>
      <c r="M21">
        <f>+M18-M20</f>
        <v>126</v>
      </c>
      <c r="V21">
        <f>+V20-INT(V20)</f>
        <v>0.0677966101694949</v>
      </c>
      <c r="W21">
        <f>+W20-INT(W20)</f>
        <v>0.9322033898305087</v>
      </c>
    </row>
    <row r="22" spans="1:23" ht="12">
      <c r="A22" t="s">
        <v>11</v>
      </c>
      <c r="D22" s="7">
        <f>+D21/(D19+D15)</f>
        <v>3.1538461538461537</v>
      </c>
      <c r="H22" t="s">
        <v>11</v>
      </c>
      <c r="M22" s="7">
        <f>+M21/(M19+M15)</f>
        <v>4.344827586206897</v>
      </c>
      <c r="V22">
        <f>+V21*60</f>
        <v>4.067796610169694</v>
      </c>
      <c r="W22">
        <f>+W21*60</f>
        <v>55.93220338983052</v>
      </c>
    </row>
    <row r="23" spans="1:23" ht="12">
      <c r="A23" t="s">
        <v>12</v>
      </c>
      <c r="D23" s="7">
        <f>+D18/D16</f>
        <v>7.25</v>
      </c>
      <c r="H23" t="s">
        <v>12</v>
      </c>
      <c r="M23" s="7">
        <f>+M18/M16</f>
        <v>12.727272727272727</v>
      </c>
      <c r="U23">
        <v>0</v>
      </c>
      <c r="V23" s="11">
        <f>ROUND(V22,0)</f>
        <v>4</v>
      </c>
      <c r="W23">
        <f>ROUND(W22,0)</f>
        <v>56</v>
      </c>
    </row>
    <row r="24" spans="22:23" ht="12">
      <c r="V24">
        <f>INT(V20)</f>
        <v>34</v>
      </c>
      <c r="W24">
        <f>INT(W20)</f>
        <v>25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251</v>
      </c>
      <c r="H26" t="s">
        <v>14</v>
      </c>
      <c r="M26">
        <f>+M21+M12</f>
        <v>256</v>
      </c>
      <c r="Q26" s="9"/>
      <c r="R26" s="9"/>
      <c r="V26" s="14" t="str">
        <f>+V24&amp;V25&amp;V23</f>
        <v>34:4</v>
      </c>
      <c r="W26" s="9" t="str">
        <f>+W24&amp;W25&amp;W23</f>
        <v>25:56</v>
      </c>
    </row>
    <row r="27" spans="1:23" ht="12">
      <c r="A27" t="s">
        <v>15</v>
      </c>
      <c r="D27" s="7">
        <f>+D12/D26*100</f>
        <v>67.33067729083665</v>
      </c>
      <c r="H27" t="s">
        <v>15</v>
      </c>
      <c r="M27" s="7">
        <f>+M12/M26*100</f>
        <v>50.78125</v>
      </c>
      <c r="V27" s="9" t="str">
        <f>IF(V23&lt;10,+V24&amp;V25&amp;$U$23&amp;V23,+V24&amp;V25&amp;V23)</f>
        <v>34:04</v>
      </c>
      <c r="W27" s="9" t="str">
        <f>IF(W23&lt;10,+W24&amp;W25&amp;$U$23&amp;W23,+W24&amp;W25&amp;W23)</f>
        <v>25:56</v>
      </c>
    </row>
    <row r="28" spans="1:13" ht="12">
      <c r="A28" s="1" t="s">
        <v>90</v>
      </c>
      <c r="D28" s="7">
        <f>+D21/D26*100</f>
        <v>32.669322709163346</v>
      </c>
      <c r="H28" s="1" t="s">
        <v>90</v>
      </c>
      <c r="M28" s="7">
        <f>+M21/M26*100</f>
        <v>49.21875</v>
      </c>
    </row>
    <row r="30" spans="1:13" ht="12">
      <c r="A30" t="s">
        <v>16</v>
      </c>
      <c r="D30">
        <f>+D11+D15+D19</f>
        <v>70</v>
      </c>
      <c r="H30" t="s">
        <v>16</v>
      </c>
      <c r="M30">
        <f>+M11+M15+M19</f>
        <v>57</v>
      </c>
    </row>
    <row r="31" spans="1:13" ht="12">
      <c r="A31" t="s">
        <v>17</v>
      </c>
      <c r="D31" s="8">
        <f>+D26/D30</f>
        <v>3.585714285714286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4.491228070175438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2</v>
      </c>
      <c r="H34" t="s">
        <v>19</v>
      </c>
      <c r="M34" s="2">
        <v>2</v>
      </c>
    </row>
    <row r="35" spans="1:13" ht="12">
      <c r="A35" t="s">
        <v>20</v>
      </c>
      <c r="D35" s="2">
        <v>32</v>
      </c>
      <c r="H35" t="s">
        <v>20</v>
      </c>
      <c r="M35" s="2">
        <v>27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5</v>
      </c>
      <c r="H38" t="s">
        <v>22</v>
      </c>
      <c r="M38" s="2">
        <v>6</v>
      </c>
    </row>
    <row r="39" spans="1:13" ht="12">
      <c r="A39" t="s">
        <v>23</v>
      </c>
      <c r="D39" s="2">
        <f>46+47+52+54+45</f>
        <v>244</v>
      </c>
      <c r="H39" t="s">
        <v>23</v>
      </c>
      <c r="M39" s="2">
        <f>45+39+48+37+56+54</f>
        <v>279</v>
      </c>
    </row>
    <row r="40" spans="1:13" ht="12">
      <c r="A40" t="s">
        <v>24</v>
      </c>
      <c r="D40" s="8">
        <f>+D39/D38</f>
        <v>48.8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46.5</v>
      </c>
    </row>
    <row r="42" spans="1:13" ht="12">
      <c r="A42" t="s">
        <v>25</v>
      </c>
      <c r="D42" s="2">
        <v>3</v>
      </c>
      <c r="H42" t="s">
        <v>25</v>
      </c>
      <c r="M42" s="2">
        <v>1</v>
      </c>
    </row>
    <row r="43" spans="1:13" ht="12">
      <c r="A43" t="s">
        <v>26</v>
      </c>
      <c r="D43" s="2">
        <f>15+8+38</f>
        <v>61</v>
      </c>
      <c r="H43" t="s">
        <v>26</v>
      </c>
      <c r="M43" s="2">
        <v>2</v>
      </c>
    </row>
    <row r="44" spans="1:13" ht="12">
      <c r="A44" t="s">
        <v>27</v>
      </c>
      <c r="D44" s="8">
        <f>+D43/D42</f>
        <v>20.333333333333332</v>
      </c>
      <c r="H44" t="s">
        <v>27</v>
      </c>
      <c r="M44" s="8">
        <f>+M43/M42</f>
        <v>2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1</v>
      </c>
      <c r="H47" t="s">
        <v>30</v>
      </c>
      <c r="M47" s="2">
        <v>1</v>
      </c>
    </row>
    <row r="48" spans="1:13" ht="12">
      <c r="A48" t="s">
        <v>26</v>
      </c>
      <c r="D48" s="2">
        <v>28</v>
      </c>
      <c r="H48" t="s">
        <v>26</v>
      </c>
      <c r="M48" s="2">
        <v>26</v>
      </c>
    </row>
    <row r="49" spans="1:13" ht="12">
      <c r="A49" t="s">
        <v>27</v>
      </c>
      <c r="D49" s="8">
        <f>+D48/D47</f>
        <v>28</v>
      </c>
      <c r="H49" t="s">
        <v>27</v>
      </c>
      <c r="M49" s="8">
        <f>+M48/M47</f>
        <v>26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1</v>
      </c>
      <c r="H52" t="s">
        <v>31</v>
      </c>
      <c r="M52" s="2">
        <v>5</v>
      </c>
    </row>
    <row r="53" spans="1:13" ht="12">
      <c r="A53" t="s">
        <v>32</v>
      </c>
      <c r="D53" s="2">
        <v>5</v>
      </c>
      <c r="H53" t="s">
        <v>32</v>
      </c>
      <c r="M53" s="2">
        <v>34</v>
      </c>
    </row>
    <row r="55" spans="1:13" ht="12">
      <c r="A55" t="s">
        <v>33</v>
      </c>
      <c r="D55" s="2">
        <v>0</v>
      </c>
      <c r="H55" t="s">
        <v>33</v>
      </c>
      <c r="M55" s="2">
        <v>1</v>
      </c>
    </row>
    <row r="56" spans="1:13" ht="12">
      <c r="A56" t="s">
        <v>34</v>
      </c>
      <c r="D56" s="2">
        <v>0</v>
      </c>
      <c r="H56" t="s">
        <v>34</v>
      </c>
      <c r="M56" s="2">
        <v>0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1</v>
      </c>
      <c r="H58" t="s">
        <v>36</v>
      </c>
      <c r="M58" s="2">
        <v>0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20</v>
      </c>
      <c r="H61" t="s">
        <v>38</v>
      </c>
      <c r="M61" s="2">
        <v>13</v>
      </c>
    </row>
    <row r="62" spans="1:13" ht="12">
      <c r="A62" t="s">
        <v>39</v>
      </c>
      <c r="D62" s="2">
        <v>2</v>
      </c>
      <c r="H62" t="s">
        <v>39</v>
      </c>
      <c r="M62" s="2">
        <v>1</v>
      </c>
    </row>
    <row r="63" spans="1:13" ht="12">
      <c r="A63" t="s">
        <v>40</v>
      </c>
      <c r="D63" s="2">
        <v>1</v>
      </c>
      <c r="H63" t="s">
        <v>40</v>
      </c>
      <c r="M63" s="2">
        <v>1</v>
      </c>
    </row>
    <row r="64" spans="1:13" ht="12">
      <c r="A64" t="s">
        <v>41</v>
      </c>
      <c r="D64" s="2">
        <v>1</v>
      </c>
      <c r="H64" t="s">
        <v>41</v>
      </c>
      <c r="M64" s="2">
        <v>0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2</v>
      </c>
      <c r="H66" t="s">
        <v>43</v>
      </c>
      <c r="M66" s="2">
        <v>1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2</v>
      </c>
      <c r="H68" t="s">
        <v>45</v>
      </c>
      <c r="M68" s="2">
        <v>2</v>
      </c>
    </row>
    <row r="69" spans="1:13" ht="12">
      <c r="A69" t="s">
        <v>46</v>
      </c>
      <c r="D69" s="2">
        <v>2</v>
      </c>
      <c r="H69" t="s">
        <v>46</v>
      </c>
      <c r="M69" s="2">
        <v>2</v>
      </c>
    </row>
    <row r="70" spans="1:13" ht="12">
      <c r="A70" t="s">
        <v>47</v>
      </c>
      <c r="D70" s="8">
        <f>+D68/D69*100</f>
        <v>100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100</v>
      </c>
    </row>
    <row r="71" spans="1:13" ht="12">
      <c r="A71" t="s">
        <v>93</v>
      </c>
      <c r="D71" s="10" t="str">
        <f>IF(V23&lt;10,V27,V26)</f>
        <v>34:04</v>
      </c>
      <c r="E71" s="8"/>
      <c r="F71" s="8"/>
      <c r="H71" t="s">
        <v>93</v>
      </c>
      <c r="M71" s="10" t="str">
        <f>IF(W23&lt;10,W27,W26)</f>
        <v>25:56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">
      <c r="A75" t="s">
        <v>100</v>
      </c>
      <c r="C75">
        <v>2</v>
      </c>
      <c r="D75">
        <v>12</v>
      </c>
      <c r="E75" s="12">
        <f>+D75/C75</f>
        <v>6</v>
      </c>
      <c r="F75">
        <v>14</v>
      </c>
    </row>
    <row r="76" spans="1:5" ht="12">
      <c r="A76" t="s">
        <v>101</v>
      </c>
      <c r="E76" s="12" t="e">
        <f>+D76/C76</f>
        <v>#DIV/0!</v>
      </c>
    </row>
    <row r="77" spans="1:5" ht="12">
      <c r="A77" t="s">
        <v>102</v>
      </c>
      <c r="E77" s="12" t="e">
        <f>+D77/C77</f>
        <v>#DIV/0!</v>
      </c>
    </row>
    <row r="78" spans="1:6" ht="12">
      <c r="A78" t="s">
        <v>103</v>
      </c>
      <c r="C78">
        <v>11</v>
      </c>
      <c r="D78">
        <v>23</v>
      </c>
      <c r="E78" s="12">
        <f aca="true" t="shared" si="0" ref="E78:E84">+D78/C78</f>
        <v>2.090909090909091</v>
      </c>
      <c r="F78">
        <v>6</v>
      </c>
    </row>
    <row r="79" spans="1:6" ht="12">
      <c r="A79" t="s">
        <v>104</v>
      </c>
      <c r="C79">
        <v>11</v>
      </c>
      <c r="D79">
        <v>49</v>
      </c>
      <c r="E79" s="12">
        <f t="shared" si="0"/>
        <v>4.454545454545454</v>
      </c>
      <c r="F79">
        <v>20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2</v>
      </c>
      <c r="D83">
        <v>11</v>
      </c>
      <c r="E83" s="12">
        <f t="shared" si="0"/>
        <v>5.5</v>
      </c>
      <c r="F83">
        <v>7</v>
      </c>
    </row>
    <row r="84" spans="1:5" ht="12">
      <c r="A84" t="s">
        <v>109</v>
      </c>
      <c r="E84" s="12" t="e">
        <f t="shared" si="0"/>
        <v>#DIV/0!</v>
      </c>
    </row>
    <row r="85" spans="1:7" ht="12">
      <c r="A85" t="s">
        <v>110</v>
      </c>
      <c r="C85">
        <v>18</v>
      </c>
      <c r="D85">
        <v>74</v>
      </c>
      <c r="E85" s="12">
        <f>+D85/C85</f>
        <v>4.111111111111111</v>
      </c>
      <c r="F85">
        <v>14</v>
      </c>
      <c r="G85">
        <v>1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7" ht="12">
      <c r="A91" t="s">
        <v>103</v>
      </c>
      <c r="C91">
        <v>2</v>
      </c>
      <c r="D91">
        <v>8</v>
      </c>
      <c r="E91" s="12">
        <f t="shared" si="1"/>
        <v>4</v>
      </c>
      <c r="F91">
        <v>5</v>
      </c>
      <c r="G91">
        <v>1</v>
      </c>
    </row>
    <row r="92" spans="1:5" ht="12">
      <c r="A92" t="s">
        <v>104</v>
      </c>
      <c r="E92" s="12" t="e">
        <f t="shared" si="1"/>
        <v>#DIV/0!</v>
      </c>
    </row>
    <row r="93" spans="1:5" ht="12">
      <c r="A93" s="2" t="s">
        <v>105</v>
      </c>
      <c r="E93" s="12" t="e">
        <f t="shared" si="1"/>
        <v>#DIV/0!</v>
      </c>
    </row>
    <row r="94" spans="1:6" ht="12">
      <c r="A94" t="s">
        <v>113</v>
      </c>
      <c r="C94">
        <v>1</v>
      </c>
      <c r="D94">
        <v>13</v>
      </c>
      <c r="E94" s="12">
        <f t="shared" si="1"/>
        <v>13</v>
      </c>
      <c r="F94">
        <v>13</v>
      </c>
    </row>
    <row r="95" spans="1:6" ht="12">
      <c r="A95" t="s">
        <v>108</v>
      </c>
      <c r="C95">
        <v>2</v>
      </c>
      <c r="D95">
        <v>18</v>
      </c>
      <c r="E95" s="12">
        <f t="shared" si="1"/>
        <v>9</v>
      </c>
      <c r="F95">
        <v>13</v>
      </c>
    </row>
    <row r="96" spans="1:6" ht="12">
      <c r="A96" t="s">
        <v>114</v>
      </c>
      <c r="C96">
        <v>2</v>
      </c>
      <c r="D96">
        <v>10</v>
      </c>
      <c r="E96" s="12">
        <f t="shared" si="1"/>
        <v>5</v>
      </c>
      <c r="F96">
        <v>6</v>
      </c>
    </row>
    <row r="97" spans="1:6" ht="12">
      <c r="A97" t="s">
        <v>115</v>
      </c>
      <c r="C97">
        <v>5</v>
      </c>
      <c r="D97">
        <v>38</v>
      </c>
      <c r="E97" s="12">
        <f t="shared" si="1"/>
        <v>7.6</v>
      </c>
      <c r="F97">
        <v>19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25</v>
      </c>
      <c r="D106">
        <v>12</v>
      </c>
      <c r="E106" s="12">
        <f>+D106/C106*100</f>
        <v>48</v>
      </c>
      <c r="F106">
        <v>87</v>
      </c>
      <c r="G106">
        <v>1</v>
      </c>
      <c r="H106">
        <v>19</v>
      </c>
      <c r="I106">
        <v>2</v>
      </c>
      <c r="J106" s="8">
        <f>+G106/C106*100</f>
        <v>4</v>
      </c>
      <c r="K106" s="12">
        <f>+I106/C106*100</f>
        <v>8</v>
      </c>
      <c r="L106" s="12">
        <f>+F106/C106</f>
        <v>3.48</v>
      </c>
      <c r="M106" s="12">
        <f>100*(S106+U106+W106+Y106)/6</f>
        <v>36.583333333333336</v>
      </c>
      <c r="O106">
        <v>1</v>
      </c>
      <c r="R106">
        <f>+(E106-30)/20</f>
        <v>0.9</v>
      </c>
      <c r="S106" s="2">
        <f>IF(R106&lt;0,0,R106)</f>
        <v>0.9</v>
      </c>
      <c r="T106" s="6">
        <f>+(L106-3)/4</f>
        <v>0.12</v>
      </c>
      <c r="U106" s="2">
        <f>IF(T106&lt;0,0,T106)</f>
        <v>0.12</v>
      </c>
      <c r="V106">
        <f>+J106/5</f>
        <v>0.8</v>
      </c>
      <c r="W106" s="2">
        <f>IF(V106&lt;0,0,V106)</f>
        <v>0.8</v>
      </c>
      <c r="X106">
        <f>(9.5-K106)/4</f>
        <v>0.375</v>
      </c>
      <c r="Y106" s="2">
        <f>IF(X106&lt;0,0,X106)</f>
        <v>0.375</v>
      </c>
    </row>
    <row r="107" spans="1:25" ht="12">
      <c r="A107" t="s">
        <v>101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 t="e">
        <f>+G109/C109*100</f>
        <v>#DIV/0!</v>
      </c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N109">
        <v>0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 t="e">
        <f>+J109/5</f>
        <v>#DIV/0!</v>
      </c>
      <c r="W109" s="2" t="e">
        <f>IF(V109&lt;0,0,V109)</f>
        <v>#DIV/0!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3</v>
      </c>
      <c r="E113">
        <f>15+8+38</f>
        <v>61</v>
      </c>
      <c r="F113" s="12">
        <f aca="true" t="shared" si="2" ref="F113:F118">+E113/C113</f>
        <v>20.333333333333332</v>
      </c>
      <c r="G113">
        <v>38</v>
      </c>
    </row>
    <row r="114" spans="1:6" ht="12">
      <c r="A114" t="s">
        <v>104</v>
      </c>
      <c r="F114" s="12" t="e">
        <f t="shared" si="2"/>
        <v>#DIV/0!</v>
      </c>
    </row>
    <row r="115" spans="1:6" ht="12">
      <c r="A115" t="s">
        <v>117</v>
      </c>
      <c r="D115">
        <v>1</v>
      </c>
      <c r="F115" s="12" t="e">
        <f t="shared" si="2"/>
        <v>#DIV/0!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6" ht="12">
      <c r="A125" t="s">
        <v>119</v>
      </c>
      <c r="C125">
        <v>1</v>
      </c>
      <c r="D125">
        <v>28</v>
      </c>
      <c r="E125" s="12">
        <f t="shared" si="3"/>
        <v>28</v>
      </c>
      <c r="F125">
        <v>28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5" ht="12">
      <c r="A130" t="s">
        <v>117</v>
      </c>
      <c r="E130" s="12" t="e">
        <f>+D130/C130</f>
        <v>#DIV/0!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5</v>
      </c>
      <c r="D133">
        <f>46+47+52+54+45</f>
        <v>244</v>
      </c>
      <c r="E133" s="12"/>
      <c r="F133">
        <v>54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5" ht="12">
      <c r="A141" t="s">
        <v>121</v>
      </c>
      <c r="C141">
        <v>5</v>
      </c>
      <c r="D141">
        <v>4</v>
      </c>
      <c r="E141">
        <v>2</v>
      </c>
      <c r="F141">
        <v>2</v>
      </c>
      <c r="G141">
        <v>2</v>
      </c>
      <c r="H141">
        <v>2</v>
      </c>
      <c r="I141" s="12">
        <f>+H141/G141*100</f>
        <v>100</v>
      </c>
      <c r="J141">
        <v>22</v>
      </c>
      <c r="N141">
        <v>2</v>
      </c>
      <c r="O141">
        <v>2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6" ht="12">
      <c r="A149" t="s">
        <v>116</v>
      </c>
      <c r="C149">
        <v>1</v>
      </c>
      <c r="D149">
        <v>7</v>
      </c>
      <c r="E149" s="12">
        <f t="shared" si="4"/>
        <v>7</v>
      </c>
      <c r="F149">
        <v>7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6" ht="12">
      <c r="A152" t="s">
        <v>117</v>
      </c>
      <c r="C152">
        <v>1</v>
      </c>
      <c r="D152">
        <v>20</v>
      </c>
      <c r="E152" s="12">
        <f t="shared" si="4"/>
        <v>20</v>
      </c>
      <c r="F152">
        <v>20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>
        <v>2</v>
      </c>
      <c r="D165" s="3">
        <v>14</v>
      </c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/>
      <c r="D170" s="3"/>
    </row>
    <row r="171" spans="1:4" ht="12">
      <c r="A171" t="s">
        <v>133</v>
      </c>
      <c r="C171" s="3"/>
      <c r="D171" s="3"/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3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spans="1:3" ht="12">
      <c r="A185" t="s">
        <v>128</v>
      </c>
      <c r="C185">
        <v>1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B1" sqref="B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42187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19</v>
      </c>
      <c r="H6" s="1" t="s">
        <v>29</v>
      </c>
      <c r="M6" s="2">
        <v>14</v>
      </c>
    </row>
    <row r="7" spans="1:13" ht="12">
      <c r="A7" s="18" t="s">
        <v>95</v>
      </c>
      <c r="D7" s="2">
        <v>10</v>
      </c>
      <c r="H7" s="18" t="s">
        <v>95</v>
      </c>
      <c r="M7" s="2">
        <v>7</v>
      </c>
    </row>
    <row r="8" spans="1:13" ht="12">
      <c r="A8" s="18" t="s">
        <v>96</v>
      </c>
      <c r="D8" s="2">
        <v>8</v>
      </c>
      <c r="H8" s="18" t="s">
        <v>96</v>
      </c>
      <c r="M8" s="2">
        <v>4</v>
      </c>
    </row>
    <row r="9" spans="1:13" ht="12">
      <c r="A9" s="18" t="s">
        <v>97</v>
      </c>
      <c r="D9" s="2">
        <v>1</v>
      </c>
      <c r="H9" s="18" t="s">
        <v>97</v>
      </c>
      <c r="M9" s="2">
        <v>3</v>
      </c>
    </row>
    <row r="11" spans="1:23" ht="12">
      <c r="A11" t="s">
        <v>1</v>
      </c>
      <c r="D11" s="2">
        <f>15+5+10+5+3+6</f>
        <v>44</v>
      </c>
      <c r="G11" t="str">
        <f>IF(D11=SUM(C75:C86),"ok","ERR")</f>
        <v>ok</v>
      </c>
      <c r="H11" t="s">
        <v>1</v>
      </c>
      <c r="M11" s="2">
        <f>9+7+6+2+1</f>
        <v>25</v>
      </c>
      <c r="V11">
        <f>+D11</f>
        <v>44</v>
      </c>
      <c r="W11">
        <f>+M11</f>
        <v>25</v>
      </c>
    </row>
    <row r="12" spans="1:23" ht="12">
      <c r="A12" t="s">
        <v>2</v>
      </c>
      <c r="D12" s="2">
        <f>41+55+49+8+11+22</f>
        <v>186</v>
      </c>
      <c r="H12" t="s">
        <v>2</v>
      </c>
      <c r="M12" s="2">
        <f>28+15+28-4+44</f>
        <v>111</v>
      </c>
      <c r="U12" s="13"/>
      <c r="V12">
        <f>+D16</f>
        <v>13</v>
      </c>
      <c r="W12">
        <f>+M16</f>
        <v>6</v>
      </c>
    </row>
    <row r="13" spans="1:23" ht="12">
      <c r="A13" s="1" t="s">
        <v>3</v>
      </c>
      <c r="D13" s="8">
        <f>+D12/D11</f>
        <v>4.2272727272727275</v>
      </c>
      <c r="H13" s="1" t="s">
        <v>3</v>
      </c>
      <c r="M13" s="8">
        <f>+M12/M11</f>
        <v>4.44</v>
      </c>
      <c r="V13">
        <f>+(D15-D16)/2</f>
        <v>6.5</v>
      </c>
      <c r="W13">
        <f>+(M15-M16)/2</f>
        <v>6</v>
      </c>
    </row>
    <row r="14" spans="22:23" ht="12">
      <c r="V14">
        <f>+D38/2</f>
        <v>1</v>
      </c>
      <c r="W14">
        <f>+M38/2</f>
        <v>2.5</v>
      </c>
    </row>
    <row r="15" spans="1:23" ht="12">
      <c r="A15" t="s">
        <v>4</v>
      </c>
      <c r="D15" s="2">
        <v>26</v>
      </c>
      <c r="H15" t="s">
        <v>4</v>
      </c>
      <c r="M15" s="2">
        <v>18</v>
      </c>
      <c r="V15">
        <f>+D42/2</f>
        <v>1.5</v>
      </c>
      <c r="W15">
        <f>+M42/2</f>
        <v>0.5</v>
      </c>
    </row>
    <row r="16" spans="1:23" ht="12">
      <c r="A16" t="s">
        <v>5</v>
      </c>
      <c r="D16" s="2">
        <v>13</v>
      </c>
      <c r="H16" t="s">
        <v>5</v>
      </c>
      <c r="M16" s="2">
        <v>6</v>
      </c>
      <c r="V16">
        <f>+D47/2</f>
        <v>2</v>
      </c>
      <c r="W16">
        <f>+M47/2</f>
        <v>2.5</v>
      </c>
    </row>
    <row r="17" spans="1:13" ht="12">
      <c r="A17" t="s">
        <v>6</v>
      </c>
      <c r="D17" s="8">
        <f>+D16/D15*100</f>
        <v>50</v>
      </c>
      <c r="H17" t="s">
        <v>6</v>
      </c>
      <c r="M17" s="8">
        <f>+M16/M15*100</f>
        <v>33.33333333333333</v>
      </c>
    </row>
    <row r="18" spans="1:24" ht="12">
      <c r="A18" t="s">
        <v>7</v>
      </c>
      <c r="D18" s="2">
        <v>144</v>
      </c>
      <c r="H18" t="s">
        <v>7</v>
      </c>
      <c r="M18" s="2">
        <v>89</v>
      </c>
      <c r="V18">
        <f>SUM(V11:V16)</f>
        <v>68</v>
      </c>
      <c r="W18">
        <f>SUM(W11:W16)</f>
        <v>42.5</v>
      </c>
      <c r="X18">
        <f>+W18+V18</f>
        <v>110.5</v>
      </c>
    </row>
    <row r="19" spans="1:23" ht="12">
      <c r="A19" t="s">
        <v>8</v>
      </c>
      <c r="D19" s="2">
        <v>1</v>
      </c>
      <c r="H19" t="s">
        <v>8</v>
      </c>
      <c r="M19" s="2">
        <v>4</v>
      </c>
      <c r="V19">
        <f>+V18/X18</f>
        <v>0.6153846153846154</v>
      </c>
      <c r="W19">
        <f>+W18/X18</f>
        <v>0.38461538461538464</v>
      </c>
    </row>
    <row r="20" spans="1:23" ht="12">
      <c r="A20" t="s">
        <v>9</v>
      </c>
      <c r="D20" s="2">
        <v>3</v>
      </c>
      <c r="H20" t="s">
        <v>9</v>
      </c>
      <c r="M20" s="2">
        <v>28</v>
      </c>
      <c r="V20">
        <f>+V19*60</f>
        <v>36.92307692307693</v>
      </c>
      <c r="W20">
        <f>+W19*60</f>
        <v>23.076923076923077</v>
      </c>
    </row>
    <row r="21" spans="1:23" ht="12">
      <c r="A21" t="s">
        <v>10</v>
      </c>
      <c r="D21">
        <f>+D18-D20</f>
        <v>141</v>
      </c>
      <c r="H21" t="s">
        <v>10</v>
      </c>
      <c r="M21">
        <f>+M18-M20</f>
        <v>61</v>
      </c>
      <c r="V21">
        <f>+V20-INT(V20)</f>
        <v>0.9230769230769269</v>
      </c>
      <c r="W21">
        <f>+W20-INT(W20)</f>
        <v>0.07692307692307665</v>
      </c>
    </row>
    <row r="22" spans="1:23" ht="12">
      <c r="A22" t="s">
        <v>11</v>
      </c>
      <c r="D22" s="7">
        <f>+D21/(D15+D19)</f>
        <v>5.222222222222222</v>
      </c>
      <c r="H22" t="s">
        <v>11</v>
      </c>
      <c r="M22" s="7">
        <f>+M21/(M15+M19)</f>
        <v>2.772727272727273</v>
      </c>
      <c r="V22">
        <f>+V21*60</f>
        <v>55.384615384615614</v>
      </c>
      <c r="W22">
        <f>+W21*60</f>
        <v>4.615384615384599</v>
      </c>
    </row>
    <row r="23" spans="1:23" ht="12">
      <c r="A23" t="s">
        <v>12</v>
      </c>
      <c r="D23" s="7">
        <f>+D18/D16</f>
        <v>11.076923076923077</v>
      </c>
      <c r="H23" t="s">
        <v>12</v>
      </c>
      <c r="M23" s="7">
        <f>+M18/M16</f>
        <v>14.833333333333334</v>
      </c>
      <c r="U23">
        <v>0</v>
      </c>
      <c r="V23" s="11">
        <f>ROUND(V22,0)</f>
        <v>55</v>
      </c>
      <c r="W23">
        <f>ROUND(W22,0)</f>
        <v>5</v>
      </c>
    </row>
    <row r="24" spans="22:23" ht="12">
      <c r="V24">
        <f>INT(V20)</f>
        <v>36</v>
      </c>
      <c r="W24">
        <f>INT(W20)</f>
        <v>23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327</v>
      </c>
      <c r="H26" t="s">
        <v>14</v>
      </c>
      <c r="M26">
        <f>+M21+M12</f>
        <v>172</v>
      </c>
      <c r="Q26" s="9"/>
      <c r="R26" s="9"/>
      <c r="V26" s="14" t="str">
        <f>+V24&amp;V25&amp;V23</f>
        <v>36:55</v>
      </c>
      <c r="W26" s="9" t="str">
        <f>+W24&amp;W25&amp;W23</f>
        <v>23:5</v>
      </c>
    </row>
    <row r="27" spans="1:23" ht="12">
      <c r="A27" t="s">
        <v>15</v>
      </c>
      <c r="D27" s="7">
        <f>+D12/D26*100</f>
        <v>56.88073394495413</v>
      </c>
      <c r="H27" t="s">
        <v>15</v>
      </c>
      <c r="M27" s="7">
        <f>+M12/M26*100</f>
        <v>64.53488372093024</v>
      </c>
      <c r="V27" s="9" t="str">
        <f>IF(V23&lt;10,+V24&amp;V25&amp;$U$23&amp;V23,+V24&amp;V25&amp;V23)</f>
        <v>36:55</v>
      </c>
      <c r="W27" s="9" t="str">
        <f>IF(W23&lt;10,+W24&amp;W25&amp;$U$23&amp;W23,+W24&amp;W25&amp;W23)</f>
        <v>23:05</v>
      </c>
    </row>
    <row r="28" spans="1:13" ht="12">
      <c r="A28" s="1" t="s">
        <v>90</v>
      </c>
      <c r="D28" s="7">
        <f>+D21/D26*100</f>
        <v>43.11926605504588</v>
      </c>
      <c r="H28" s="1" t="s">
        <v>90</v>
      </c>
      <c r="M28" s="7">
        <f>+M21/M26*100</f>
        <v>35.46511627906977</v>
      </c>
    </row>
    <row r="30" spans="1:13" ht="12">
      <c r="A30" t="s">
        <v>16</v>
      </c>
      <c r="D30">
        <f>+D11+D15+D19</f>
        <v>71</v>
      </c>
      <c r="H30" t="s">
        <v>16</v>
      </c>
      <c r="M30">
        <f>+M11+M15+M19</f>
        <v>47</v>
      </c>
    </row>
    <row r="31" spans="1:13" ht="12">
      <c r="A31" t="s">
        <v>17</v>
      </c>
      <c r="D31" s="8">
        <f>+D26/D30</f>
        <v>4.605633802816901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3.6595744680851063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0</v>
      </c>
      <c r="H34" t="s">
        <v>19</v>
      </c>
      <c r="M34" s="2">
        <v>1</v>
      </c>
    </row>
    <row r="35" spans="1:13" ht="12">
      <c r="A35" t="s">
        <v>20</v>
      </c>
      <c r="D35" s="2">
        <v>0</v>
      </c>
      <c r="H35" t="s">
        <v>20</v>
      </c>
      <c r="M35" s="2">
        <v>0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2</v>
      </c>
      <c r="H38" t="s">
        <v>22</v>
      </c>
      <c r="M38" s="2">
        <v>5</v>
      </c>
    </row>
    <row r="39" spans="1:13" ht="12">
      <c r="A39" t="s">
        <v>23</v>
      </c>
      <c r="D39" s="2">
        <v>73</v>
      </c>
      <c r="H39" t="s">
        <v>23</v>
      </c>
      <c r="M39" s="2">
        <f>37+48+40+37+35</f>
        <v>197</v>
      </c>
    </row>
    <row r="40" spans="1:13" ht="12">
      <c r="A40" t="s">
        <v>24</v>
      </c>
      <c r="D40" s="8">
        <f>+D39/D38</f>
        <v>36.5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39.4</v>
      </c>
    </row>
    <row r="42" spans="1:13" ht="12">
      <c r="A42" t="s">
        <v>25</v>
      </c>
      <c r="D42" s="2">
        <v>3</v>
      </c>
      <c r="H42" t="s">
        <v>25</v>
      </c>
      <c r="M42" s="2">
        <v>1</v>
      </c>
    </row>
    <row r="43" spans="1:13" ht="12">
      <c r="A43" t="s">
        <v>26</v>
      </c>
      <c r="D43" s="2">
        <v>20</v>
      </c>
      <c r="H43" t="s">
        <v>26</v>
      </c>
      <c r="M43" s="2">
        <v>7</v>
      </c>
    </row>
    <row r="44" spans="1:13" ht="12">
      <c r="A44" t="s">
        <v>27</v>
      </c>
      <c r="D44" s="8">
        <f>+D43/D42</f>
        <v>6.666666666666667</v>
      </c>
      <c r="H44" t="s">
        <v>27</v>
      </c>
      <c r="M44" s="8">
        <f>+M43/M42</f>
        <v>7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4</v>
      </c>
      <c r="H47" t="s">
        <v>30</v>
      </c>
      <c r="M47" s="2">
        <v>5</v>
      </c>
    </row>
    <row r="48" spans="1:13" ht="12">
      <c r="A48" t="s">
        <v>26</v>
      </c>
      <c r="D48" s="2">
        <f>23+28+26+17</f>
        <v>94</v>
      </c>
      <c r="H48" t="s">
        <v>26</v>
      </c>
      <c r="M48" s="2">
        <f>13+28+27+8+19</f>
        <v>95</v>
      </c>
    </row>
    <row r="49" spans="1:13" ht="12">
      <c r="A49" t="s">
        <v>27</v>
      </c>
      <c r="D49" s="8">
        <f>+D48/D47</f>
        <v>23.5</v>
      </c>
      <c r="H49" t="s">
        <v>27</v>
      </c>
      <c r="M49" s="8">
        <f>+M48/M47</f>
        <v>19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7</v>
      </c>
      <c r="H52" t="s">
        <v>31</v>
      </c>
      <c r="M52" s="2">
        <v>7</v>
      </c>
    </row>
    <row r="53" spans="1:13" ht="12">
      <c r="A53" t="s">
        <v>32</v>
      </c>
      <c r="D53" s="2">
        <v>72</v>
      </c>
      <c r="H53" t="s">
        <v>32</v>
      </c>
      <c r="M53" s="2">
        <v>59</v>
      </c>
    </row>
    <row r="55" spans="1:13" ht="12">
      <c r="A55" t="s">
        <v>33</v>
      </c>
      <c r="D55" s="2">
        <v>4</v>
      </c>
      <c r="H55" t="s">
        <v>33</v>
      </c>
      <c r="M55" s="2">
        <v>1</v>
      </c>
    </row>
    <row r="56" spans="1:13" ht="12">
      <c r="A56" t="s">
        <v>34</v>
      </c>
      <c r="D56" s="2">
        <v>1</v>
      </c>
      <c r="H56" t="s">
        <v>34</v>
      </c>
      <c r="M56" s="2">
        <v>1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3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18</v>
      </c>
      <c r="H61" t="s">
        <v>38</v>
      </c>
      <c r="M61" s="2">
        <v>14</v>
      </c>
    </row>
    <row r="62" spans="1:13" ht="12">
      <c r="A62" t="s">
        <v>39</v>
      </c>
      <c r="D62" s="2">
        <v>1</v>
      </c>
      <c r="H62" t="s">
        <v>39</v>
      </c>
      <c r="M62" s="2">
        <v>2</v>
      </c>
    </row>
    <row r="63" spans="1:13" ht="12">
      <c r="A63" t="s">
        <v>40</v>
      </c>
      <c r="D63" s="2">
        <v>1</v>
      </c>
      <c r="H63" t="s">
        <v>40</v>
      </c>
      <c r="M63" s="2">
        <v>2</v>
      </c>
    </row>
    <row r="64" spans="1:13" ht="12">
      <c r="A64" t="s">
        <v>41</v>
      </c>
      <c r="D64" s="2">
        <v>0</v>
      </c>
      <c r="H64" t="s">
        <v>41</v>
      </c>
      <c r="M64" s="2">
        <v>0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1</v>
      </c>
      <c r="H66" t="s">
        <v>43</v>
      </c>
      <c r="M66" s="2">
        <v>2</v>
      </c>
    </row>
    <row r="67" spans="1:13" ht="12">
      <c r="A67" t="s">
        <v>44</v>
      </c>
      <c r="D67" s="2">
        <v>1</v>
      </c>
      <c r="H67" t="s">
        <v>44</v>
      </c>
      <c r="M67" s="2">
        <v>0</v>
      </c>
    </row>
    <row r="68" spans="1:13" ht="12">
      <c r="A68" t="s">
        <v>45</v>
      </c>
      <c r="D68" s="2">
        <v>3</v>
      </c>
      <c r="H68" t="s">
        <v>45</v>
      </c>
      <c r="M68" s="2">
        <v>0</v>
      </c>
    </row>
    <row r="69" spans="1:13" ht="12">
      <c r="A69" t="s">
        <v>46</v>
      </c>
      <c r="D69" s="2">
        <v>4</v>
      </c>
      <c r="H69" t="s">
        <v>46</v>
      </c>
      <c r="M69" s="2">
        <v>1</v>
      </c>
    </row>
    <row r="70" spans="1:13" ht="12">
      <c r="A70" t="s">
        <v>47</v>
      </c>
      <c r="D70" s="8">
        <f>+D68/D69*100</f>
        <v>75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0</v>
      </c>
    </row>
    <row r="71" spans="1:13" ht="12">
      <c r="A71" t="s">
        <v>93</v>
      </c>
      <c r="D71" s="10" t="str">
        <f>IF(V23&lt;10,V27,V26)</f>
        <v>36:55</v>
      </c>
      <c r="E71" s="8"/>
      <c r="F71" s="8"/>
      <c r="H71" t="s">
        <v>93</v>
      </c>
      <c r="M71" s="10" t="str">
        <f>IF(W23&lt;10,W27,W26)</f>
        <v>23:05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">
      <c r="A75" t="s">
        <v>100</v>
      </c>
      <c r="C75">
        <v>6</v>
      </c>
      <c r="D75">
        <v>22</v>
      </c>
      <c r="E75" s="12">
        <f>+D75/C75</f>
        <v>3.6666666666666665</v>
      </c>
      <c r="F75">
        <v>18</v>
      </c>
    </row>
    <row r="76" spans="1:5" ht="12">
      <c r="A76" t="s">
        <v>101</v>
      </c>
      <c r="E76" s="12" t="e">
        <f>+D76/C76</f>
        <v>#DIV/0!</v>
      </c>
    </row>
    <row r="77" spans="1:5" ht="12">
      <c r="A77" t="s">
        <v>102</v>
      </c>
      <c r="E77" s="12" t="e">
        <f>+D77/C77</f>
        <v>#DIV/0!</v>
      </c>
    </row>
    <row r="78" spans="1:6" ht="12">
      <c r="A78" t="s">
        <v>103</v>
      </c>
      <c r="C78">
        <v>5</v>
      </c>
      <c r="D78">
        <v>55</v>
      </c>
      <c r="E78" s="12">
        <f aca="true" t="shared" si="0" ref="E78:E84">+D78/C78</f>
        <v>11</v>
      </c>
      <c r="F78">
        <v>40</v>
      </c>
    </row>
    <row r="79" spans="1:8" ht="12">
      <c r="A79" t="s">
        <v>104</v>
      </c>
      <c r="C79">
        <v>15</v>
      </c>
      <c r="D79">
        <v>41</v>
      </c>
      <c r="E79" s="12">
        <f t="shared" si="0"/>
        <v>2.7333333333333334</v>
      </c>
      <c r="F79">
        <v>19</v>
      </c>
      <c r="H79">
        <v>1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3</v>
      </c>
      <c r="D83">
        <v>11</v>
      </c>
      <c r="E83" s="12">
        <f t="shared" si="0"/>
        <v>3.6666666666666665</v>
      </c>
      <c r="F83">
        <v>7</v>
      </c>
    </row>
    <row r="84" spans="1:7" ht="12">
      <c r="A84" t="s">
        <v>109</v>
      </c>
      <c r="C84">
        <v>5</v>
      </c>
      <c r="D84">
        <v>8</v>
      </c>
      <c r="E84" s="12">
        <f t="shared" si="0"/>
        <v>1.6</v>
      </c>
      <c r="F84">
        <v>6</v>
      </c>
      <c r="G84">
        <v>1</v>
      </c>
    </row>
    <row r="85" spans="1:8" ht="12">
      <c r="A85" t="s">
        <v>110</v>
      </c>
      <c r="C85">
        <v>10</v>
      </c>
      <c r="D85">
        <v>49</v>
      </c>
      <c r="E85" s="12">
        <f>+D85/C85</f>
        <v>4.9</v>
      </c>
      <c r="F85">
        <v>9</v>
      </c>
      <c r="H85">
        <v>2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6" ht="12">
      <c r="A90" t="s">
        <v>112</v>
      </c>
      <c r="C90">
        <v>1</v>
      </c>
      <c r="D90">
        <v>20</v>
      </c>
      <c r="E90" s="12">
        <f t="shared" si="1"/>
        <v>20</v>
      </c>
      <c r="F90">
        <v>20</v>
      </c>
    </row>
    <row r="91" spans="1:8" ht="12">
      <c r="A91" t="s">
        <v>103</v>
      </c>
      <c r="C91">
        <v>3</v>
      </c>
      <c r="D91">
        <v>32</v>
      </c>
      <c r="E91" s="12">
        <f t="shared" si="1"/>
        <v>10.666666666666666</v>
      </c>
      <c r="F91">
        <v>15</v>
      </c>
      <c r="H91">
        <v>1</v>
      </c>
    </row>
    <row r="92" spans="1:6" ht="12">
      <c r="A92" t="s">
        <v>104</v>
      </c>
      <c r="C92">
        <v>1</v>
      </c>
      <c r="D92">
        <v>9</v>
      </c>
      <c r="E92" s="12">
        <f t="shared" si="1"/>
        <v>9</v>
      </c>
      <c r="F92">
        <v>9</v>
      </c>
    </row>
    <row r="93" spans="1:5" ht="12">
      <c r="A93" s="2" t="s">
        <v>105</v>
      </c>
      <c r="E93" s="12" t="e">
        <f t="shared" si="1"/>
        <v>#DIV/0!</v>
      </c>
    </row>
    <row r="94" spans="1:6" ht="12">
      <c r="A94" t="s">
        <v>113</v>
      </c>
      <c r="C94">
        <v>5</v>
      </c>
      <c r="D94">
        <v>74</v>
      </c>
      <c r="E94" s="12">
        <f t="shared" si="1"/>
        <v>14.8</v>
      </c>
      <c r="F94">
        <v>23</v>
      </c>
    </row>
    <row r="95" spans="1:5" ht="12">
      <c r="A95" t="s">
        <v>108</v>
      </c>
      <c r="E95" s="12" t="e">
        <f t="shared" si="1"/>
        <v>#DIV/0!</v>
      </c>
    </row>
    <row r="96" spans="1:6" ht="12">
      <c r="A96" t="s">
        <v>114</v>
      </c>
      <c r="C96">
        <v>1</v>
      </c>
      <c r="D96">
        <v>7</v>
      </c>
      <c r="E96" s="12">
        <f t="shared" si="1"/>
        <v>7</v>
      </c>
      <c r="F96">
        <v>7</v>
      </c>
    </row>
    <row r="97" spans="1:5" ht="12">
      <c r="A97" t="s">
        <v>115</v>
      </c>
      <c r="E97" s="12" t="e">
        <f t="shared" si="1"/>
        <v>#DIV/0!</v>
      </c>
    </row>
    <row r="98" spans="1:6" ht="12">
      <c r="A98" s="2" t="s">
        <v>110</v>
      </c>
      <c r="C98">
        <v>2</v>
      </c>
      <c r="D98">
        <v>2</v>
      </c>
      <c r="E98" s="12">
        <f t="shared" si="1"/>
        <v>1</v>
      </c>
      <c r="F98">
        <v>3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25</v>
      </c>
      <c r="D106">
        <v>12</v>
      </c>
      <c r="E106" s="12">
        <f>+D106/C106*100</f>
        <v>48</v>
      </c>
      <c r="F106">
        <v>129</v>
      </c>
      <c r="H106">
        <v>23</v>
      </c>
      <c r="J106" s="8">
        <f>+G106/C106*100</f>
        <v>0</v>
      </c>
      <c r="K106" s="12">
        <f>+I106/C106*100</f>
        <v>0</v>
      </c>
      <c r="L106" s="12">
        <f>+F106/C106</f>
        <v>5.16</v>
      </c>
      <c r="M106" s="12">
        <f>100*(S106+U106+W106+Y106)/6</f>
        <v>63.583333333333336</v>
      </c>
      <c r="O106">
        <v>1</v>
      </c>
      <c r="R106">
        <f>+(E106-30)/20</f>
        <v>0.9</v>
      </c>
      <c r="S106" s="2">
        <f>IF(R106&lt;0,0,R106)</f>
        <v>0.9</v>
      </c>
      <c r="T106" s="6">
        <f>+(L106-3)/4</f>
        <v>0.54</v>
      </c>
      <c r="U106" s="2">
        <f>IF(T106&lt;0,0,T106)</f>
        <v>0.54</v>
      </c>
      <c r="V106">
        <f>+J106/5</f>
        <v>0</v>
      </c>
      <c r="W106" s="2">
        <f>IF(V106&lt;0,0,V106)</f>
        <v>0</v>
      </c>
      <c r="X106">
        <f>(9.5-K106)/4</f>
        <v>2.375</v>
      </c>
      <c r="Y106" s="2">
        <f>IF(X106&lt;0,0,X106)</f>
        <v>2.375</v>
      </c>
    </row>
    <row r="107" spans="1:25" ht="12">
      <c r="A107" t="s">
        <v>101</v>
      </c>
      <c r="E107" s="12" t="e">
        <f>+D107/C107*100</f>
        <v>#DIV/0!</v>
      </c>
      <c r="J107" s="8"/>
      <c r="K107" s="12" t="e">
        <f>+I107/C107*100</f>
        <v>#DIV/0!</v>
      </c>
      <c r="L107" s="12" t="e">
        <f>+F107/C107</f>
        <v>#DIV/0!</v>
      </c>
      <c r="M107" s="12" t="e">
        <f>100*(S107+U107+W107+Y107)/6</f>
        <v>#DIV/0!</v>
      </c>
      <c r="R107" t="e">
        <f>+(E107-30)/20</f>
        <v>#DIV/0!</v>
      </c>
      <c r="S107" s="2" t="e">
        <f>IF(R107&lt;0,0,R107)</f>
        <v>#DIV/0!</v>
      </c>
      <c r="T107" s="6" t="e">
        <f>+(L107-3)/4</f>
        <v>#DIV/0!</v>
      </c>
      <c r="U107" s="2" t="e">
        <f>IF(T107&lt;0,0,T107)</f>
        <v>#DIV/0!</v>
      </c>
      <c r="V107">
        <f>+J107/5</f>
        <v>0</v>
      </c>
      <c r="W107" s="2">
        <f>IF(V107&lt;0,0,V107)</f>
        <v>0</v>
      </c>
      <c r="X107" t="e">
        <f>(9.5-K107)/4</f>
        <v>#DIV/0!</v>
      </c>
      <c r="Y107" s="2" t="e">
        <f>IF(X107&lt;0,0,X107)</f>
        <v>#DIV/0!</v>
      </c>
    </row>
    <row r="108" spans="1:25" ht="12">
      <c r="A108" t="s">
        <v>110</v>
      </c>
      <c r="C108">
        <v>1</v>
      </c>
      <c r="D108">
        <v>1</v>
      </c>
      <c r="E108" s="12">
        <f>+D108/C108*100</f>
        <v>100</v>
      </c>
      <c r="F108">
        <v>15</v>
      </c>
      <c r="H108">
        <v>15</v>
      </c>
      <c r="J108" s="8"/>
      <c r="K108" s="12">
        <f>+I108/C108*100</f>
        <v>0</v>
      </c>
      <c r="L108" s="12">
        <f>+F108/C108</f>
        <v>15</v>
      </c>
      <c r="M108" s="12">
        <f>100*(S108+U108+W108+Y108)/6</f>
        <v>147.91666666666666</v>
      </c>
      <c r="R108">
        <f>+(E108-30)/20</f>
        <v>3.5</v>
      </c>
      <c r="S108" s="2">
        <f>IF(R108&lt;0,0,R108)</f>
        <v>3.5</v>
      </c>
      <c r="T108" s="6">
        <f>+(L108-3)/4</f>
        <v>3</v>
      </c>
      <c r="U108" s="2">
        <f>IF(T108&lt;0,0,T108)</f>
        <v>3</v>
      </c>
      <c r="V108">
        <f>+J108/5</f>
        <v>0</v>
      </c>
      <c r="W108" s="2">
        <f>IF(V108&lt;0,0,V108)</f>
        <v>0</v>
      </c>
      <c r="X108">
        <f>(9.5-K108)/4</f>
        <v>2.375</v>
      </c>
      <c r="Y108" s="2">
        <f>IF(X108&lt;0,0,X108)</f>
        <v>2.375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1</v>
      </c>
      <c r="D113">
        <v>1</v>
      </c>
      <c r="E113">
        <v>17</v>
      </c>
      <c r="F113" s="12">
        <f aca="true" t="shared" si="2" ref="F113:F118">+E113/C113</f>
        <v>17</v>
      </c>
      <c r="G113">
        <v>17</v>
      </c>
    </row>
    <row r="114" spans="1:6" ht="12">
      <c r="A114" t="s">
        <v>104</v>
      </c>
      <c r="F114" s="12" t="e">
        <f t="shared" si="2"/>
        <v>#DIV/0!</v>
      </c>
    </row>
    <row r="115" spans="1:7" ht="12">
      <c r="A115" t="s">
        <v>117</v>
      </c>
      <c r="C115">
        <v>2</v>
      </c>
      <c r="E115">
        <v>3</v>
      </c>
      <c r="F115" s="12">
        <f t="shared" si="2"/>
        <v>1.5</v>
      </c>
      <c r="G115">
        <v>3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">
      <c r="A123" t="s">
        <v>116</v>
      </c>
      <c r="C123">
        <v>1</v>
      </c>
      <c r="D123">
        <v>23</v>
      </c>
      <c r="E123" s="12">
        <f aca="true" t="shared" si="3" ref="E123:E128">+D123/C123</f>
        <v>23</v>
      </c>
      <c r="F123">
        <v>23</v>
      </c>
    </row>
    <row r="124" spans="1:5" ht="12">
      <c r="A124" t="s">
        <v>118</v>
      </c>
      <c r="E124" s="12" t="e">
        <f t="shared" si="3"/>
        <v>#DIV/0!</v>
      </c>
    </row>
    <row r="125" spans="1:5" ht="12">
      <c r="A125" t="s">
        <v>119</v>
      </c>
      <c r="E125" s="12" t="e">
        <f t="shared" si="3"/>
        <v>#DIV/0!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6" ht="12">
      <c r="A130" t="s">
        <v>117</v>
      </c>
      <c r="C130">
        <v>3</v>
      </c>
      <c r="D130">
        <f>28+26+17</f>
        <v>71</v>
      </c>
      <c r="E130" s="12">
        <f>+D130/C130</f>
        <v>23.666666666666668</v>
      </c>
      <c r="F130">
        <v>28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2</v>
      </c>
      <c r="D133">
        <v>73</v>
      </c>
      <c r="E133" s="12"/>
      <c r="F133">
        <v>48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8" ht="12">
      <c r="A141" t="s">
        <v>121</v>
      </c>
      <c r="C141">
        <v>5</v>
      </c>
      <c r="E141">
        <v>1</v>
      </c>
      <c r="F141">
        <v>1</v>
      </c>
      <c r="G141">
        <v>4</v>
      </c>
      <c r="H141">
        <v>3</v>
      </c>
      <c r="I141" s="12">
        <f>+H141/G141*100</f>
        <v>75</v>
      </c>
      <c r="J141">
        <v>27</v>
      </c>
      <c r="N141">
        <v>3</v>
      </c>
      <c r="O141">
        <v>3</v>
      </c>
      <c r="R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5" ht="12">
      <c r="A149" t="s">
        <v>116</v>
      </c>
      <c r="E149" s="12" t="e">
        <f t="shared" si="4"/>
        <v>#DIV/0!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C152">
        <v>1</v>
      </c>
      <c r="E152" s="12">
        <f t="shared" si="4"/>
        <v>0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>
        <v>1</v>
      </c>
      <c r="D163" s="3">
        <v>4</v>
      </c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>
        <v>1</v>
      </c>
      <c r="D165" s="3">
        <v>3</v>
      </c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>
        <v>0.5</v>
      </c>
      <c r="D169" s="3">
        <v>6</v>
      </c>
    </row>
    <row r="170" spans="1:4" ht="12">
      <c r="A170" t="s">
        <v>132</v>
      </c>
      <c r="C170" s="3">
        <v>1</v>
      </c>
      <c r="D170" s="3">
        <v>9</v>
      </c>
    </row>
    <row r="171" spans="1:4" ht="12">
      <c r="A171" t="s">
        <v>133</v>
      </c>
      <c r="C171" s="3">
        <v>0.5</v>
      </c>
      <c r="D171" s="3">
        <v>6</v>
      </c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spans="1:3" ht="12">
      <c r="A201" t="s">
        <v>104</v>
      </c>
      <c r="C201">
        <v>1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B1" sqref="B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28125" style="0" customWidth="1"/>
  </cols>
  <sheetData>
    <row r="1" ht="12">
      <c r="A1" s="2" t="str">
        <f>+'Cumulative Stats'!A1</f>
        <v>1972 Cincinnati Bengals</v>
      </c>
    </row>
    <row r="3" spans="1:16" ht="12">
      <c r="A3" s="2" t="s">
        <v>0</v>
      </c>
      <c r="H3" s="2" t="s">
        <v>48</v>
      </c>
      <c r="P3" s="16"/>
    </row>
    <row r="6" spans="1:13" ht="12">
      <c r="A6" s="1" t="s">
        <v>29</v>
      </c>
      <c r="D6" s="2">
        <v>7</v>
      </c>
      <c r="H6" s="1" t="s">
        <v>29</v>
      </c>
      <c r="M6" s="2">
        <v>19</v>
      </c>
    </row>
    <row r="7" spans="1:13" ht="12">
      <c r="A7" s="18" t="s">
        <v>95</v>
      </c>
      <c r="D7" s="2">
        <v>3</v>
      </c>
      <c r="H7" s="18" t="s">
        <v>95</v>
      </c>
      <c r="M7" s="2">
        <v>8</v>
      </c>
    </row>
    <row r="8" spans="1:13" ht="12">
      <c r="A8" s="18" t="s">
        <v>96</v>
      </c>
      <c r="D8" s="2">
        <v>4</v>
      </c>
      <c r="H8" s="18" t="s">
        <v>96</v>
      </c>
      <c r="M8" s="2">
        <v>10</v>
      </c>
    </row>
    <row r="9" spans="1:13" ht="12">
      <c r="A9" s="18" t="s">
        <v>97</v>
      </c>
      <c r="D9" s="2">
        <v>0</v>
      </c>
      <c r="H9" s="18" t="s">
        <v>97</v>
      </c>
      <c r="M9" s="2">
        <v>1</v>
      </c>
    </row>
    <row r="11" spans="1:23" ht="12">
      <c r="A11" t="s">
        <v>1</v>
      </c>
      <c r="D11" s="2">
        <f>4+2+4+1+4+2</f>
        <v>17</v>
      </c>
      <c r="G11" t="str">
        <f>IF(D11=SUM(C75:C86),"ok","ERR")</f>
        <v>ok</v>
      </c>
      <c r="H11" t="s">
        <v>1</v>
      </c>
      <c r="M11" s="2">
        <f>17+10+7+2+4</f>
        <v>40</v>
      </c>
      <c r="V11">
        <f>+D11</f>
        <v>17</v>
      </c>
      <c r="W11">
        <f>+M11</f>
        <v>40</v>
      </c>
    </row>
    <row r="12" spans="1:23" ht="12">
      <c r="A12" t="s">
        <v>2</v>
      </c>
      <c r="D12" s="2">
        <f>29+12+8+4+4-1</f>
        <v>56</v>
      </c>
      <c r="H12" t="s">
        <v>2</v>
      </c>
      <c r="M12" s="2">
        <f>29+38+15+8+3-2</f>
        <v>91</v>
      </c>
      <c r="U12" s="13"/>
      <c r="V12">
        <f>+D16</f>
        <v>17</v>
      </c>
      <c r="W12">
        <f>+M16</f>
        <v>20</v>
      </c>
    </row>
    <row r="13" spans="1:23" ht="12">
      <c r="A13" s="1" t="s">
        <v>3</v>
      </c>
      <c r="D13" s="8">
        <f>+D12/D11</f>
        <v>3.2941176470588234</v>
      </c>
      <c r="H13" s="1" t="s">
        <v>3</v>
      </c>
      <c r="M13" s="8">
        <f>+M12/M11</f>
        <v>2.275</v>
      </c>
      <c r="V13">
        <f>+(D15-D16)/2</f>
        <v>6.5</v>
      </c>
      <c r="W13">
        <f>+(M15-M16)/2</f>
        <v>4</v>
      </c>
    </row>
    <row r="14" spans="16:23" ht="12">
      <c r="P14" s="17"/>
      <c r="V14">
        <f>+D38/2</f>
        <v>2.5</v>
      </c>
      <c r="W14">
        <f>+M38/2</f>
        <v>2</v>
      </c>
    </row>
    <row r="15" spans="1:23" ht="12">
      <c r="A15" t="s">
        <v>4</v>
      </c>
      <c r="D15" s="2">
        <v>30</v>
      </c>
      <c r="H15" t="s">
        <v>4</v>
      </c>
      <c r="M15" s="2">
        <v>28</v>
      </c>
      <c r="V15">
        <f>+D42/2</f>
        <v>1</v>
      </c>
      <c r="W15">
        <f>+M42/2</f>
        <v>1.5</v>
      </c>
    </row>
    <row r="16" spans="1:23" ht="12">
      <c r="A16" t="s">
        <v>5</v>
      </c>
      <c r="D16" s="2">
        <v>17</v>
      </c>
      <c r="H16" t="s">
        <v>5</v>
      </c>
      <c r="M16" s="2">
        <v>20</v>
      </c>
      <c r="V16">
        <f>+D47/2</f>
        <v>3</v>
      </c>
      <c r="W16">
        <f>+M47/2</f>
        <v>1</v>
      </c>
    </row>
    <row r="17" spans="1:13" ht="12">
      <c r="A17" t="s">
        <v>6</v>
      </c>
      <c r="D17" s="8">
        <f>+D16/D15*100</f>
        <v>56.666666666666664</v>
      </c>
      <c r="H17" t="s">
        <v>6</v>
      </c>
      <c r="M17" s="8">
        <f>+M16/M15*100</f>
        <v>71.42857142857143</v>
      </c>
    </row>
    <row r="18" spans="1:24" ht="12">
      <c r="A18" t="s">
        <v>7</v>
      </c>
      <c r="D18" s="2">
        <f>79+51</f>
        <v>130</v>
      </c>
      <c r="H18" t="s">
        <v>7</v>
      </c>
      <c r="M18" s="2">
        <v>164</v>
      </c>
      <c r="V18">
        <f>SUM(V11:V16)</f>
        <v>47</v>
      </c>
      <c r="W18">
        <f>SUM(W11:W16)</f>
        <v>68.5</v>
      </c>
      <c r="X18">
        <f>+W18+V18</f>
        <v>115.5</v>
      </c>
    </row>
    <row r="19" spans="1:23" ht="12">
      <c r="A19" t="s">
        <v>8</v>
      </c>
      <c r="D19" s="2">
        <v>3</v>
      </c>
      <c r="H19" t="s">
        <v>8</v>
      </c>
      <c r="M19" s="2">
        <v>4</v>
      </c>
      <c r="V19">
        <f>+V18/X18</f>
        <v>0.4069264069264069</v>
      </c>
      <c r="W19">
        <f>+W18/X18</f>
        <v>0.5930735930735931</v>
      </c>
    </row>
    <row r="20" spans="1:23" ht="12">
      <c r="A20" t="s">
        <v>9</v>
      </c>
      <c r="D20" s="2">
        <v>17</v>
      </c>
      <c r="H20" t="s">
        <v>9</v>
      </c>
      <c r="M20" s="2">
        <v>26</v>
      </c>
      <c r="V20">
        <f>+V19*60</f>
        <v>24.415584415584416</v>
      </c>
      <c r="W20">
        <f>+W19*60</f>
        <v>35.58441558441559</v>
      </c>
    </row>
    <row r="21" spans="1:23" ht="12">
      <c r="A21" t="s">
        <v>10</v>
      </c>
      <c r="D21">
        <f>+D18-D20</f>
        <v>113</v>
      </c>
      <c r="H21" t="s">
        <v>10</v>
      </c>
      <c r="M21">
        <f>+M18-M20</f>
        <v>138</v>
      </c>
      <c r="V21">
        <f>+V20-INT(V20)</f>
        <v>0.4155844155844157</v>
      </c>
      <c r="W21">
        <f>+W20-INT(W20)</f>
        <v>0.5844155844155878</v>
      </c>
    </row>
    <row r="22" spans="1:23" ht="12">
      <c r="A22" t="s">
        <v>11</v>
      </c>
      <c r="D22" s="7">
        <f>+D21/(D15+D19)</f>
        <v>3.4242424242424243</v>
      </c>
      <c r="H22" t="s">
        <v>11</v>
      </c>
      <c r="M22" s="7">
        <f>+M21/(M15+M19)</f>
        <v>4.3125</v>
      </c>
      <c r="V22">
        <f>+V21*60</f>
        <v>24.935064935064943</v>
      </c>
      <c r="W22">
        <f>+W21*60</f>
        <v>35.06493506493527</v>
      </c>
    </row>
    <row r="23" spans="1:23" ht="12">
      <c r="A23" t="s">
        <v>12</v>
      </c>
      <c r="D23" s="7">
        <f>+D18/D16</f>
        <v>7.647058823529412</v>
      </c>
      <c r="H23" t="s">
        <v>12</v>
      </c>
      <c r="M23" s="7">
        <f>+M18/M16</f>
        <v>8.2</v>
      </c>
      <c r="U23">
        <v>0</v>
      </c>
      <c r="V23" s="11">
        <f>ROUND(V22,0)</f>
        <v>25</v>
      </c>
      <c r="W23">
        <f>ROUND(W22,0)</f>
        <v>35</v>
      </c>
    </row>
    <row r="24" spans="22:23" ht="12">
      <c r="V24">
        <f>INT(V20)</f>
        <v>24</v>
      </c>
      <c r="W24">
        <f>INT(W20)</f>
        <v>35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169</v>
      </c>
      <c r="H26" t="s">
        <v>14</v>
      </c>
      <c r="M26">
        <f>+M21+M12</f>
        <v>229</v>
      </c>
      <c r="Q26" s="9"/>
      <c r="R26" s="9"/>
      <c r="V26" s="14" t="str">
        <f>+V24&amp;V25&amp;V23</f>
        <v>24:25</v>
      </c>
      <c r="W26" s="9" t="str">
        <f>+W24&amp;W25&amp;W23</f>
        <v>35:35</v>
      </c>
    </row>
    <row r="27" spans="1:23" ht="12">
      <c r="A27" t="s">
        <v>15</v>
      </c>
      <c r="D27" s="7">
        <f>+D12/D26*100</f>
        <v>33.13609467455622</v>
      </c>
      <c r="H27" t="s">
        <v>15</v>
      </c>
      <c r="M27" s="7">
        <f>+M12/M26*100</f>
        <v>39.737991266375545</v>
      </c>
      <c r="V27" s="9" t="str">
        <f>IF(V23&lt;10,+V24&amp;V25&amp;$U$23&amp;V23,+V24&amp;V25&amp;V23)</f>
        <v>24:25</v>
      </c>
      <c r="W27" s="9" t="str">
        <f>IF(W23&lt;10,+W24&amp;W25&amp;$U$23&amp;W23,+W24&amp;W25&amp;W23)</f>
        <v>35:35</v>
      </c>
    </row>
    <row r="28" spans="1:13" ht="12">
      <c r="A28" s="1" t="s">
        <v>90</v>
      </c>
      <c r="D28" s="7">
        <f>+D21/D26*100</f>
        <v>66.86390532544378</v>
      </c>
      <c r="H28" s="1" t="s">
        <v>90</v>
      </c>
      <c r="M28" s="7">
        <f>+M21/M26*100</f>
        <v>60.26200873362445</v>
      </c>
    </row>
    <row r="30" spans="1:13" ht="12">
      <c r="A30" t="s">
        <v>16</v>
      </c>
      <c r="D30">
        <f>+D11+D15+D19</f>
        <v>50</v>
      </c>
      <c r="H30" t="s">
        <v>16</v>
      </c>
      <c r="M30">
        <f>+M11+M15+M19</f>
        <v>72</v>
      </c>
    </row>
    <row r="31" spans="1:13" ht="12">
      <c r="A31" t="s">
        <v>17</v>
      </c>
      <c r="D31" s="8">
        <f>+D26/D30</f>
        <v>3.38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3.1805555555555554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2</v>
      </c>
      <c r="H34" t="s">
        <v>19</v>
      </c>
      <c r="M34" s="2">
        <v>0</v>
      </c>
    </row>
    <row r="35" spans="1:13" ht="12">
      <c r="A35" t="s">
        <v>20</v>
      </c>
      <c r="D35" s="2">
        <v>0</v>
      </c>
      <c r="H35" t="s">
        <v>20</v>
      </c>
      <c r="M35" s="2">
        <v>0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5</v>
      </c>
      <c r="H38" t="s">
        <v>22</v>
      </c>
      <c r="M38" s="2">
        <v>4</v>
      </c>
    </row>
    <row r="39" spans="1:13" ht="12">
      <c r="A39" t="s">
        <v>23</v>
      </c>
      <c r="D39" s="2">
        <f>54+54+41+45+54</f>
        <v>248</v>
      </c>
      <c r="H39" t="s">
        <v>23</v>
      </c>
      <c r="M39" s="2">
        <f>52+32+52+40</f>
        <v>176</v>
      </c>
    </row>
    <row r="40" spans="1:13" ht="12">
      <c r="A40" t="s">
        <v>24</v>
      </c>
      <c r="D40" s="8">
        <f>+D39/D38</f>
        <v>49.6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44</v>
      </c>
    </row>
    <row r="42" spans="1:13" ht="12">
      <c r="A42" t="s">
        <v>25</v>
      </c>
      <c r="D42" s="2">
        <v>2</v>
      </c>
      <c r="H42" t="s">
        <v>25</v>
      </c>
      <c r="M42" s="2">
        <v>3</v>
      </c>
    </row>
    <row r="43" spans="1:13" ht="12">
      <c r="A43" t="s">
        <v>26</v>
      </c>
      <c r="D43" s="2">
        <v>24</v>
      </c>
      <c r="H43" t="s">
        <v>26</v>
      </c>
      <c r="M43" s="2">
        <v>4</v>
      </c>
    </row>
    <row r="44" spans="1:13" ht="12">
      <c r="A44" t="s">
        <v>27</v>
      </c>
      <c r="D44" s="8">
        <f>+D43/D42</f>
        <v>12</v>
      </c>
      <c r="H44" t="s">
        <v>27</v>
      </c>
      <c r="M44" s="8">
        <f>+M43/M42</f>
        <v>1.3333333333333333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6</v>
      </c>
      <c r="H47" t="s">
        <v>30</v>
      </c>
      <c r="M47" s="2">
        <v>2</v>
      </c>
    </row>
    <row r="48" spans="1:13" ht="12">
      <c r="A48" t="s">
        <v>26</v>
      </c>
      <c r="D48" s="2">
        <f>10+19+26+27+35+12</f>
        <v>129</v>
      </c>
      <c r="H48" t="s">
        <v>26</v>
      </c>
      <c r="M48" s="2">
        <v>72</v>
      </c>
    </row>
    <row r="49" spans="1:13" ht="12">
      <c r="A49" t="s">
        <v>27</v>
      </c>
      <c r="D49" s="8">
        <f>+D48/D47</f>
        <v>21.5</v>
      </c>
      <c r="H49" t="s">
        <v>27</v>
      </c>
      <c r="M49" s="8">
        <f>+M48/M47</f>
        <v>36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5</v>
      </c>
      <c r="H52" t="s">
        <v>31</v>
      </c>
      <c r="M52" s="2">
        <v>2</v>
      </c>
    </row>
    <row r="53" spans="1:13" ht="12">
      <c r="A53" t="s">
        <v>32</v>
      </c>
      <c r="D53" s="2">
        <v>48</v>
      </c>
      <c r="H53" t="s">
        <v>32</v>
      </c>
      <c r="M53" s="2">
        <v>20</v>
      </c>
    </row>
    <row r="55" spans="1:13" ht="12">
      <c r="A55" t="s">
        <v>33</v>
      </c>
      <c r="D55" s="2">
        <v>6</v>
      </c>
      <c r="H55" t="s">
        <v>33</v>
      </c>
      <c r="M55" s="2">
        <v>4</v>
      </c>
    </row>
    <row r="56" spans="1:13" ht="12">
      <c r="A56" t="s">
        <v>34</v>
      </c>
      <c r="D56" s="2">
        <v>1</v>
      </c>
      <c r="H56" t="s">
        <v>34</v>
      </c>
      <c r="M56" s="2">
        <v>2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2</v>
      </c>
      <c r="H58" t="s">
        <v>36</v>
      </c>
      <c r="M58" s="2">
        <v>5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3</v>
      </c>
      <c r="H61" t="s">
        <v>38</v>
      </c>
      <c r="M61" s="2">
        <v>30</v>
      </c>
    </row>
    <row r="62" spans="1:13" ht="12">
      <c r="A62" t="s">
        <v>39</v>
      </c>
      <c r="D62" s="2">
        <v>0</v>
      </c>
      <c r="H62" t="s">
        <v>39</v>
      </c>
      <c r="M62" s="2">
        <v>3</v>
      </c>
    </row>
    <row r="63" spans="1:13" ht="12">
      <c r="A63" t="s">
        <v>40</v>
      </c>
      <c r="D63" s="2">
        <v>0</v>
      </c>
      <c r="H63" t="s">
        <v>40</v>
      </c>
      <c r="M63" s="2">
        <v>0</v>
      </c>
    </row>
    <row r="64" spans="1:13" ht="12">
      <c r="A64" t="s">
        <v>41</v>
      </c>
      <c r="D64" s="2">
        <v>0</v>
      </c>
      <c r="H64" t="s">
        <v>41</v>
      </c>
      <c r="M64" s="2">
        <v>3</v>
      </c>
    </row>
    <row r="65" spans="1:13" ht="12">
      <c r="A65" t="s">
        <v>42</v>
      </c>
      <c r="D65" s="2">
        <v>0</v>
      </c>
      <c r="H65" t="s">
        <v>42</v>
      </c>
      <c r="M65" s="2">
        <v>0</v>
      </c>
    </row>
    <row r="66" spans="1:13" ht="12">
      <c r="A66" t="s">
        <v>43</v>
      </c>
      <c r="D66" s="2">
        <v>0</v>
      </c>
      <c r="H66" t="s">
        <v>43</v>
      </c>
      <c r="M66" s="2">
        <v>3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1</v>
      </c>
      <c r="H68" t="s">
        <v>45</v>
      </c>
      <c r="M68" s="2">
        <v>3</v>
      </c>
    </row>
    <row r="69" spans="1:13" ht="12">
      <c r="A69" t="s">
        <v>46</v>
      </c>
      <c r="D69" s="2">
        <v>1</v>
      </c>
      <c r="H69" t="s">
        <v>46</v>
      </c>
      <c r="M69" s="2">
        <v>3</v>
      </c>
    </row>
    <row r="70" spans="1:13" ht="12">
      <c r="A70" t="s">
        <v>47</v>
      </c>
      <c r="D70" s="8">
        <f>+D68/D69*100</f>
        <v>100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100</v>
      </c>
    </row>
    <row r="71" spans="1:13" ht="12">
      <c r="A71" t="s">
        <v>93</v>
      </c>
      <c r="D71" s="10" t="str">
        <f>IF(V23&lt;10,V27,V26)</f>
        <v>24:25</v>
      </c>
      <c r="E71" s="8"/>
      <c r="F71" s="8"/>
      <c r="H71" t="s">
        <v>93</v>
      </c>
      <c r="M71" s="10" t="str">
        <f>IF(W23&lt;10,W27,W26)</f>
        <v>35:35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">
      <c r="A75" t="s">
        <v>100</v>
      </c>
      <c r="C75">
        <v>4</v>
      </c>
      <c r="D75">
        <v>4</v>
      </c>
      <c r="E75" s="12">
        <f>+D75/C75</f>
        <v>1</v>
      </c>
      <c r="F75">
        <v>4</v>
      </c>
      <c r="H75">
        <v>1</v>
      </c>
    </row>
    <row r="76" spans="1:8" ht="12">
      <c r="A76" t="s">
        <v>101</v>
      </c>
      <c r="C76">
        <v>2</v>
      </c>
      <c r="D76">
        <v>-1</v>
      </c>
      <c r="E76" s="12">
        <f>+D76/C76</f>
        <v>-0.5</v>
      </c>
      <c r="F76">
        <v>1</v>
      </c>
      <c r="H76">
        <v>1</v>
      </c>
    </row>
    <row r="77" spans="1:5" ht="12">
      <c r="A77" t="s">
        <v>102</v>
      </c>
      <c r="E77" s="12" t="e">
        <f>+D77/C77</f>
        <v>#DIV/0!</v>
      </c>
    </row>
    <row r="78" spans="1:6" ht="12">
      <c r="A78" t="s">
        <v>103</v>
      </c>
      <c r="C78">
        <v>2</v>
      </c>
      <c r="D78">
        <v>12</v>
      </c>
      <c r="E78" s="12">
        <f aca="true" t="shared" si="0" ref="E78:E84">+D78/C78</f>
        <v>6</v>
      </c>
      <c r="F78">
        <v>12</v>
      </c>
    </row>
    <row r="79" spans="1:6" ht="12">
      <c r="A79" t="s">
        <v>104</v>
      </c>
      <c r="C79">
        <v>4</v>
      </c>
      <c r="D79">
        <v>29</v>
      </c>
      <c r="E79" s="12">
        <f t="shared" si="0"/>
        <v>7.25</v>
      </c>
      <c r="F79">
        <v>14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1</v>
      </c>
      <c r="D83">
        <v>4</v>
      </c>
      <c r="E83" s="12">
        <f t="shared" si="0"/>
        <v>4</v>
      </c>
      <c r="F83">
        <v>4</v>
      </c>
    </row>
    <row r="84" spans="1:5" ht="12">
      <c r="A84" t="s">
        <v>109</v>
      </c>
      <c r="E84" s="12" t="e">
        <f t="shared" si="0"/>
        <v>#DIV/0!</v>
      </c>
    </row>
    <row r="85" spans="1:8" ht="12">
      <c r="A85" t="s">
        <v>110</v>
      </c>
      <c r="C85">
        <v>4</v>
      </c>
      <c r="D85">
        <v>8</v>
      </c>
      <c r="E85" s="12">
        <f>+D85/C85</f>
        <v>2</v>
      </c>
      <c r="F85">
        <v>4</v>
      </c>
      <c r="H85">
        <v>1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6" ht="12">
      <c r="A89" t="s">
        <v>111</v>
      </c>
      <c r="C89">
        <v>1</v>
      </c>
      <c r="D89">
        <v>12</v>
      </c>
      <c r="E89" s="12">
        <f aca="true" t="shared" si="1" ref="E89:E100">+D89/C89</f>
        <v>12</v>
      </c>
      <c r="F89">
        <v>12</v>
      </c>
    </row>
    <row r="90" spans="1:5" ht="12">
      <c r="A90" t="s">
        <v>112</v>
      </c>
      <c r="E90" s="12" t="e">
        <f t="shared" si="1"/>
        <v>#DIV/0!</v>
      </c>
    </row>
    <row r="91" spans="1:8" ht="12">
      <c r="A91" t="s">
        <v>103</v>
      </c>
      <c r="C91">
        <v>5</v>
      </c>
      <c r="D91">
        <v>35</v>
      </c>
      <c r="E91" s="12">
        <f t="shared" si="1"/>
        <v>7</v>
      </c>
      <c r="F91">
        <v>9</v>
      </c>
      <c r="H91">
        <v>1</v>
      </c>
    </row>
    <row r="92" spans="1:6" ht="12">
      <c r="A92" t="s">
        <v>104</v>
      </c>
      <c r="C92">
        <v>1</v>
      </c>
      <c r="D92">
        <v>5</v>
      </c>
      <c r="E92" s="12">
        <f t="shared" si="1"/>
        <v>5</v>
      </c>
      <c r="F92">
        <v>5</v>
      </c>
    </row>
    <row r="93" spans="1:5" ht="12">
      <c r="A93" s="2" t="s">
        <v>105</v>
      </c>
      <c r="E93" s="12" t="e">
        <f t="shared" si="1"/>
        <v>#DIV/0!</v>
      </c>
    </row>
    <row r="94" spans="1:6" ht="12">
      <c r="A94" t="s">
        <v>113</v>
      </c>
      <c r="C94">
        <v>3</v>
      </c>
      <c r="D94">
        <v>33</v>
      </c>
      <c r="E94" s="12">
        <f t="shared" si="1"/>
        <v>11</v>
      </c>
      <c r="F94">
        <v>25</v>
      </c>
    </row>
    <row r="95" spans="1:5" ht="12">
      <c r="A95" t="s">
        <v>108</v>
      </c>
      <c r="E95" s="12" t="e">
        <f t="shared" si="1"/>
        <v>#DIV/0!</v>
      </c>
    </row>
    <row r="96" spans="1:5" ht="12">
      <c r="A96" t="s">
        <v>114</v>
      </c>
      <c r="E96" s="12" t="e">
        <f t="shared" si="1"/>
        <v>#DIV/0!</v>
      </c>
    </row>
    <row r="97" spans="1:6" ht="12">
      <c r="A97" t="s">
        <v>115</v>
      </c>
      <c r="C97">
        <v>5</v>
      </c>
      <c r="D97">
        <v>44</v>
      </c>
      <c r="E97" s="12">
        <f t="shared" si="1"/>
        <v>8.8</v>
      </c>
      <c r="F97">
        <v>22</v>
      </c>
    </row>
    <row r="98" spans="1:6" ht="12">
      <c r="A98" s="2" t="s">
        <v>110</v>
      </c>
      <c r="C98">
        <v>2</v>
      </c>
      <c r="D98">
        <v>1</v>
      </c>
      <c r="E98" s="12">
        <f t="shared" si="1"/>
        <v>0.5</v>
      </c>
      <c r="F98">
        <v>6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20</v>
      </c>
      <c r="D106">
        <v>11</v>
      </c>
      <c r="E106" s="12">
        <f>+D106/C106*100</f>
        <v>55.00000000000001</v>
      </c>
      <c r="F106">
        <v>79</v>
      </c>
      <c r="H106">
        <v>22</v>
      </c>
      <c r="I106">
        <v>1</v>
      </c>
      <c r="J106" s="8">
        <f>+G106/C106*100</f>
        <v>0</v>
      </c>
      <c r="K106" s="12">
        <f>+I106/C106*100</f>
        <v>5</v>
      </c>
      <c r="L106" s="12">
        <f>+F106/C106</f>
        <v>3.95</v>
      </c>
      <c r="M106" s="12">
        <f>100*(S106+U106+W106+Y106)/6</f>
        <v>43.54166666666668</v>
      </c>
      <c r="N106">
        <v>1</v>
      </c>
      <c r="O106">
        <v>1</v>
      </c>
      <c r="R106">
        <f>+(E106-30)/20</f>
        <v>1.2500000000000004</v>
      </c>
      <c r="S106" s="2">
        <f>IF(R106&lt;0,0,R106)</f>
        <v>1.2500000000000004</v>
      </c>
      <c r="T106" s="6">
        <f>+(L106-3)/4</f>
        <v>0.23750000000000004</v>
      </c>
      <c r="U106" s="2">
        <f>IF(T106&lt;0,0,T106)</f>
        <v>0.23750000000000004</v>
      </c>
      <c r="V106">
        <f>+J106/5</f>
        <v>0</v>
      </c>
      <c r="W106" s="2">
        <f>IF(V106&lt;0,0,V106)</f>
        <v>0</v>
      </c>
      <c r="X106">
        <f>(9.5-K106)/4</f>
        <v>1.125</v>
      </c>
      <c r="Y106" s="2">
        <f>IF(X106&lt;0,0,X106)</f>
        <v>1.125</v>
      </c>
    </row>
    <row r="107" spans="1:25" ht="12">
      <c r="A107" t="s">
        <v>101</v>
      </c>
      <c r="C107">
        <v>10</v>
      </c>
      <c r="D107">
        <v>6</v>
      </c>
      <c r="E107" s="12">
        <f>+D107/C107*100</f>
        <v>60</v>
      </c>
      <c r="F107">
        <v>51</v>
      </c>
      <c r="H107">
        <v>25</v>
      </c>
      <c r="I107">
        <v>1</v>
      </c>
      <c r="J107" s="8"/>
      <c r="K107" s="12">
        <f>+I107/C107*100</f>
        <v>10</v>
      </c>
      <c r="L107" s="12">
        <f>+F107/C107</f>
        <v>5.1</v>
      </c>
      <c r="M107" s="12">
        <f>100*(S107+U107+W107+Y107)/6</f>
        <v>33.75</v>
      </c>
      <c r="O107">
        <v>2</v>
      </c>
      <c r="R107">
        <f>+(E107-30)/20</f>
        <v>1.5</v>
      </c>
      <c r="S107" s="2">
        <f>IF(R107&lt;0,0,R107)</f>
        <v>1.5</v>
      </c>
      <c r="T107" s="6">
        <f>+(L107-3)/4</f>
        <v>0.5249999999999999</v>
      </c>
      <c r="U107" s="2">
        <f>IF(T107&lt;0,0,T107)</f>
        <v>0.5249999999999999</v>
      </c>
      <c r="V107">
        <f>+J107/5</f>
        <v>0</v>
      </c>
      <c r="W107" s="2">
        <f>IF(V107&lt;0,0,V107)</f>
        <v>0</v>
      </c>
      <c r="X107">
        <f>(9.5-K107)/4</f>
        <v>-0.125</v>
      </c>
      <c r="Y107" s="2">
        <f>IF(X107&lt;0,0,X107)</f>
        <v>0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1</v>
      </c>
      <c r="D113">
        <v>1</v>
      </c>
      <c r="E113">
        <v>15</v>
      </c>
      <c r="F113" s="12">
        <f aca="true" t="shared" si="2" ref="F113:F118">+E113/C113</f>
        <v>15</v>
      </c>
      <c r="G113">
        <v>15</v>
      </c>
    </row>
    <row r="114" spans="1:6" ht="12">
      <c r="A114" t="s">
        <v>104</v>
      </c>
      <c r="F114" s="12" t="e">
        <f t="shared" si="2"/>
        <v>#DIV/0!</v>
      </c>
    </row>
    <row r="115" spans="1:7" ht="12">
      <c r="A115" t="s">
        <v>117</v>
      </c>
      <c r="C115">
        <v>1</v>
      </c>
      <c r="E115">
        <v>9</v>
      </c>
      <c r="F115" s="12">
        <f t="shared" si="2"/>
        <v>9</v>
      </c>
      <c r="G115">
        <v>9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6" ht="12">
      <c r="A124" t="s">
        <v>118</v>
      </c>
      <c r="C124">
        <v>1</v>
      </c>
      <c r="D124">
        <v>12</v>
      </c>
      <c r="E124" s="12">
        <f t="shared" si="3"/>
        <v>12</v>
      </c>
      <c r="F124">
        <v>12</v>
      </c>
    </row>
    <row r="125" spans="1:8" ht="12">
      <c r="A125" t="s">
        <v>119</v>
      </c>
      <c r="C125">
        <v>4</v>
      </c>
      <c r="D125">
        <f>10+19+26+27</f>
        <v>82</v>
      </c>
      <c r="E125" s="12">
        <f t="shared" si="3"/>
        <v>20.5</v>
      </c>
      <c r="F125">
        <v>27</v>
      </c>
      <c r="H125">
        <v>1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6" ht="12">
      <c r="A130" t="s">
        <v>117</v>
      </c>
      <c r="C130">
        <v>1</v>
      </c>
      <c r="D130">
        <v>35</v>
      </c>
      <c r="E130" s="12">
        <f>+D130/C130</f>
        <v>35</v>
      </c>
      <c r="F130">
        <v>35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5</v>
      </c>
      <c r="D133">
        <f>54+54+41+45+54</f>
        <v>248</v>
      </c>
      <c r="E133" s="12"/>
      <c r="F133">
        <v>54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5" ht="12">
      <c r="A141" t="s">
        <v>121</v>
      </c>
      <c r="C141">
        <v>2</v>
      </c>
      <c r="G141">
        <v>1</v>
      </c>
      <c r="H141">
        <v>1</v>
      </c>
      <c r="I141" s="12">
        <f>+H141/G141*100</f>
        <v>100</v>
      </c>
      <c r="J141">
        <v>27</v>
      </c>
      <c r="N141">
        <v>1</v>
      </c>
      <c r="O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5" ht="12">
      <c r="A149" t="s">
        <v>116</v>
      </c>
      <c r="E149" s="12" t="e">
        <f t="shared" si="4"/>
        <v>#DIV/0!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>
        <v>0.5</v>
      </c>
      <c r="D165" s="3">
        <v>5</v>
      </c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>
        <v>1</v>
      </c>
      <c r="D168" s="3">
        <v>6</v>
      </c>
    </row>
    <row r="169" spans="1:4" ht="12">
      <c r="A169" t="s">
        <v>131</v>
      </c>
      <c r="C169" s="3">
        <v>1</v>
      </c>
      <c r="D169" s="3">
        <v>7</v>
      </c>
    </row>
    <row r="170" spans="1:4" ht="12">
      <c r="A170" t="s">
        <v>132</v>
      </c>
      <c r="C170" s="3"/>
      <c r="D170" s="3"/>
    </row>
    <row r="171" spans="1:4" ht="12">
      <c r="A171" t="s">
        <v>133</v>
      </c>
      <c r="C171" s="3">
        <v>1.5</v>
      </c>
      <c r="D171" s="3">
        <v>8</v>
      </c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spans="1:3" ht="12">
      <c r="A180" t="s">
        <v>122</v>
      </c>
      <c r="C180">
        <v>1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spans="1:3" ht="12">
      <c r="A189" t="s">
        <v>116</v>
      </c>
      <c r="C189">
        <v>1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spans="1:3" ht="12">
      <c r="A227" t="s">
        <v>133</v>
      </c>
      <c r="C227">
        <v>1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B1" sqref="B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20</v>
      </c>
      <c r="H6" s="1" t="s">
        <v>29</v>
      </c>
      <c r="M6" s="2">
        <v>9</v>
      </c>
    </row>
    <row r="7" spans="1:13" ht="12">
      <c r="A7" s="18" t="s">
        <v>95</v>
      </c>
      <c r="D7" s="2">
        <v>10</v>
      </c>
      <c r="H7" s="18" t="s">
        <v>95</v>
      </c>
      <c r="M7" s="2">
        <v>3</v>
      </c>
    </row>
    <row r="8" spans="1:13" ht="12">
      <c r="A8" s="18" t="s">
        <v>96</v>
      </c>
      <c r="D8" s="2">
        <v>7</v>
      </c>
      <c r="H8" s="18" t="s">
        <v>96</v>
      </c>
      <c r="M8" s="2">
        <v>5</v>
      </c>
    </row>
    <row r="9" spans="1:13" ht="12">
      <c r="A9" s="18" t="s">
        <v>97</v>
      </c>
      <c r="D9" s="2">
        <v>3</v>
      </c>
      <c r="H9" s="18" t="s">
        <v>97</v>
      </c>
      <c r="M9" s="2">
        <v>1</v>
      </c>
    </row>
    <row r="11" spans="1:23" ht="12">
      <c r="A11" t="s">
        <v>1</v>
      </c>
      <c r="D11" s="2">
        <f>14+8+11+4+3+2+1</f>
        <v>43</v>
      </c>
      <c r="H11" t="s">
        <v>1</v>
      </c>
      <c r="M11" s="2">
        <f>8+5+1+3+1</f>
        <v>18</v>
      </c>
      <c r="V11">
        <f>+D11</f>
        <v>43</v>
      </c>
      <c r="W11">
        <f>+M11</f>
        <v>18</v>
      </c>
    </row>
    <row r="12" spans="1:23" ht="12">
      <c r="A12" t="s">
        <v>2</v>
      </c>
      <c r="D12" s="2">
        <f>132+23+20+31+13+2-7</f>
        <v>214</v>
      </c>
      <c r="H12" t="s">
        <v>2</v>
      </c>
      <c r="M12" s="2">
        <f>33+23+5+64-7</f>
        <v>118</v>
      </c>
      <c r="U12" s="13"/>
      <c r="V12">
        <f>+D16</f>
        <v>10</v>
      </c>
      <c r="W12">
        <f>+M16</f>
        <v>12</v>
      </c>
    </row>
    <row r="13" spans="1:23" ht="12">
      <c r="A13" s="1" t="s">
        <v>3</v>
      </c>
      <c r="D13" s="8">
        <f>+D12/D11</f>
        <v>4.976744186046512</v>
      </c>
      <c r="H13" s="1" t="s">
        <v>3</v>
      </c>
      <c r="M13" s="8">
        <f>+M12/M11</f>
        <v>6.555555555555555</v>
      </c>
      <c r="V13">
        <f>+(D15-D16)/2</f>
        <v>6.5</v>
      </c>
      <c r="W13">
        <f>+(M15-M16)/2</f>
        <v>9.5</v>
      </c>
    </row>
    <row r="14" spans="22:23" ht="12">
      <c r="V14">
        <f>+D38/2</f>
        <v>2.5</v>
      </c>
      <c r="W14">
        <f>+M38/2</f>
        <v>3.5</v>
      </c>
    </row>
    <row r="15" spans="1:23" ht="12">
      <c r="A15" t="s">
        <v>4</v>
      </c>
      <c r="D15" s="2">
        <v>23</v>
      </c>
      <c r="H15" t="s">
        <v>4</v>
      </c>
      <c r="M15" s="2">
        <v>31</v>
      </c>
      <c r="V15">
        <f>+D42/2</f>
        <v>2</v>
      </c>
      <c r="W15">
        <f>+M42/2</f>
        <v>1</v>
      </c>
    </row>
    <row r="16" spans="1:23" ht="12">
      <c r="A16" t="s">
        <v>5</v>
      </c>
      <c r="D16" s="2">
        <v>10</v>
      </c>
      <c r="H16" t="s">
        <v>5</v>
      </c>
      <c r="M16" s="2">
        <v>12</v>
      </c>
      <c r="V16">
        <f>+D47/2</f>
        <v>1</v>
      </c>
      <c r="W16">
        <f>+M47/2</f>
        <v>3</v>
      </c>
    </row>
    <row r="17" spans="1:13" ht="12">
      <c r="A17" t="s">
        <v>6</v>
      </c>
      <c r="D17" s="8">
        <f>+D16/D15*100</f>
        <v>43.47826086956522</v>
      </c>
      <c r="H17" t="s">
        <v>6</v>
      </c>
      <c r="M17" s="8">
        <f>+M16/M15*100</f>
        <v>38.70967741935484</v>
      </c>
    </row>
    <row r="18" spans="1:24" ht="12">
      <c r="A18" t="s">
        <v>7</v>
      </c>
      <c r="D18" s="2">
        <v>112</v>
      </c>
      <c r="H18" t="s">
        <v>7</v>
      </c>
      <c r="M18" s="2">
        <f>93+22</f>
        <v>115</v>
      </c>
      <c r="V18">
        <f>SUM(V11:V16)</f>
        <v>65</v>
      </c>
      <c r="W18">
        <f>SUM(W11:W16)</f>
        <v>47</v>
      </c>
      <c r="X18">
        <f>+W18+V18</f>
        <v>112</v>
      </c>
    </row>
    <row r="19" spans="1:23" ht="12">
      <c r="A19" t="s">
        <v>8</v>
      </c>
      <c r="D19" s="2">
        <v>0</v>
      </c>
      <c r="H19" t="s">
        <v>8</v>
      </c>
      <c r="M19" s="2">
        <v>2</v>
      </c>
      <c r="V19">
        <f>+V18/X18</f>
        <v>0.5803571428571429</v>
      </c>
      <c r="W19">
        <f>+W18/X18</f>
        <v>0.41964285714285715</v>
      </c>
    </row>
    <row r="20" spans="1:23" ht="12">
      <c r="A20" t="s">
        <v>9</v>
      </c>
      <c r="D20" s="2">
        <v>0</v>
      </c>
      <c r="H20" t="s">
        <v>9</v>
      </c>
      <c r="M20" s="2">
        <v>9</v>
      </c>
      <c r="V20">
        <f>+V19*60</f>
        <v>34.82142857142858</v>
      </c>
      <c r="W20">
        <f>+W19*60</f>
        <v>25.17857142857143</v>
      </c>
    </row>
    <row r="21" spans="1:23" ht="12">
      <c r="A21" t="s">
        <v>10</v>
      </c>
      <c r="D21">
        <f>+D18-D20</f>
        <v>112</v>
      </c>
      <c r="H21" t="s">
        <v>10</v>
      </c>
      <c r="M21">
        <f>+M18-M20</f>
        <v>106</v>
      </c>
      <c r="V21">
        <f>+V20-INT(V20)</f>
        <v>0.8214285714285765</v>
      </c>
      <c r="W21">
        <f>+W20-INT(W20)</f>
        <v>0.1785714285714306</v>
      </c>
    </row>
    <row r="22" spans="1:23" ht="12">
      <c r="A22" t="s">
        <v>11</v>
      </c>
      <c r="D22" s="7">
        <f>+D21/(D15+D19)</f>
        <v>4.869565217391305</v>
      </c>
      <c r="H22" t="s">
        <v>11</v>
      </c>
      <c r="M22" s="7">
        <f>+M21/(M15+M19)</f>
        <v>3.212121212121212</v>
      </c>
      <c r="V22">
        <f>+V21*60</f>
        <v>49.28571428571459</v>
      </c>
      <c r="W22">
        <f>+W21*60</f>
        <v>10.714285714285836</v>
      </c>
    </row>
    <row r="23" spans="1:23" ht="12">
      <c r="A23" t="s">
        <v>12</v>
      </c>
      <c r="D23" s="7">
        <f>+D18/D16</f>
        <v>11.2</v>
      </c>
      <c r="H23" t="s">
        <v>12</v>
      </c>
      <c r="M23" s="7">
        <f>+M18/M16</f>
        <v>9.583333333333334</v>
      </c>
      <c r="U23">
        <v>0</v>
      </c>
      <c r="V23" s="11">
        <f>ROUND(V22,0)</f>
        <v>49</v>
      </c>
      <c r="W23">
        <f>ROUND(W22,0)</f>
        <v>11</v>
      </c>
    </row>
    <row r="24" spans="22:23" ht="12">
      <c r="V24">
        <f>INT(V20)</f>
        <v>34</v>
      </c>
      <c r="W24">
        <f>INT(W20)</f>
        <v>25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326</v>
      </c>
      <c r="H26" t="s">
        <v>14</v>
      </c>
      <c r="M26">
        <f>+M21+M12</f>
        <v>224</v>
      </c>
      <c r="Q26" s="9"/>
      <c r="R26" s="9"/>
      <c r="V26" s="14" t="str">
        <f>+V24&amp;V25&amp;V23</f>
        <v>34:49</v>
      </c>
      <c r="W26" s="9" t="str">
        <f>+W24&amp;W25&amp;W23</f>
        <v>25:11</v>
      </c>
    </row>
    <row r="27" spans="1:23" ht="12">
      <c r="A27" t="s">
        <v>15</v>
      </c>
      <c r="D27" s="7">
        <f>+D12/D26*100</f>
        <v>65.6441717791411</v>
      </c>
      <c r="H27" t="s">
        <v>15</v>
      </c>
      <c r="M27" s="7">
        <f>+M12/M26*100</f>
        <v>52.67857142857143</v>
      </c>
      <c r="V27" s="9" t="str">
        <f>IF(V23&lt;10,+V24&amp;V25&amp;$U$23&amp;V23,+V24&amp;V25&amp;V23)</f>
        <v>34:49</v>
      </c>
      <c r="W27" s="9" t="str">
        <f>IF(W23&lt;10,+W24&amp;W25&amp;$U$23&amp;W23,+W24&amp;W25&amp;W23)</f>
        <v>25:11</v>
      </c>
    </row>
    <row r="28" spans="1:13" ht="12">
      <c r="A28" s="1" t="s">
        <v>90</v>
      </c>
      <c r="D28" s="7">
        <f>+D21/D26*100</f>
        <v>34.355828220858896</v>
      </c>
      <c r="H28" s="1" t="s">
        <v>90</v>
      </c>
      <c r="M28" s="7">
        <f>+M21/M26*100</f>
        <v>47.32142857142857</v>
      </c>
    </row>
    <row r="30" spans="1:13" ht="12">
      <c r="A30" t="s">
        <v>16</v>
      </c>
      <c r="D30">
        <f>+D11+D15+D19</f>
        <v>66</v>
      </c>
      <c r="H30" t="s">
        <v>16</v>
      </c>
      <c r="M30">
        <f>+M11+M15+M19</f>
        <v>51</v>
      </c>
    </row>
    <row r="31" spans="1:13" ht="12">
      <c r="A31" t="s">
        <v>17</v>
      </c>
      <c r="D31" s="8">
        <f>+D26/D30</f>
        <v>4.9393939393939394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4.392156862745098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0</v>
      </c>
      <c r="H34" t="s">
        <v>19</v>
      </c>
      <c r="M34" s="2">
        <v>3</v>
      </c>
    </row>
    <row r="35" spans="1:13" ht="12">
      <c r="A35" t="s">
        <v>20</v>
      </c>
      <c r="D35" s="2">
        <v>0</v>
      </c>
      <c r="H35" t="s">
        <v>20</v>
      </c>
      <c r="M35" s="2">
        <v>38</v>
      </c>
    </row>
    <row r="36" spans="1:13" ht="12">
      <c r="A36" t="s">
        <v>21</v>
      </c>
      <c r="D36" s="2">
        <v>0</v>
      </c>
      <c r="H36" t="s">
        <v>21</v>
      </c>
      <c r="M36" s="2">
        <v>1</v>
      </c>
    </row>
    <row r="38" spans="1:13" ht="12">
      <c r="A38" t="s">
        <v>22</v>
      </c>
      <c r="D38" s="2">
        <v>5</v>
      </c>
      <c r="H38" t="s">
        <v>22</v>
      </c>
      <c r="M38" s="2">
        <v>7</v>
      </c>
    </row>
    <row r="39" spans="1:13" ht="12">
      <c r="A39" t="s">
        <v>23</v>
      </c>
      <c r="D39" s="2">
        <f>45+45+34+52+54</f>
        <v>230</v>
      </c>
      <c r="H39" t="s">
        <v>23</v>
      </c>
      <c r="M39" s="2">
        <f>40+56+39+54+48+45+40</f>
        <v>322</v>
      </c>
    </row>
    <row r="40" spans="1:13" ht="12">
      <c r="A40" t="s">
        <v>24</v>
      </c>
      <c r="D40" s="8">
        <f>+D39/D38</f>
        <v>46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46</v>
      </c>
    </row>
    <row r="42" spans="1:13" ht="12">
      <c r="A42" t="s">
        <v>25</v>
      </c>
      <c r="D42" s="2">
        <v>4</v>
      </c>
      <c r="H42" t="s">
        <v>25</v>
      </c>
      <c r="M42" s="2">
        <v>2</v>
      </c>
    </row>
    <row r="43" spans="1:13" ht="12">
      <c r="A43" t="s">
        <v>26</v>
      </c>
      <c r="D43" s="2">
        <f>3+82+5+3</f>
        <v>93</v>
      </c>
      <c r="H43" t="s">
        <v>26</v>
      </c>
      <c r="M43" s="2">
        <v>9</v>
      </c>
    </row>
    <row r="44" spans="1:13" ht="12">
      <c r="A44" t="s">
        <v>27</v>
      </c>
      <c r="D44" s="8">
        <f>+D43/D42</f>
        <v>23.25</v>
      </c>
      <c r="H44" t="s">
        <v>27</v>
      </c>
      <c r="M44" s="8">
        <f>+M43/M42</f>
        <v>4.5</v>
      </c>
    </row>
    <row r="45" spans="1:13" ht="12">
      <c r="A45" t="s">
        <v>28</v>
      </c>
      <c r="D45" s="2">
        <v>0</v>
      </c>
      <c r="H45" t="s">
        <v>28</v>
      </c>
      <c r="M45" s="2">
        <v>0</v>
      </c>
    </row>
    <row r="47" spans="1:13" ht="12">
      <c r="A47" t="s">
        <v>30</v>
      </c>
      <c r="D47" s="2">
        <v>2</v>
      </c>
      <c r="H47" t="s">
        <v>30</v>
      </c>
      <c r="M47" s="2">
        <v>6</v>
      </c>
    </row>
    <row r="48" spans="1:13" ht="12">
      <c r="A48" t="s">
        <v>26</v>
      </c>
      <c r="D48" s="2">
        <v>50</v>
      </c>
      <c r="H48" t="s">
        <v>26</v>
      </c>
      <c r="M48" s="2">
        <f>26+16+23+25+22+20</f>
        <v>132</v>
      </c>
    </row>
    <row r="49" spans="1:13" ht="12">
      <c r="A49" t="s">
        <v>27</v>
      </c>
      <c r="D49" s="8">
        <f>+D48/D47</f>
        <v>25</v>
      </c>
      <c r="H49" t="s">
        <v>27</v>
      </c>
      <c r="M49" s="8">
        <f>+M48/M47</f>
        <v>22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3</v>
      </c>
      <c r="H52" t="s">
        <v>31</v>
      </c>
      <c r="M52" s="2">
        <v>11</v>
      </c>
    </row>
    <row r="53" spans="1:13" ht="12">
      <c r="A53" t="s">
        <v>32</v>
      </c>
      <c r="D53" s="2">
        <v>45</v>
      </c>
      <c r="H53" t="s">
        <v>32</v>
      </c>
      <c r="M53" s="2">
        <v>106</v>
      </c>
    </row>
    <row r="55" spans="1:13" ht="12">
      <c r="A55" t="s">
        <v>33</v>
      </c>
      <c r="D55" s="2">
        <v>1</v>
      </c>
      <c r="H55" t="s">
        <v>33</v>
      </c>
      <c r="M55" s="2">
        <v>0</v>
      </c>
    </row>
    <row r="56" spans="1:13" ht="12">
      <c r="A56" t="s">
        <v>34</v>
      </c>
      <c r="D56" s="2">
        <v>0</v>
      </c>
      <c r="H56" t="s">
        <v>34</v>
      </c>
      <c r="M56" s="2">
        <v>0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1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37</v>
      </c>
      <c r="H61" t="s">
        <v>38</v>
      </c>
      <c r="M61" s="2">
        <v>10</v>
      </c>
    </row>
    <row r="62" spans="1:13" ht="12">
      <c r="A62" t="s">
        <v>39</v>
      </c>
      <c r="D62" s="2">
        <v>4</v>
      </c>
      <c r="H62" t="s">
        <v>39</v>
      </c>
      <c r="M62" s="2">
        <v>1</v>
      </c>
    </row>
    <row r="63" spans="1:13" ht="12">
      <c r="A63" t="s">
        <v>40</v>
      </c>
      <c r="D63" s="2">
        <v>1</v>
      </c>
      <c r="H63" t="s">
        <v>40</v>
      </c>
      <c r="M63" s="2">
        <v>1</v>
      </c>
    </row>
    <row r="64" spans="1:13" ht="12">
      <c r="A64" t="s">
        <v>41</v>
      </c>
      <c r="D64" s="2">
        <v>2</v>
      </c>
      <c r="H64" t="s">
        <v>41</v>
      </c>
      <c r="M64" s="2">
        <v>0</v>
      </c>
    </row>
    <row r="65" spans="1:13" ht="12">
      <c r="A65" t="s">
        <v>42</v>
      </c>
      <c r="D65" s="2">
        <v>1</v>
      </c>
      <c r="H65" t="s">
        <v>42</v>
      </c>
      <c r="M65" s="2">
        <v>0</v>
      </c>
    </row>
    <row r="66" spans="1:13" ht="12">
      <c r="A66" t="s">
        <v>43</v>
      </c>
      <c r="D66" s="2">
        <v>4</v>
      </c>
      <c r="H66" t="s">
        <v>43</v>
      </c>
      <c r="M66" s="2">
        <v>1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3</v>
      </c>
      <c r="H68" t="s">
        <v>45</v>
      </c>
      <c r="M68" s="2">
        <v>1</v>
      </c>
    </row>
    <row r="69" spans="1:13" ht="12">
      <c r="A69" t="s">
        <v>46</v>
      </c>
      <c r="D69" s="2">
        <v>3</v>
      </c>
      <c r="H69" t="s">
        <v>46</v>
      </c>
      <c r="M69" s="2">
        <v>2</v>
      </c>
    </row>
    <row r="70" spans="1:13" ht="12">
      <c r="A70" t="s">
        <v>47</v>
      </c>
      <c r="D70" s="8">
        <f>+D68/D69*100</f>
        <v>100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50</v>
      </c>
    </row>
    <row r="71" spans="1:13" ht="12">
      <c r="A71" t="s">
        <v>93</v>
      </c>
      <c r="D71" s="10" t="str">
        <f>IF(V23&lt;10,V27,V26)</f>
        <v>34:49</v>
      </c>
      <c r="E71" s="8"/>
      <c r="F71" s="8"/>
      <c r="H71" t="s">
        <v>93</v>
      </c>
      <c r="M71" s="10" t="str">
        <f>IF(W23&lt;10,W27,W26)</f>
        <v>25:11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">
      <c r="A75" t="s">
        <v>100</v>
      </c>
      <c r="C75">
        <v>2</v>
      </c>
      <c r="D75">
        <v>-7</v>
      </c>
      <c r="E75" s="12">
        <f>+D75/C75</f>
        <v>-3.5</v>
      </c>
      <c r="F75">
        <v>-2</v>
      </c>
      <c r="H75">
        <v>1</v>
      </c>
    </row>
    <row r="76" spans="1:6" ht="12">
      <c r="A76" t="s">
        <v>101</v>
      </c>
      <c r="C76">
        <v>1</v>
      </c>
      <c r="D76">
        <v>2</v>
      </c>
      <c r="E76" s="12">
        <f>+D76/C76</f>
        <v>2</v>
      </c>
      <c r="F76">
        <v>2</v>
      </c>
    </row>
    <row r="77" spans="1:5" ht="12">
      <c r="A77" t="s">
        <v>102</v>
      </c>
      <c r="E77" s="12" t="e">
        <f>+D77/C77</f>
        <v>#DIV/0!</v>
      </c>
    </row>
    <row r="78" spans="1:6" ht="12">
      <c r="A78" t="s">
        <v>103</v>
      </c>
      <c r="C78">
        <v>8</v>
      </c>
      <c r="D78">
        <v>23</v>
      </c>
      <c r="E78" s="12">
        <f aca="true" t="shared" si="0" ref="E78:E84">+D78/C78</f>
        <v>2.875</v>
      </c>
      <c r="F78">
        <v>6</v>
      </c>
    </row>
    <row r="79" spans="1:6" ht="12">
      <c r="A79" t="s">
        <v>104</v>
      </c>
      <c r="C79">
        <v>14</v>
      </c>
      <c r="D79">
        <v>132</v>
      </c>
      <c r="E79" s="12">
        <f t="shared" si="0"/>
        <v>9.428571428571429</v>
      </c>
      <c r="F79">
        <v>28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3</v>
      </c>
      <c r="D83">
        <v>13</v>
      </c>
      <c r="E83" s="12">
        <f t="shared" si="0"/>
        <v>4.333333333333333</v>
      </c>
      <c r="F83">
        <v>12</v>
      </c>
    </row>
    <row r="84" spans="1:6" ht="12">
      <c r="A84" t="s">
        <v>109</v>
      </c>
      <c r="C84">
        <v>4</v>
      </c>
      <c r="D84">
        <v>31</v>
      </c>
      <c r="E84" s="12">
        <f t="shared" si="0"/>
        <v>7.75</v>
      </c>
      <c r="F84">
        <v>18</v>
      </c>
    </row>
    <row r="85" spans="1:7" ht="12">
      <c r="A85" t="s">
        <v>110</v>
      </c>
      <c r="C85">
        <v>11</v>
      </c>
      <c r="D85">
        <v>20</v>
      </c>
      <c r="E85" s="12">
        <f>+D85/C85</f>
        <v>1.8181818181818181</v>
      </c>
      <c r="F85">
        <v>5</v>
      </c>
      <c r="G85">
        <v>1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6" ht="12">
      <c r="A91" t="s">
        <v>103</v>
      </c>
      <c r="C91">
        <v>1</v>
      </c>
      <c r="D91">
        <v>13</v>
      </c>
      <c r="E91" s="12">
        <f t="shared" si="1"/>
        <v>13</v>
      </c>
      <c r="F91">
        <v>13</v>
      </c>
    </row>
    <row r="92" spans="1:5" ht="12">
      <c r="A92" t="s">
        <v>104</v>
      </c>
      <c r="E92" s="12" t="e">
        <f t="shared" si="1"/>
        <v>#DIV/0!</v>
      </c>
    </row>
    <row r="93" spans="1:5" ht="12">
      <c r="A93" s="2" t="s">
        <v>105</v>
      </c>
      <c r="E93" s="12" t="e">
        <f t="shared" si="1"/>
        <v>#DIV/0!</v>
      </c>
    </row>
    <row r="94" spans="1:7" ht="12">
      <c r="A94" t="s">
        <v>113</v>
      </c>
      <c r="C94">
        <v>7</v>
      </c>
      <c r="D94">
        <v>92</v>
      </c>
      <c r="E94" s="12">
        <f t="shared" si="1"/>
        <v>13.142857142857142</v>
      </c>
      <c r="F94">
        <v>37</v>
      </c>
      <c r="G94">
        <v>2</v>
      </c>
    </row>
    <row r="95" spans="1:5" ht="12">
      <c r="A95" t="s">
        <v>108</v>
      </c>
      <c r="E95" s="12" t="e">
        <f t="shared" si="1"/>
        <v>#DIV/0!</v>
      </c>
    </row>
    <row r="96" spans="1:5" ht="12">
      <c r="A96" t="s">
        <v>114</v>
      </c>
      <c r="E96" s="12" t="e">
        <f t="shared" si="1"/>
        <v>#DIV/0!</v>
      </c>
    </row>
    <row r="97" spans="1:6" ht="12">
      <c r="A97" t="s">
        <v>115</v>
      </c>
      <c r="C97">
        <v>1</v>
      </c>
      <c r="D97">
        <v>7</v>
      </c>
      <c r="E97" s="12">
        <f t="shared" si="1"/>
        <v>7</v>
      </c>
      <c r="F97">
        <v>7</v>
      </c>
    </row>
    <row r="98" spans="1:5" ht="12">
      <c r="A98" s="2" t="s">
        <v>110</v>
      </c>
      <c r="C98">
        <v>1</v>
      </c>
      <c r="E98" s="12">
        <f t="shared" si="1"/>
        <v>0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22</v>
      </c>
      <c r="D106">
        <v>10</v>
      </c>
      <c r="E106" s="12">
        <f>+D106/C106*100</f>
        <v>45.45454545454545</v>
      </c>
      <c r="F106">
        <v>112</v>
      </c>
      <c r="G106">
        <v>2</v>
      </c>
      <c r="H106">
        <v>37</v>
      </c>
      <c r="J106" s="8">
        <f>+G106/C106*100</f>
        <v>9.090909090909092</v>
      </c>
      <c r="K106" s="12">
        <f>+I106/C106*100</f>
        <v>0</v>
      </c>
      <c r="L106" s="12">
        <f>+F106/C106</f>
        <v>5.090909090909091</v>
      </c>
      <c r="M106" s="12">
        <f>100*(S106+U106+W106+Y106)/6</f>
        <v>91.47727272727273</v>
      </c>
      <c r="R106">
        <f>+(E106-30)/20</f>
        <v>0.7727272727272727</v>
      </c>
      <c r="S106" s="2">
        <f>IF(R106&lt;0,0,R106)</f>
        <v>0.7727272727272727</v>
      </c>
      <c r="T106" s="6">
        <f>+(L106-3)/4</f>
        <v>0.5227272727272727</v>
      </c>
      <c r="U106" s="2">
        <f>IF(T106&lt;0,0,T106)</f>
        <v>0.5227272727272727</v>
      </c>
      <c r="V106">
        <f>+J106/5</f>
        <v>1.8181818181818183</v>
      </c>
      <c r="W106" s="2">
        <f>IF(V106&lt;0,0,V106)</f>
        <v>1.8181818181818183</v>
      </c>
      <c r="X106">
        <f>(9.5-K106)/4</f>
        <v>2.375</v>
      </c>
      <c r="Y106" s="2">
        <f>IF(X106&lt;0,0,X106)</f>
        <v>2.375</v>
      </c>
    </row>
    <row r="107" spans="1:25" ht="12">
      <c r="A107" t="s">
        <v>101</v>
      </c>
      <c r="C107">
        <v>1</v>
      </c>
      <c r="E107" s="12">
        <f>+D107/C107*100</f>
        <v>0</v>
      </c>
      <c r="J107" s="8"/>
      <c r="K107" s="12">
        <f>+I107/C107*100</f>
        <v>0</v>
      </c>
      <c r="L107" s="12">
        <f>+F107/C107</f>
        <v>0</v>
      </c>
      <c r="M107" s="12">
        <f>100*(S107+U107+W107+Y107)/6</f>
        <v>39.583333333333336</v>
      </c>
      <c r="R107">
        <f>+(E107-30)/20</f>
        <v>-1.5</v>
      </c>
      <c r="S107" s="2">
        <f>IF(R107&lt;0,0,R107)</f>
        <v>0</v>
      </c>
      <c r="T107" s="6">
        <f>+(L107-3)/4</f>
        <v>-0.75</v>
      </c>
      <c r="U107" s="2">
        <f>IF(T107&lt;0,0,T107)</f>
        <v>0</v>
      </c>
      <c r="V107">
        <f>+J107/5</f>
        <v>0</v>
      </c>
      <c r="W107" s="2">
        <f>IF(V107&lt;0,0,V107)</f>
        <v>0</v>
      </c>
      <c r="X107">
        <f>(9.5-K107)/4</f>
        <v>2.375</v>
      </c>
      <c r="Y107" s="2">
        <f>IF(X107&lt;0,0,X107)</f>
        <v>2.375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1</v>
      </c>
      <c r="D113">
        <v>1</v>
      </c>
      <c r="E113">
        <v>3</v>
      </c>
      <c r="F113" s="12">
        <f aca="true" t="shared" si="2" ref="F113:F118">+E113/C113</f>
        <v>3</v>
      </c>
      <c r="G113">
        <v>3</v>
      </c>
    </row>
    <row r="114" spans="1:7" ht="12">
      <c r="A114" t="s">
        <v>104</v>
      </c>
      <c r="C114">
        <v>1</v>
      </c>
      <c r="E114">
        <v>3</v>
      </c>
      <c r="F114" s="12">
        <f t="shared" si="2"/>
        <v>3</v>
      </c>
      <c r="G114">
        <v>3</v>
      </c>
    </row>
    <row r="115" spans="1:7" ht="12">
      <c r="A115" t="s">
        <v>117</v>
      </c>
      <c r="C115">
        <v>2</v>
      </c>
      <c r="E115">
        <v>87</v>
      </c>
      <c r="F115" s="12">
        <f t="shared" si="2"/>
        <v>43.5</v>
      </c>
      <c r="G115">
        <v>82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6" ht="12">
      <c r="A123" t="s">
        <v>116</v>
      </c>
      <c r="C123">
        <v>1</v>
      </c>
      <c r="D123">
        <v>28</v>
      </c>
      <c r="E123" s="12">
        <f aca="true" t="shared" si="3" ref="E123:E128">+D123/C123</f>
        <v>28</v>
      </c>
      <c r="F123">
        <v>28</v>
      </c>
    </row>
    <row r="124" spans="1:5" ht="12">
      <c r="A124" t="s">
        <v>118</v>
      </c>
      <c r="E124" s="12" t="e">
        <f t="shared" si="3"/>
        <v>#DIV/0!</v>
      </c>
    </row>
    <row r="125" spans="1:6" ht="12">
      <c r="A125" t="s">
        <v>119</v>
      </c>
      <c r="C125">
        <v>1</v>
      </c>
      <c r="D125">
        <v>22</v>
      </c>
      <c r="E125" s="12">
        <f t="shared" si="3"/>
        <v>22</v>
      </c>
      <c r="F125">
        <v>22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5" ht="12">
      <c r="A130" t="s">
        <v>117</v>
      </c>
      <c r="E130" s="12" t="e">
        <f>+D130/C130</f>
        <v>#DIV/0!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5</v>
      </c>
      <c r="D133">
        <f>45+45+34+52+54</f>
        <v>230</v>
      </c>
      <c r="E133" s="12"/>
      <c r="F133">
        <v>54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5" ht="12">
      <c r="A141" t="s">
        <v>121</v>
      </c>
      <c r="C141">
        <v>8</v>
      </c>
      <c r="D141">
        <v>2</v>
      </c>
      <c r="E141">
        <v>4</v>
      </c>
      <c r="F141">
        <v>4</v>
      </c>
      <c r="G141">
        <v>3</v>
      </c>
      <c r="H141">
        <v>3</v>
      </c>
      <c r="I141" s="12">
        <f>+H141/G141*100</f>
        <v>100</v>
      </c>
      <c r="J141">
        <v>29</v>
      </c>
      <c r="L141">
        <v>1</v>
      </c>
      <c r="M141">
        <v>1</v>
      </c>
      <c r="N141">
        <v>2</v>
      </c>
      <c r="O141">
        <v>2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7" ht="12">
      <c r="A149" t="s">
        <v>116</v>
      </c>
      <c r="C149">
        <v>2</v>
      </c>
      <c r="D149">
        <v>38</v>
      </c>
      <c r="E149" s="12">
        <f t="shared" si="4"/>
        <v>19</v>
      </c>
      <c r="F149">
        <v>29</v>
      </c>
      <c r="G149">
        <v>1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C152">
        <v>1</v>
      </c>
      <c r="E152" s="12">
        <f t="shared" si="4"/>
        <v>0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/>
      <c r="D165" s="3"/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/>
      <c r="D170" s="3"/>
    </row>
    <row r="171" spans="1:4" ht="12">
      <c r="A171" t="s">
        <v>133</v>
      </c>
      <c r="C171" s="3">
        <v>2</v>
      </c>
      <c r="D171" s="3">
        <v>9</v>
      </c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C1" sqref="C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26</v>
      </c>
      <c r="H6" s="1" t="s">
        <v>29</v>
      </c>
      <c r="M6" s="2">
        <v>5</v>
      </c>
    </row>
    <row r="7" spans="1:13" ht="12">
      <c r="A7" s="18" t="s">
        <v>95</v>
      </c>
      <c r="D7" s="2">
        <v>13</v>
      </c>
      <c r="H7" s="18" t="s">
        <v>95</v>
      </c>
      <c r="M7" s="2">
        <v>4</v>
      </c>
    </row>
    <row r="8" spans="1:13" ht="12">
      <c r="A8" s="18" t="s">
        <v>96</v>
      </c>
      <c r="D8" s="2">
        <v>13</v>
      </c>
      <c r="H8" s="18" t="s">
        <v>96</v>
      </c>
      <c r="M8" s="2">
        <v>1</v>
      </c>
    </row>
    <row r="9" spans="1:13" ht="12">
      <c r="A9" s="18" t="s">
        <v>97</v>
      </c>
      <c r="D9" s="2">
        <v>0</v>
      </c>
      <c r="H9" s="18" t="s">
        <v>97</v>
      </c>
      <c r="M9" s="2">
        <v>0</v>
      </c>
    </row>
    <row r="11" spans="1:23" ht="12">
      <c r="A11" t="s">
        <v>1</v>
      </c>
      <c r="D11" s="2">
        <f>18+15+2+4+3+1</f>
        <v>43</v>
      </c>
      <c r="H11" t="s">
        <v>1</v>
      </c>
      <c r="M11" s="2">
        <f>9+5+3+1+1+2+1</f>
        <v>22</v>
      </c>
      <c r="V11">
        <f>+D11</f>
        <v>43</v>
      </c>
      <c r="W11">
        <f>+M11</f>
        <v>22</v>
      </c>
    </row>
    <row r="12" spans="1:23" ht="12">
      <c r="A12" t="s">
        <v>2</v>
      </c>
      <c r="D12" s="2">
        <f>107+67+21+14+6+4</f>
        <v>219</v>
      </c>
      <c r="H12" t="s">
        <v>2</v>
      </c>
      <c r="M12" s="2">
        <f>15+28+11+3+1+20+2</f>
        <v>80</v>
      </c>
      <c r="U12" s="13"/>
      <c r="V12">
        <f>+D16</f>
        <v>18</v>
      </c>
      <c r="W12">
        <f>+M16</f>
        <v>11</v>
      </c>
    </row>
    <row r="13" spans="1:23" ht="12">
      <c r="A13" s="1" t="s">
        <v>3</v>
      </c>
      <c r="D13" s="8">
        <f>+D12/D11</f>
        <v>5.093023255813954</v>
      </c>
      <c r="H13" s="1" t="s">
        <v>3</v>
      </c>
      <c r="M13" s="8">
        <f>+M12/M11</f>
        <v>3.6363636363636362</v>
      </c>
      <c r="V13">
        <f>+(D15-D16)/2</f>
        <v>5.5</v>
      </c>
      <c r="W13">
        <f>+(M15-M16)/2</f>
        <v>8.5</v>
      </c>
    </row>
    <row r="14" spans="22:23" ht="12">
      <c r="V14">
        <f>+D38/2</f>
        <v>1</v>
      </c>
      <c r="W14">
        <f>+M38/2</f>
        <v>4.5</v>
      </c>
    </row>
    <row r="15" spans="1:23" ht="12">
      <c r="A15" t="s">
        <v>4</v>
      </c>
      <c r="D15" s="2">
        <v>29</v>
      </c>
      <c r="H15" t="s">
        <v>4</v>
      </c>
      <c r="M15" s="2">
        <v>28</v>
      </c>
      <c r="V15">
        <f>+D42/2</f>
        <v>3</v>
      </c>
      <c r="W15">
        <f>+M42/2</f>
        <v>1</v>
      </c>
    </row>
    <row r="16" spans="1:23" ht="12">
      <c r="A16" t="s">
        <v>5</v>
      </c>
      <c r="D16" s="2">
        <v>18</v>
      </c>
      <c r="H16" t="s">
        <v>5</v>
      </c>
      <c r="M16" s="2">
        <v>11</v>
      </c>
      <c r="V16">
        <f>+D47/2</f>
        <v>0.5</v>
      </c>
      <c r="W16">
        <f>+M47/2</f>
        <v>1.5</v>
      </c>
    </row>
    <row r="17" spans="1:13" ht="12">
      <c r="A17" t="s">
        <v>6</v>
      </c>
      <c r="D17" s="8">
        <f>+D16/D15*100</f>
        <v>62.06896551724138</v>
      </c>
      <c r="H17" t="s">
        <v>6</v>
      </c>
      <c r="M17" s="8">
        <f>+M16/M15*100</f>
        <v>39.285714285714285</v>
      </c>
    </row>
    <row r="18" spans="1:24" ht="12">
      <c r="A18" t="s">
        <v>7</v>
      </c>
      <c r="D18" s="2">
        <v>215</v>
      </c>
      <c r="H18" t="s">
        <v>7</v>
      </c>
      <c r="M18" s="2">
        <v>45</v>
      </c>
      <c r="V18">
        <f>SUM(V11:V16)</f>
        <v>71</v>
      </c>
      <c r="W18">
        <f>SUM(W11:W16)</f>
        <v>48.5</v>
      </c>
      <c r="X18">
        <f>+W18+V18</f>
        <v>119.5</v>
      </c>
    </row>
    <row r="19" spans="1:23" ht="12">
      <c r="A19" t="s">
        <v>8</v>
      </c>
      <c r="D19" s="2">
        <v>3</v>
      </c>
      <c r="H19" t="s">
        <v>8</v>
      </c>
      <c r="M19" s="2">
        <v>1</v>
      </c>
      <c r="V19">
        <f>+V18/X18</f>
        <v>0.5941422594142259</v>
      </c>
      <c r="W19">
        <f>+W18/X18</f>
        <v>0.40585774058577406</v>
      </c>
    </row>
    <row r="20" spans="1:23" ht="12">
      <c r="A20" t="s">
        <v>9</v>
      </c>
      <c r="D20" s="2">
        <f>5+15+9</f>
        <v>29</v>
      </c>
      <c r="H20" t="s">
        <v>9</v>
      </c>
      <c r="M20" s="2">
        <v>8</v>
      </c>
      <c r="V20">
        <f>+V19*60</f>
        <v>35.64853556485355</v>
      </c>
      <c r="W20">
        <f>+W19*60</f>
        <v>24.351464435146443</v>
      </c>
    </row>
    <row r="21" spans="1:23" ht="12">
      <c r="A21" t="s">
        <v>10</v>
      </c>
      <c r="D21">
        <f>+D18-D20</f>
        <v>186</v>
      </c>
      <c r="H21" t="s">
        <v>10</v>
      </c>
      <c r="M21">
        <f>+M18-M20</f>
        <v>37</v>
      </c>
      <c r="V21">
        <f>+V20-INT(V20)</f>
        <v>0.6485355648535531</v>
      </c>
      <c r="W21">
        <f>+W20-INT(W20)</f>
        <v>0.3514644351464433</v>
      </c>
    </row>
    <row r="22" spans="1:23" ht="12">
      <c r="A22" t="s">
        <v>11</v>
      </c>
      <c r="D22" s="7">
        <f>+D21/(D15+D19)</f>
        <v>5.8125</v>
      </c>
      <c r="H22" t="s">
        <v>11</v>
      </c>
      <c r="M22" s="7">
        <f>+M21/(M15+M19)</f>
        <v>1.2758620689655173</v>
      </c>
      <c r="V22">
        <f>+V21*60</f>
        <v>38.91213389121319</v>
      </c>
      <c r="W22">
        <f>+W21*60</f>
        <v>21.0878661087866</v>
      </c>
    </row>
    <row r="23" spans="1:23" ht="12">
      <c r="A23" t="s">
        <v>12</v>
      </c>
      <c r="D23" s="7">
        <f>+D18/D16</f>
        <v>11.944444444444445</v>
      </c>
      <c r="H23" t="s">
        <v>12</v>
      </c>
      <c r="M23" s="7">
        <f>+M18/M16</f>
        <v>4.090909090909091</v>
      </c>
      <c r="U23">
        <v>0</v>
      </c>
      <c r="V23" s="11">
        <f>ROUND(V22,0)</f>
        <v>39</v>
      </c>
      <c r="W23">
        <f>ROUND(W22,0)</f>
        <v>21</v>
      </c>
    </row>
    <row r="24" spans="22:23" ht="12">
      <c r="V24">
        <f>INT(V20)</f>
        <v>35</v>
      </c>
      <c r="W24">
        <f>INT(W20)</f>
        <v>24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405</v>
      </c>
      <c r="H26" t="s">
        <v>14</v>
      </c>
      <c r="M26">
        <f>+M21+M12</f>
        <v>117</v>
      </c>
      <c r="Q26" s="9"/>
      <c r="R26" s="9"/>
      <c r="V26" s="14" t="str">
        <f>+V24&amp;V25&amp;V23</f>
        <v>35:39</v>
      </c>
      <c r="W26" s="9" t="str">
        <f>+W24&amp;W25&amp;W23</f>
        <v>24:21</v>
      </c>
    </row>
    <row r="27" spans="1:23" ht="12">
      <c r="A27" t="s">
        <v>15</v>
      </c>
      <c r="D27" s="7">
        <f>+D12/D26*100</f>
        <v>54.074074074074076</v>
      </c>
      <c r="H27" t="s">
        <v>15</v>
      </c>
      <c r="M27" s="7">
        <f>+M12/M26*100</f>
        <v>68.37606837606837</v>
      </c>
      <c r="V27" s="9" t="str">
        <f>IF(V23&lt;10,+V24&amp;V25&amp;$U$23&amp;V23,+V24&amp;V25&amp;V23)</f>
        <v>35:39</v>
      </c>
      <c r="W27" s="9" t="str">
        <f>IF(W23&lt;10,+W24&amp;W25&amp;$U$23&amp;W23,+W24&amp;W25&amp;W23)</f>
        <v>24:21</v>
      </c>
    </row>
    <row r="28" spans="1:13" ht="12">
      <c r="A28" s="1" t="s">
        <v>90</v>
      </c>
      <c r="D28" s="7">
        <f>+D21/D26*100</f>
        <v>45.925925925925924</v>
      </c>
      <c r="H28" s="1" t="s">
        <v>90</v>
      </c>
      <c r="M28" s="7">
        <f>+M21/M26*100</f>
        <v>31.62393162393162</v>
      </c>
    </row>
    <row r="30" spans="1:13" ht="12">
      <c r="A30" t="s">
        <v>16</v>
      </c>
      <c r="D30">
        <f>+D11+D15+D19</f>
        <v>75</v>
      </c>
      <c r="H30" t="s">
        <v>16</v>
      </c>
      <c r="M30">
        <f>+M11+M15+M19</f>
        <v>51</v>
      </c>
    </row>
    <row r="31" spans="1:13" ht="12">
      <c r="A31" t="s">
        <v>17</v>
      </c>
      <c r="D31" s="8">
        <f>+D26/D30</f>
        <v>5.4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2.2941176470588234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1</v>
      </c>
      <c r="H34" t="s">
        <v>19</v>
      </c>
      <c r="M34" s="2">
        <v>1</v>
      </c>
    </row>
    <row r="35" spans="1:13" ht="12">
      <c r="A35" t="s">
        <v>20</v>
      </c>
      <c r="D35" s="2">
        <v>0</v>
      </c>
      <c r="H35" t="s">
        <v>20</v>
      </c>
      <c r="M35" s="2">
        <v>0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2</v>
      </c>
      <c r="H38" t="s">
        <v>22</v>
      </c>
      <c r="M38" s="2">
        <v>9</v>
      </c>
    </row>
    <row r="39" spans="1:13" ht="12">
      <c r="A39" t="s">
        <v>23</v>
      </c>
      <c r="D39" s="2">
        <v>76</v>
      </c>
      <c r="H39" t="s">
        <v>23</v>
      </c>
      <c r="M39" s="2">
        <f>42+45+34+42+34+40+34+32+48</f>
        <v>351</v>
      </c>
    </row>
    <row r="40" spans="1:13" ht="12">
      <c r="A40" t="s">
        <v>24</v>
      </c>
      <c r="D40" s="8">
        <f>+D39/D38</f>
        <v>38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39</v>
      </c>
    </row>
    <row r="42" spans="1:13" ht="12">
      <c r="A42" t="s">
        <v>25</v>
      </c>
      <c r="D42" s="2">
        <v>6</v>
      </c>
      <c r="H42" t="s">
        <v>25</v>
      </c>
      <c r="M42" s="2">
        <v>2</v>
      </c>
    </row>
    <row r="43" spans="1:13" ht="12">
      <c r="A43" t="s">
        <v>26</v>
      </c>
      <c r="D43" s="2">
        <f>2+4+37+1+79+2</f>
        <v>125</v>
      </c>
      <c r="H43" t="s">
        <v>26</v>
      </c>
      <c r="M43" s="2">
        <v>19</v>
      </c>
    </row>
    <row r="44" spans="1:13" ht="12">
      <c r="A44" t="s">
        <v>27</v>
      </c>
      <c r="D44" s="8">
        <f>+D43/D42</f>
        <v>20.833333333333332</v>
      </c>
      <c r="H44" t="s">
        <v>27</v>
      </c>
      <c r="M44" s="8">
        <f>+M43/M42</f>
        <v>9.5</v>
      </c>
    </row>
    <row r="45" spans="1:13" ht="12">
      <c r="A45" t="s">
        <v>28</v>
      </c>
      <c r="D45" s="2">
        <v>1</v>
      </c>
      <c r="H45" t="s">
        <v>28</v>
      </c>
      <c r="M45" s="2">
        <v>0</v>
      </c>
    </row>
    <row r="47" spans="1:13" ht="12">
      <c r="A47" t="s">
        <v>30</v>
      </c>
      <c r="D47" s="2">
        <v>1</v>
      </c>
      <c r="H47" t="s">
        <v>30</v>
      </c>
      <c r="M47" s="2">
        <v>3</v>
      </c>
    </row>
    <row r="48" spans="1:13" ht="12">
      <c r="A48" t="s">
        <v>26</v>
      </c>
      <c r="D48" s="2">
        <v>11</v>
      </c>
      <c r="H48" t="s">
        <v>26</v>
      </c>
      <c r="M48" s="2">
        <f>25+18+19</f>
        <v>62</v>
      </c>
    </row>
    <row r="49" spans="1:13" ht="12">
      <c r="A49" t="s">
        <v>27</v>
      </c>
      <c r="D49" s="8">
        <f>+D48/D47</f>
        <v>11</v>
      </c>
      <c r="H49" t="s">
        <v>27</v>
      </c>
      <c r="M49" s="8">
        <f>+M48/M47</f>
        <v>20.666666666666668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3</v>
      </c>
      <c r="H52" t="s">
        <v>31</v>
      </c>
      <c r="M52" s="2">
        <v>2</v>
      </c>
    </row>
    <row r="53" spans="1:13" ht="12">
      <c r="A53" t="s">
        <v>32</v>
      </c>
      <c r="D53" s="2">
        <v>45</v>
      </c>
      <c r="H53" t="s">
        <v>32</v>
      </c>
      <c r="M53" s="2">
        <v>10</v>
      </c>
    </row>
    <row r="55" spans="1:13" ht="12">
      <c r="A55" t="s">
        <v>33</v>
      </c>
      <c r="D55" s="2">
        <v>3</v>
      </c>
      <c r="H55" t="s">
        <v>33</v>
      </c>
      <c r="M55" s="2">
        <v>1</v>
      </c>
    </row>
    <row r="56" spans="1:13" ht="12">
      <c r="A56" t="s">
        <v>34</v>
      </c>
      <c r="D56" s="2">
        <v>2</v>
      </c>
      <c r="H56" t="s">
        <v>34</v>
      </c>
      <c r="M56" s="2">
        <v>1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1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37</v>
      </c>
      <c r="H61" t="s">
        <v>38</v>
      </c>
      <c r="M61" s="2">
        <v>3</v>
      </c>
    </row>
    <row r="62" spans="1:13" ht="12">
      <c r="A62" t="s">
        <v>39</v>
      </c>
      <c r="D62" s="2">
        <v>4</v>
      </c>
      <c r="H62" t="s">
        <v>39</v>
      </c>
      <c r="M62" s="2">
        <v>0</v>
      </c>
    </row>
    <row r="63" spans="1:13" ht="12">
      <c r="A63" t="s">
        <v>40</v>
      </c>
      <c r="D63" s="2">
        <v>2</v>
      </c>
      <c r="H63" t="s">
        <v>40</v>
      </c>
      <c r="M63" s="2">
        <v>0</v>
      </c>
    </row>
    <row r="64" spans="1:13" ht="12">
      <c r="A64" t="s">
        <v>41</v>
      </c>
      <c r="D64" s="2">
        <v>1</v>
      </c>
      <c r="H64" t="s">
        <v>41</v>
      </c>
      <c r="M64" s="2">
        <v>0</v>
      </c>
    </row>
    <row r="65" spans="1:13" ht="12">
      <c r="A65" t="s">
        <v>42</v>
      </c>
      <c r="D65" s="2">
        <v>1</v>
      </c>
      <c r="H65" t="s">
        <v>42</v>
      </c>
      <c r="M65" s="2">
        <v>0</v>
      </c>
    </row>
    <row r="66" spans="1:13" ht="12">
      <c r="A66" t="s">
        <v>43</v>
      </c>
      <c r="D66" s="2">
        <v>4</v>
      </c>
      <c r="H66" t="s">
        <v>43</v>
      </c>
      <c r="M66" s="2">
        <v>0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3</v>
      </c>
      <c r="H68" t="s">
        <v>45</v>
      </c>
      <c r="M68" s="2">
        <v>1</v>
      </c>
    </row>
    <row r="69" spans="1:13" ht="12">
      <c r="A69" t="s">
        <v>46</v>
      </c>
      <c r="D69" s="2">
        <v>4</v>
      </c>
      <c r="H69" t="s">
        <v>46</v>
      </c>
      <c r="M69" s="2">
        <v>2</v>
      </c>
    </row>
    <row r="70" spans="1:13" ht="12">
      <c r="A70" t="s">
        <v>47</v>
      </c>
      <c r="D70" s="8">
        <f>+D68/D69*100</f>
        <v>75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50</v>
      </c>
    </row>
    <row r="71" spans="1:13" ht="12">
      <c r="A71" t="s">
        <v>93</v>
      </c>
      <c r="D71" s="10" t="str">
        <f>IF(V23&lt;10,V27,V26)</f>
        <v>35:39</v>
      </c>
      <c r="E71" s="8"/>
      <c r="F71" s="8"/>
      <c r="H71" t="s">
        <v>93</v>
      </c>
      <c r="M71" s="10" t="str">
        <f>IF(W23&lt;10,W27,W26)</f>
        <v>24:21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8" ht="12">
      <c r="A75" t="s">
        <v>100</v>
      </c>
      <c r="C75">
        <v>3</v>
      </c>
      <c r="D75">
        <v>6</v>
      </c>
      <c r="E75" s="12">
        <f>+D75/C75</f>
        <v>2</v>
      </c>
      <c r="F75">
        <v>4</v>
      </c>
      <c r="H75">
        <v>1</v>
      </c>
    </row>
    <row r="76" spans="1:6" ht="12">
      <c r="A76" t="s">
        <v>101</v>
      </c>
      <c r="C76">
        <v>1</v>
      </c>
      <c r="D76">
        <v>4</v>
      </c>
      <c r="E76" s="12">
        <f>+D76/C76</f>
        <v>4</v>
      </c>
      <c r="F76">
        <v>4</v>
      </c>
    </row>
    <row r="77" spans="1:6" ht="12">
      <c r="A77" t="s">
        <v>102</v>
      </c>
      <c r="C77">
        <v>4</v>
      </c>
      <c r="D77">
        <v>14</v>
      </c>
      <c r="E77" s="12">
        <f>+D77/C77</f>
        <v>3.5</v>
      </c>
      <c r="F77">
        <v>5</v>
      </c>
    </row>
    <row r="78" spans="1:8" ht="12">
      <c r="A78" t="s">
        <v>103</v>
      </c>
      <c r="C78">
        <v>15</v>
      </c>
      <c r="D78">
        <v>67</v>
      </c>
      <c r="E78" s="12">
        <f aca="true" t="shared" si="0" ref="E78:E84">+D78/C78</f>
        <v>4.466666666666667</v>
      </c>
      <c r="F78">
        <v>14</v>
      </c>
      <c r="G78">
        <v>2</v>
      </c>
      <c r="H78">
        <v>1</v>
      </c>
    </row>
    <row r="79" spans="1:6" ht="12">
      <c r="A79" t="s">
        <v>104</v>
      </c>
      <c r="C79">
        <v>18</v>
      </c>
      <c r="D79">
        <v>107</v>
      </c>
      <c r="E79" s="12">
        <f t="shared" si="0"/>
        <v>5.944444444444445</v>
      </c>
      <c r="F79">
        <v>20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2</v>
      </c>
      <c r="D83">
        <v>21</v>
      </c>
      <c r="E83" s="12">
        <f t="shared" si="0"/>
        <v>10.5</v>
      </c>
      <c r="F83">
        <v>21</v>
      </c>
    </row>
    <row r="84" spans="1:5" ht="12">
      <c r="A84" t="s">
        <v>109</v>
      </c>
      <c r="E84" s="12" t="e">
        <f t="shared" si="0"/>
        <v>#DIV/0!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5" ht="12">
      <c r="A90" t="s">
        <v>112</v>
      </c>
      <c r="E90" s="12" t="e">
        <f t="shared" si="1"/>
        <v>#DIV/0!</v>
      </c>
    </row>
    <row r="91" spans="1:6" ht="12">
      <c r="A91" t="s">
        <v>103</v>
      </c>
      <c r="C91">
        <v>3</v>
      </c>
      <c r="D91">
        <v>39</v>
      </c>
      <c r="E91" s="12">
        <f t="shared" si="1"/>
        <v>13</v>
      </c>
      <c r="F91">
        <v>15</v>
      </c>
    </row>
    <row r="92" spans="1:6" ht="12">
      <c r="A92" t="s">
        <v>104</v>
      </c>
      <c r="C92">
        <v>1</v>
      </c>
      <c r="D92">
        <v>12</v>
      </c>
      <c r="E92" s="12">
        <f t="shared" si="1"/>
        <v>12</v>
      </c>
      <c r="F92">
        <v>12</v>
      </c>
    </row>
    <row r="93" spans="1:6" ht="12">
      <c r="A93" s="2" t="s">
        <v>105</v>
      </c>
      <c r="C93">
        <v>1</v>
      </c>
      <c r="D93">
        <v>2</v>
      </c>
      <c r="E93" s="12">
        <f t="shared" si="1"/>
        <v>2</v>
      </c>
      <c r="F93">
        <v>2</v>
      </c>
    </row>
    <row r="94" spans="1:7" ht="12">
      <c r="A94" t="s">
        <v>113</v>
      </c>
      <c r="C94">
        <v>5</v>
      </c>
      <c r="D94">
        <v>68</v>
      </c>
      <c r="E94" s="12">
        <f t="shared" si="1"/>
        <v>13.6</v>
      </c>
      <c r="F94">
        <v>23</v>
      </c>
      <c r="G94">
        <v>1</v>
      </c>
    </row>
    <row r="95" spans="1:6" ht="12">
      <c r="A95" t="s">
        <v>108</v>
      </c>
      <c r="C95">
        <v>1</v>
      </c>
      <c r="D95">
        <v>8</v>
      </c>
      <c r="E95" s="12">
        <f t="shared" si="1"/>
        <v>8</v>
      </c>
      <c r="F95">
        <v>8</v>
      </c>
    </row>
    <row r="96" spans="1:6" ht="12">
      <c r="A96" t="s">
        <v>114</v>
      </c>
      <c r="C96">
        <v>1</v>
      </c>
      <c r="D96">
        <v>7</v>
      </c>
      <c r="E96" s="12">
        <f t="shared" si="1"/>
        <v>7</v>
      </c>
      <c r="F96">
        <v>7</v>
      </c>
    </row>
    <row r="97" spans="1:6" ht="12">
      <c r="A97" t="s">
        <v>115</v>
      </c>
      <c r="C97">
        <v>6</v>
      </c>
      <c r="D97">
        <v>79</v>
      </c>
      <c r="E97" s="12">
        <f t="shared" si="1"/>
        <v>13.166666666666666</v>
      </c>
      <c r="F97">
        <v>24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26</v>
      </c>
      <c r="D106">
        <v>16</v>
      </c>
      <c r="E106" s="12">
        <f>+D106/C106*100</f>
        <v>61.53846153846154</v>
      </c>
      <c r="F106">
        <v>195</v>
      </c>
      <c r="G106">
        <v>1</v>
      </c>
      <c r="H106">
        <v>24</v>
      </c>
      <c r="I106">
        <v>1</v>
      </c>
      <c r="J106" s="8">
        <f>+G106/C106*100</f>
        <v>3.8461538461538463</v>
      </c>
      <c r="K106" s="12">
        <f>+I106/C106*100</f>
        <v>3.8461538461538463</v>
      </c>
      <c r="L106" s="12">
        <f>+F106/C106</f>
        <v>7.5</v>
      </c>
      <c r="M106" s="12">
        <f>100*(S106+U106+W106+Y106)/6</f>
        <v>81.41025641025642</v>
      </c>
      <c r="N106">
        <v>1</v>
      </c>
      <c r="O106">
        <v>2</v>
      </c>
      <c r="R106">
        <f>+(E106-30)/20</f>
        <v>1.576923076923077</v>
      </c>
      <c r="S106" s="2">
        <f>IF(R106&lt;0,0,R106)</f>
        <v>1.576923076923077</v>
      </c>
      <c r="T106" s="6">
        <f>+(L106-3)/4</f>
        <v>1.125</v>
      </c>
      <c r="U106" s="2">
        <f>IF(T106&lt;0,0,T106)</f>
        <v>1.125</v>
      </c>
      <c r="V106">
        <f>+J106/5</f>
        <v>0.7692307692307693</v>
      </c>
      <c r="W106" s="2">
        <f>IF(V106&lt;0,0,V106)</f>
        <v>0.7692307692307693</v>
      </c>
      <c r="X106">
        <f>(9.5-K106)/4</f>
        <v>1.4134615384615383</v>
      </c>
      <c r="Y106" s="2">
        <f>IF(X106&lt;0,0,X106)</f>
        <v>1.4134615384615383</v>
      </c>
    </row>
    <row r="107" spans="1:25" ht="12">
      <c r="A107" t="s">
        <v>101</v>
      </c>
      <c r="C107">
        <v>3</v>
      </c>
      <c r="D107">
        <v>2</v>
      </c>
      <c r="E107" s="12">
        <f>+D107/C107*100</f>
        <v>66.66666666666666</v>
      </c>
      <c r="F107">
        <v>20</v>
      </c>
      <c r="H107">
        <v>12</v>
      </c>
      <c r="J107" s="8"/>
      <c r="K107" s="12">
        <f>+I107/C107*100</f>
        <v>0</v>
      </c>
      <c r="L107" s="12">
        <f>+F107/C107</f>
        <v>6.666666666666667</v>
      </c>
      <c r="M107" s="12">
        <f>100*(S107+U107+W107+Y107)/6</f>
        <v>85.41666666666667</v>
      </c>
      <c r="R107">
        <f>+(E107-30)/20</f>
        <v>1.8333333333333328</v>
      </c>
      <c r="S107" s="2">
        <f>IF(R107&lt;0,0,R107)</f>
        <v>1.8333333333333328</v>
      </c>
      <c r="T107" s="6">
        <f>+(L107-3)/4</f>
        <v>0.9166666666666667</v>
      </c>
      <c r="U107" s="2">
        <f>IF(T107&lt;0,0,T107)</f>
        <v>0.9166666666666667</v>
      </c>
      <c r="V107">
        <f>+J107/5</f>
        <v>0</v>
      </c>
      <c r="W107" s="2">
        <f>IF(V107&lt;0,0,V107)</f>
        <v>0</v>
      </c>
      <c r="X107">
        <f>(9.5-K107)/4</f>
        <v>2.375</v>
      </c>
      <c r="Y107" s="2">
        <f>IF(X107&lt;0,0,X107)</f>
        <v>2.375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O109">
        <v>1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3</v>
      </c>
      <c r="D113">
        <v>1</v>
      </c>
      <c r="E113">
        <f>37+4+2</f>
        <v>43</v>
      </c>
      <c r="F113" s="12">
        <f aca="true" t="shared" si="2" ref="F113:F118">+E113/C113</f>
        <v>14.333333333333334</v>
      </c>
      <c r="G113">
        <v>37</v>
      </c>
    </row>
    <row r="114" spans="1:6" ht="12">
      <c r="A114" t="s">
        <v>104</v>
      </c>
      <c r="F114" s="12" t="e">
        <f t="shared" si="2"/>
        <v>#DIV/0!</v>
      </c>
    </row>
    <row r="115" spans="1:8" ht="12">
      <c r="A115" t="s">
        <v>117</v>
      </c>
      <c r="C115">
        <v>3</v>
      </c>
      <c r="D115">
        <v>1</v>
      </c>
      <c r="E115">
        <f>1+79+2</f>
        <v>82</v>
      </c>
      <c r="F115" s="12">
        <f t="shared" si="2"/>
        <v>27.333333333333332</v>
      </c>
      <c r="G115">
        <v>79</v>
      </c>
      <c r="H115">
        <v>1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5" ht="12">
      <c r="A125" t="s">
        <v>119</v>
      </c>
      <c r="E125" s="12" t="e">
        <f t="shared" si="3"/>
        <v>#DIV/0!</v>
      </c>
    </row>
    <row r="126" spans="1:5" ht="12">
      <c r="A126" t="s">
        <v>104</v>
      </c>
      <c r="E126" s="12" t="e">
        <f t="shared" si="3"/>
        <v>#DIV/0!</v>
      </c>
    </row>
    <row r="127" spans="1:5" ht="12">
      <c r="A127" t="s">
        <v>105</v>
      </c>
      <c r="E127" s="12" t="e">
        <f t="shared" si="3"/>
        <v>#DIV/0!</v>
      </c>
    </row>
    <row r="128" spans="1:5" ht="12">
      <c r="A128" t="s">
        <v>120</v>
      </c>
      <c r="E128" s="12" t="e">
        <f t="shared" si="3"/>
        <v>#DIV/0!</v>
      </c>
    </row>
    <row r="129" spans="1:5" ht="12">
      <c r="A129" t="s">
        <v>106</v>
      </c>
      <c r="E129" s="12" t="e">
        <f>+D129/C129</f>
        <v>#DIV/0!</v>
      </c>
    </row>
    <row r="130" spans="1:6" ht="12">
      <c r="A130" t="s">
        <v>117</v>
      </c>
      <c r="C130">
        <v>1</v>
      </c>
      <c r="D130">
        <v>11</v>
      </c>
      <c r="E130" s="12">
        <f>+D130/C130</f>
        <v>11</v>
      </c>
      <c r="F130">
        <v>11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2</v>
      </c>
      <c r="D133">
        <v>76</v>
      </c>
      <c r="E133" s="12"/>
      <c r="F133">
        <v>42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9" ht="12">
      <c r="A141" t="s">
        <v>121</v>
      </c>
      <c r="C141">
        <v>8</v>
      </c>
      <c r="D141">
        <v>5</v>
      </c>
      <c r="E141">
        <v>4</v>
      </c>
      <c r="F141">
        <v>4</v>
      </c>
      <c r="G141">
        <v>4</v>
      </c>
      <c r="H141">
        <v>3</v>
      </c>
      <c r="I141" s="12">
        <f>+H141/G141*100</f>
        <v>75</v>
      </c>
      <c r="J141">
        <v>42</v>
      </c>
      <c r="L141">
        <v>1</v>
      </c>
      <c r="M141">
        <v>1</v>
      </c>
      <c r="N141">
        <v>1</v>
      </c>
      <c r="P141">
        <v>1</v>
      </c>
      <c r="Q141">
        <v>1</v>
      </c>
      <c r="R141">
        <v>1</v>
      </c>
      <c r="S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5" ht="12">
      <c r="A149" t="s">
        <v>116</v>
      </c>
      <c r="E149" s="12" t="e">
        <f t="shared" si="4"/>
        <v>#DIV/0!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C153">
        <v>1</v>
      </c>
      <c r="E153" s="12">
        <f t="shared" si="4"/>
        <v>0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/>
      <c r="D165" s="3"/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>
        <v>1</v>
      </c>
      <c r="D170" s="3">
        <v>8</v>
      </c>
    </row>
    <row r="171" spans="1:4" ht="12">
      <c r="A171" t="s">
        <v>133</v>
      </c>
      <c r="C171" s="3"/>
      <c r="D171" s="3"/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spans="1:3" ht="12">
      <c r="A198" t="s">
        <v>136</v>
      </c>
      <c r="C198">
        <v>1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ht="12">
      <c r="A215" t="s">
        <v>117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28"/>
  <sheetViews>
    <sheetView zoomScale="125" zoomScaleNormal="125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1972 Cincinnati Bengals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11</v>
      </c>
      <c r="H6" s="1" t="s">
        <v>29</v>
      </c>
      <c r="M6" s="2">
        <v>21</v>
      </c>
    </row>
    <row r="7" spans="1:13" ht="12">
      <c r="A7" s="18" t="s">
        <v>95</v>
      </c>
      <c r="D7" s="2">
        <v>4</v>
      </c>
      <c r="H7" s="18" t="s">
        <v>95</v>
      </c>
      <c r="M7" s="2">
        <v>16</v>
      </c>
    </row>
    <row r="8" spans="1:13" ht="12">
      <c r="A8" s="18" t="s">
        <v>96</v>
      </c>
      <c r="D8" s="2">
        <v>6</v>
      </c>
      <c r="H8" s="18" t="s">
        <v>96</v>
      </c>
      <c r="M8" s="2">
        <v>4</v>
      </c>
    </row>
    <row r="9" spans="1:13" ht="12">
      <c r="A9" s="18" t="s">
        <v>97</v>
      </c>
      <c r="D9" s="2">
        <v>1</v>
      </c>
      <c r="H9" s="18" t="s">
        <v>97</v>
      </c>
      <c r="M9" s="2">
        <v>1</v>
      </c>
    </row>
    <row r="11" spans="1:23" ht="12">
      <c r="A11" t="s">
        <v>1</v>
      </c>
      <c r="D11" s="2">
        <f>10+10+1+1+1</f>
        <v>23</v>
      </c>
      <c r="H11" t="s">
        <v>1</v>
      </c>
      <c r="M11" s="2">
        <f>24+15+3+2+4</f>
        <v>48</v>
      </c>
      <c r="V11">
        <f>+D11</f>
        <v>23</v>
      </c>
      <c r="W11">
        <f>+M11</f>
        <v>48</v>
      </c>
    </row>
    <row r="12" spans="1:23" ht="12">
      <c r="A12" t="s">
        <v>2</v>
      </c>
      <c r="D12" s="2">
        <f>56+52-1+12+1</f>
        <v>120</v>
      </c>
      <c r="H12" t="s">
        <v>2</v>
      </c>
      <c r="M12" s="2">
        <f>185+48+6+17+28</f>
        <v>284</v>
      </c>
      <c r="U12" s="13"/>
      <c r="V12">
        <f>+D16</f>
        <v>12</v>
      </c>
      <c r="W12">
        <f>+M16</f>
        <v>6</v>
      </c>
    </row>
    <row r="13" spans="1:23" ht="12">
      <c r="A13" s="1" t="s">
        <v>3</v>
      </c>
      <c r="D13" s="8">
        <f>+D12/D11</f>
        <v>5.217391304347826</v>
      </c>
      <c r="H13" s="1" t="s">
        <v>3</v>
      </c>
      <c r="M13" s="8">
        <f>+M12/M11</f>
        <v>5.916666666666667</v>
      </c>
      <c r="V13">
        <f>+(D15-D16)/2</f>
        <v>6.5</v>
      </c>
      <c r="W13">
        <f>+(M15-M16)/2</f>
        <v>8.5</v>
      </c>
    </row>
    <row r="14" spans="22:23" ht="12">
      <c r="V14">
        <f>+D38/2</f>
        <v>3</v>
      </c>
      <c r="W14">
        <f>+M38/2</f>
        <v>3.5</v>
      </c>
    </row>
    <row r="15" spans="1:23" ht="12">
      <c r="A15" t="s">
        <v>4</v>
      </c>
      <c r="D15" s="2">
        <v>25</v>
      </c>
      <c r="H15" t="s">
        <v>4</v>
      </c>
      <c r="M15" s="2">
        <v>23</v>
      </c>
      <c r="V15">
        <f>+D42/2</f>
        <v>3.5</v>
      </c>
      <c r="W15">
        <f>+M42/2</f>
        <v>1.5</v>
      </c>
    </row>
    <row r="16" spans="1:23" ht="12">
      <c r="A16" t="s">
        <v>5</v>
      </c>
      <c r="D16" s="2">
        <v>12</v>
      </c>
      <c r="H16" t="s">
        <v>5</v>
      </c>
      <c r="M16" s="2">
        <v>6</v>
      </c>
      <c r="V16">
        <f>+D47/2</f>
        <v>2</v>
      </c>
      <c r="W16">
        <f>+M47/2</f>
        <v>0.5</v>
      </c>
    </row>
    <row r="17" spans="1:13" ht="12">
      <c r="A17" t="s">
        <v>6</v>
      </c>
      <c r="D17" s="8">
        <f>+D16/D15*100</f>
        <v>48</v>
      </c>
      <c r="H17" t="s">
        <v>6</v>
      </c>
      <c r="M17" s="8">
        <f>+M16/M15*100</f>
        <v>26.08695652173913</v>
      </c>
    </row>
    <row r="18" spans="1:24" ht="12">
      <c r="A18" t="s">
        <v>7</v>
      </c>
      <c r="D18" s="2">
        <v>145</v>
      </c>
      <c r="H18" t="s">
        <v>7</v>
      </c>
      <c r="M18" s="2">
        <v>55</v>
      </c>
      <c r="V18">
        <f>SUM(V11:V16)</f>
        <v>50</v>
      </c>
      <c r="W18">
        <f>SUM(W11:W16)</f>
        <v>68</v>
      </c>
      <c r="X18">
        <f>+W18+V18</f>
        <v>118</v>
      </c>
    </row>
    <row r="19" spans="1:23" ht="12">
      <c r="A19" t="s">
        <v>8</v>
      </c>
      <c r="D19" s="2">
        <v>2</v>
      </c>
      <c r="H19" t="s">
        <v>8</v>
      </c>
      <c r="M19" s="2">
        <v>5</v>
      </c>
      <c r="V19">
        <f>+V18/X18</f>
        <v>0.423728813559322</v>
      </c>
      <c r="W19">
        <f>+W18/X18</f>
        <v>0.576271186440678</v>
      </c>
    </row>
    <row r="20" spans="1:23" ht="12">
      <c r="A20" t="s">
        <v>9</v>
      </c>
      <c r="D20" s="2">
        <v>20</v>
      </c>
      <c r="H20" t="s">
        <v>9</v>
      </c>
      <c r="M20" s="2">
        <f>5+4+4+5+7</f>
        <v>25</v>
      </c>
      <c r="V20">
        <f>+V19*60</f>
        <v>25.423728813559322</v>
      </c>
      <c r="W20">
        <f>+W19*60</f>
        <v>34.57627118644068</v>
      </c>
    </row>
    <row r="21" spans="1:23" ht="12">
      <c r="A21" t="s">
        <v>10</v>
      </c>
      <c r="D21">
        <f>+D18-D20</f>
        <v>125</v>
      </c>
      <c r="H21" t="s">
        <v>10</v>
      </c>
      <c r="M21">
        <f>+M18-M20</f>
        <v>30</v>
      </c>
      <c r="V21">
        <f>+V20-INT(V20)</f>
        <v>0.4237288135593218</v>
      </c>
      <c r="W21">
        <f>+W20-INT(W20)</f>
        <v>0.5762711864406782</v>
      </c>
    </row>
    <row r="22" spans="1:23" ht="12">
      <c r="A22" t="s">
        <v>11</v>
      </c>
      <c r="D22" s="7">
        <f>+D21/(D15+D19)</f>
        <v>4.62962962962963</v>
      </c>
      <c r="H22" t="s">
        <v>11</v>
      </c>
      <c r="M22" s="7">
        <f>+M21/(M15+M19)</f>
        <v>1.0714285714285714</v>
      </c>
      <c r="V22">
        <f>+V21*60</f>
        <v>25.423728813559308</v>
      </c>
      <c r="W22">
        <f>+W21*60</f>
        <v>34.57627118644069</v>
      </c>
    </row>
    <row r="23" spans="1:23" ht="12">
      <c r="A23" t="s">
        <v>12</v>
      </c>
      <c r="D23" s="7">
        <f>+D18/D16</f>
        <v>12.083333333333334</v>
      </c>
      <c r="H23" t="s">
        <v>12</v>
      </c>
      <c r="M23" s="7">
        <f>+M18/M16</f>
        <v>9.166666666666666</v>
      </c>
      <c r="U23">
        <v>0</v>
      </c>
      <c r="V23" s="11">
        <f>ROUND(V22,0)</f>
        <v>25</v>
      </c>
      <c r="W23">
        <f>ROUND(W22,0)</f>
        <v>35</v>
      </c>
    </row>
    <row r="24" spans="22:23" ht="12">
      <c r="V24">
        <f>INT(V20)</f>
        <v>25</v>
      </c>
      <c r="W24">
        <f>INT(W20)</f>
        <v>34</v>
      </c>
    </row>
    <row r="25" spans="1:23" ht="12">
      <c r="A25" t="s">
        <v>13</v>
      </c>
      <c r="H25" t="s">
        <v>13</v>
      </c>
      <c r="V25" t="s">
        <v>91</v>
      </c>
      <c r="W25" t="s">
        <v>91</v>
      </c>
    </row>
    <row r="26" spans="1:23" ht="12">
      <c r="A26" t="s">
        <v>14</v>
      </c>
      <c r="D26">
        <f>+D21+D12</f>
        <v>245</v>
      </c>
      <c r="H26" t="s">
        <v>14</v>
      </c>
      <c r="M26">
        <f>+M21+M12</f>
        <v>314</v>
      </c>
      <c r="V26" s="14" t="str">
        <f>+V24&amp;V25&amp;V23</f>
        <v>25:25</v>
      </c>
      <c r="W26" s="9" t="str">
        <f>+W24&amp;W25&amp;W23</f>
        <v>34:35</v>
      </c>
    </row>
    <row r="27" spans="1:23" ht="12">
      <c r="A27" t="s">
        <v>15</v>
      </c>
      <c r="D27" s="7">
        <f>+D12/D26*100</f>
        <v>48.97959183673469</v>
      </c>
      <c r="H27" t="s">
        <v>15</v>
      </c>
      <c r="M27" s="7">
        <f>+M12/M26*100</f>
        <v>90.44585987261146</v>
      </c>
      <c r="V27" s="9" t="str">
        <f>IF(V23&lt;10,+V24&amp;V25&amp;$U$23&amp;V23,+V24&amp;V25&amp;V23)</f>
        <v>25:25</v>
      </c>
      <c r="W27" s="9" t="str">
        <f>IF(W23&lt;10,+W24&amp;W25&amp;$U$23&amp;W23,+W24&amp;W25&amp;W23)</f>
        <v>34:35</v>
      </c>
    </row>
    <row r="28" spans="1:13" ht="12">
      <c r="A28" s="1" t="s">
        <v>90</v>
      </c>
      <c r="D28" s="7">
        <f>+D21/D26*100</f>
        <v>51.02040816326531</v>
      </c>
      <c r="H28" s="1" t="s">
        <v>90</v>
      </c>
      <c r="M28" s="7">
        <f>+M21/M26*100</f>
        <v>9.554140127388536</v>
      </c>
    </row>
    <row r="30" spans="1:13" ht="12">
      <c r="A30" t="s">
        <v>16</v>
      </c>
      <c r="D30">
        <f>+D11+D15+D19</f>
        <v>50</v>
      </c>
      <c r="H30" t="s">
        <v>16</v>
      </c>
      <c r="M30">
        <f>+M11+M15+M19</f>
        <v>76</v>
      </c>
    </row>
    <row r="31" spans="1:13" ht="12">
      <c r="A31" t="s">
        <v>17</v>
      </c>
      <c r="D31" s="8">
        <f>+D26/D30</f>
        <v>4.9</v>
      </c>
      <c r="E31" s="7"/>
      <c r="F31" s="7"/>
      <c r="G31" s="7"/>
      <c r="H31" s="7" t="s">
        <v>17</v>
      </c>
      <c r="I31" s="7"/>
      <c r="J31" s="7"/>
      <c r="K31" s="7"/>
      <c r="L31" s="7"/>
      <c r="M31" s="8">
        <f>+M26/M30</f>
        <v>4.131578947368421</v>
      </c>
    </row>
    <row r="33" spans="1:8" ht="12">
      <c r="A33" t="s">
        <v>18</v>
      </c>
      <c r="H33" t="s">
        <v>18</v>
      </c>
    </row>
    <row r="34" spans="1:13" ht="12">
      <c r="A34" t="s">
        <v>19</v>
      </c>
      <c r="D34" s="2">
        <v>1</v>
      </c>
      <c r="H34" t="s">
        <v>19</v>
      </c>
      <c r="M34" s="2">
        <v>1</v>
      </c>
    </row>
    <row r="35" spans="1:13" ht="12">
      <c r="A35" t="s">
        <v>20</v>
      </c>
      <c r="D35" s="2">
        <v>0</v>
      </c>
      <c r="H35" t="s">
        <v>20</v>
      </c>
      <c r="M35" s="2">
        <v>9</v>
      </c>
    </row>
    <row r="36" spans="1:13" ht="12">
      <c r="A36" t="s">
        <v>21</v>
      </c>
      <c r="D36" s="2">
        <v>0</v>
      </c>
      <c r="H36" t="s">
        <v>21</v>
      </c>
      <c r="M36" s="2">
        <v>0</v>
      </c>
    </row>
    <row r="38" spans="1:13" ht="12">
      <c r="A38" t="s">
        <v>22</v>
      </c>
      <c r="D38" s="2">
        <v>6</v>
      </c>
      <c r="H38" t="s">
        <v>22</v>
      </c>
      <c r="M38" s="2">
        <v>7</v>
      </c>
    </row>
    <row r="39" spans="1:13" ht="12">
      <c r="A39" t="s">
        <v>23</v>
      </c>
      <c r="D39" s="2">
        <f>40+34+54+52+40+34</f>
        <v>254</v>
      </c>
      <c r="H39" t="s">
        <v>23</v>
      </c>
      <c r="M39" s="2">
        <f>48+23+48+48+40+41+45</f>
        <v>293</v>
      </c>
    </row>
    <row r="40" spans="1:13" ht="12">
      <c r="A40" t="s">
        <v>24</v>
      </c>
      <c r="D40" s="8">
        <f>+D39/D38</f>
        <v>42.333333333333336</v>
      </c>
      <c r="E40" s="7"/>
      <c r="F40" s="7"/>
      <c r="G40" s="7"/>
      <c r="H40" s="7" t="s">
        <v>24</v>
      </c>
      <c r="I40" s="7"/>
      <c r="J40" s="7"/>
      <c r="K40" s="7"/>
      <c r="L40" s="7"/>
      <c r="M40" s="8">
        <f>+M39/M38</f>
        <v>41.857142857142854</v>
      </c>
    </row>
    <row r="42" spans="1:13" ht="12">
      <c r="A42" t="s">
        <v>25</v>
      </c>
      <c r="D42" s="2">
        <v>7</v>
      </c>
      <c r="H42" t="s">
        <v>25</v>
      </c>
      <c r="M42" s="2">
        <v>3</v>
      </c>
    </row>
    <row r="43" spans="1:13" ht="12">
      <c r="A43" t="s">
        <v>26</v>
      </c>
      <c r="D43" s="2">
        <f>2+6+15+2+7+72+3</f>
        <v>107</v>
      </c>
      <c r="H43" t="s">
        <v>26</v>
      </c>
      <c r="M43" s="2">
        <f>23+5+4</f>
        <v>32</v>
      </c>
    </row>
    <row r="44" spans="1:13" ht="12">
      <c r="A44" t="s">
        <v>27</v>
      </c>
      <c r="D44" s="8">
        <f>+D43/D42</f>
        <v>15.285714285714286</v>
      </c>
      <c r="H44" t="s">
        <v>27</v>
      </c>
      <c r="M44" s="8">
        <f>+M43/M42</f>
        <v>10.666666666666666</v>
      </c>
    </row>
    <row r="45" spans="1:13" ht="12">
      <c r="A45" t="s">
        <v>28</v>
      </c>
      <c r="D45" s="2">
        <v>1</v>
      </c>
      <c r="H45" t="s">
        <v>28</v>
      </c>
      <c r="M45" s="2">
        <v>0</v>
      </c>
    </row>
    <row r="47" spans="1:13" ht="12">
      <c r="A47" t="s">
        <v>30</v>
      </c>
      <c r="D47" s="2">
        <v>4</v>
      </c>
      <c r="H47" t="s">
        <v>30</v>
      </c>
      <c r="M47" s="2">
        <v>1</v>
      </c>
    </row>
    <row r="48" spans="1:13" ht="12">
      <c r="A48" t="s">
        <v>26</v>
      </c>
      <c r="D48" s="2">
        <f>40+18+15+9</f>
        <v>82</v>
      </c>
      <c r="H48" t="s">
        <v>26</v>
      </c>
      <c r="M48" s="2">
        <v>11</v>
      </c>
    </row>
    <row r="49" spans="1:13" ht="12">
      <c r="A49" t="s">
        <v>27</v>
      </c>
      <c r="D49" s="8">
        <f>+D48/D47</f>
        <v>20.5</v>
      </c>
      <c r="H49" t="s">
        <v>27</v>
      </c>
      <c r="M49" s="8">
        <f>+M48/M47</f>
        <v>11</v>
      </c>
    </row>
    <row r="50" spans="1:13" ht="12">
      <c r="A50" t="s">
        <v>28</v>
      </c>
      <c r="D50" s="2">
        <v>0</v>
      </c>
      <c r="H50" t="s">
        <v>28</v>
      </c>
      <c r="M50" s="2">
        <v>0</v>
      </c>
    </row>
    <row r="52" spans="1:13" ht="12">
      <c r="A52" t="s">
        <v>31</v>
      </c>
      <c r="D52" s="2">
        <v>6</v>
      </c>
      <c r="H52" t="s">
        <v>31</v>
      </c>
      <c r="M52" s="2">
        <v>2</v>
      </c>
    </row>
    <row r="53" spans="1:13" ht="12">
      <c r="A53" t="s">
        <v>32</v>
      </c>
      <c r="D53" s="2">
        <v>56</v>
      </c>
      <c r="H53" t="s">
        <v>32</v>
      </c>
      <c r="M53" s="2">
        <v>28</v>
      </c>
    </row>
    <row r="55" spans="1:13" ht="12">
      <c r="A55" t="s">
        <v>33</v>
      </c>
      <c r="D55" s="2">
        <v>3</v>
      </c>
      <c r="H55" t="s">
        <v>33</v>
      </c>
      <c r="M55" s="2">
        <v>4</v>
      </c>
    </row>
    <row r="56" spans="1:13" ht="12">
      <c r="A56" t="s">
        <v>34</v>
      </c>
      <c r="D56" s="2">
        <v>1</v>
      </c>
      <c r="H56" t="s">
        <v>34</v>
      </c>
      <c r="M56" s="2">
        <v>3</v>
      </c>
    </row>
    <row r="57" spans="1:13" ht="12">
      <c r="A57" t="s">
        <v>35</v>
      </c>
      <c r="D57" s="2">
        <v>0</v>
      </c>
      <c r="H57" t="s">
        <v>35</v>
      </c>
      <c r="M57" s="2">
        <v>0</v>
      </c>
    </row>
    <row r="58" spans="1:13" ht="12">
      <c r="A58" t="s">
        <v>36</v>
      </c>
      <c r="D58" s="2">
        <v>0</v>
      </c>
      <c r="H58" t="s">
        <v>36</v>
      </c>
      <c r="M58" s="2">
        <v>3</v>
      </c>
    </row>
    <row r="59" spans="1:13" ht="12">
      <c r="A59" s="1" t="s">
        <v>37</v>
      </c>
      <c r="D59" s="2">
        <v>0</v>
      </c>
      <c r="H59" s="1" t="s">
        <v>37</v>
      </c>
      <c r="M59" s="2">
        <v>0</v>
      </c>
    </row>
    <row r="61" spans="1:13" ht="12">
      <c r="A61" t="s">
        <v>38</v>
      </c>
      <c r="D61" s="2">
        <v>14</v>
      </c>
      <c r="H61" t="s">
        <v>38</v>
      </c>
      <c r="M61" s="2">
        <v>20</v>
      </c>
    </row>
    <row r="62" spans="1:13" ht="12">
      <c r="A62" t="s">
        <v>39</v>
      </c>
      <c r="D62" s="2">
        <v>2</v>
      </c>
      <c r="H62" t="s">
        <v>39</v>
      </c>
      <c r="M62" s="2">
        <v>2</v>
      </c>
    </row>
    <row r="63" spans="1:13" ht="12">
      <c r="A63" t="s">
        <v>40</v>
      </c>
      <c r="D63" s="2">
        <v>0</v>
      </c>
      <c r="H63" t="s">
        <v>40</v>
      </c>
      <c r="M63" s="2">
        <v>2</v>
      </c>
    </row>
    <row r="64" spans="1:13" ht="12">
      <c r="A64" t="s">
        <v>41</v>
      </c>
      <c r="D64" s="2">
        <v>1</v>
      </c>
      <c r="H64" t="s">
        <v>41</v>
      </c>
      <c r="M64" s="2">
        <v>0</v>
      </c>
    </row>
    <row r="65" spans="1:13" ht="12">
      <c r="A65" t="s">
        <v>42</v>
      </c>
      <c r="D65" s="2">
        <v>1</v>
      </c>
      <c r="H65" t="s">
        <v>42</v>
      </c>
      <c r="M65" s="2">
        <v>0</v>
      </c>
    </row>
    <row r="66" spans="1:13" ht="12">
      <c r="A66" t="s">
        <v>43</v>
      </c>
      <c r="D66" s="2">
        <v>2</v>
      </c>
      <c r="H66" t="s">
        <v>43</v>
      </c>
      <c r="M66" s="2">
        <v>2</v>
      </c>
    </row>
    <row r="67" spans="1:13" ht="12">
      <c r="A67" t="s">
        <v>44</v>
      </c>
      <c r="D67" s="2">
        <v>0</v>
      </c>
      <c r="H67" t="s">
        <v>44</v>
      </c>
      <c r="M67" s="2">
        <v>0</v>
      </c>
    </row>
    <row r="68" spans="1:13" ht="12">
      <c r="A68" t="s">
        <v>45</v>
      </c>
      <c r="D68" s="2">
        <v>0</v>
      </c>
      <c r="H68" t="s">
        <v>45</v>
      </c>
      <c r="M68" s="2">
        <v>2</v>
      </c>
    </row>
    <row r="69" spans="1:13" ht="12">
      <c r="A69" t="s">
        <v>46</v>
      </c>
      <c r="D69" s="2">
        <v>2</v>
      </c>
      <c r="H69" t="s">
        <v>46</v>
      </c>
      <c r="M69" s="2">
        <v>4</v>
      </c>
    </row>
    <row r="70" spans="1:13" ht="12">
      <c r="A70" t="s">
        <v>47</v>
      </c>
      <c r="D70" s="8">
        <f>+D68/D69*100</f>
        <v>0</v>
      </c>
      <c r="E70" s="7"/>
      <c r="F70" s="7"/>
      <c r="G70" s="7"/>
      <c r="H70" s="7" t="s">
        <v>47</v>
      </c>
      <c r="I70" s="7"/>
      <c r="J70" s="7"/>
      <c r="K70" s="7"/>
      <c r="L70" s="7"/>
      <c r="M70" s="7">
        <f>+M68/M69*100</f>
        <v>50</v>
      </c>
    </row>
    <row r="71" spans="1:13" ht="12">
      <c r="A71" t="s">
        <v>93</v>
      </c>
      <c r="D71" s="10" t="str">
        <f>IF(V23&lt;10,V27,V26)</f>
        <v>25:25</v>
      </c>
      <c r="E71" s="8"/>
      <c r="F71" s="8"/>
      <c r="H71" t="s">
        <v>93</v>
      </c>
      <c r="M71" s="10" t="str">
        <f>IF(W23&lt;10,W27,W26)</f>
        <v>34:35</v>
      </c>
    </row>
    <row r="73" ht="12">
      <c r="A73" t="s">
        <v>49</v>
      </c>
    </row>
    <row r="74" spans="1:8" ht="12">
      <c r="A74" s="2" t="s">
        <v>50</v>
      </c>
      <c r="B74" s="2"/>
      <c r="C74" s="3" t="s">
        <v>51</v>
      </c>
      <c r="D74" s="3" t="s">
        <v>52</v>
      </c>
      <c r="E74" s="3" t="s">
        <v>53</v>
      </c>
      <c r="F74" s="3" t="s">
        <v>54</v>
      </c>
      <c r="G74" s="3" t="s">
        <v>55</v>
      </c>
      <c r="H74" s="3" t="s">
        <v>84</v>
      </c>
    </row>
    <row r="75" spans="1:6" ht="12">
      <c r="A75" t="s">
        <v>100</v>
      </c>
      <c r="C75">
        <v>1</v>
      </c>
      <c r="D75">
        <v>1</v>
      </c>
      <c r="E75" s="12">
        <f>+D75/C75</f>
        <v>1</v>
      </c>
      <c r="F75">
        <v>1</v>
      </c>
    </row>
    <row r="76" spans="1:6" ht="12">
      <c r="A76" t="s">
        <v>101</v>
      </c>
      <c r="C76">
        <v>1</v>
      </c>
      <c r="D76">
        <v>12</v>
      </c>
      <c r="E76" s="12">
        <f>+D76/C76</f>
        <v>12</v>
      </c>
      <c r="F76">
        <v>12</v>
      </c>
    </row>
    <row r="77" spans="1:5" ht="12">
      <c r="A77" t="s">
        <v>102</v>
      </c>
      <c r="E77" s="12" t="e">
        <f>+D77/C77</f>
        <v>#DIV/0!</v>
      </c>
    </row>
    <row r="78" spans="1:8" ht="12">
      <c r="A78" t="s">
        <v>103</v>
      </c>
      <c r="C78">
        <v>10</v>
      </c>
      <c r="D78">
        <v>52</v>
      </c>
      <c r="E78" s="12">
        <f aca="true" t="shared" si="0" ref="E78:E84">+D78/C78</f>
        <v>5.2</v>
      </c>
      <c r="F78">
        <v>14</v>
      </c>
      <c r="H78">
        <v>1</v>
      </c>
    </row>
    <row r="79" spans="1:6" ht="12">
      <c r="A79" t="s">
        <v>104</v>
      </c>
      <c r="C79">
        <v>10</v>
      </c>
      <c r="D79">
        <v>56</v>
      </c>
      <c r="E79" s="12">
        <f t="shared" si="0"/>
        <v>5.6</v>
      </c>
      <c r="F79">
        <v>31</v>
      </c>
    </row>
    <row r="80" spans="1:5" ht="12">
      <c r="A80" t="s">
        <v>105</v>
      </c>
      <c r="E80" s="12" t="e">
        <f t="shared" si="0"/>
        <v>#DIV/0!</v>
      </c>
    </row>
    <row r="81" spans="1:5" ht="12">
      <c r="A81" t="s">
        <v>106</v>
      </c>
      <c r="E81" s="12" t="e">
        <f t="shared" si="0"/>
        <v>#DIV/0!</v>
      </c>
    </row>
    <row r="82" spans="1:5" ht="12">
      <c r="A82" t="s">
        <v>107</v>
      </c>
      <c r="E82" s="12" t="e">
        <f t="shared" si="0"/>
        <v>#DIV/0!</v>
      </c>
    </row>
    <row r="83" spans="1:6" ht="12">
      <c r="A83" t="s">
        <v>108</v>
      </c>
      <c r="C83">
        <v>1</v>
      </c>
      <c r="D83">
        <v>-1</v>
      </c>
      <c r="E83" s="12">
        <f t="shared" si="0"/>
        <v>-1</v>
      </c>
      <c r="F83">
        <v>-1</v>
      </c>
    </row>
    <row r="84" spans="1:5" ht="12">
      <c r="A84" t="s">
        <v>109</v>
      </c>
      <c r="E84" s="12" t="e">
        <f t="shared" si="0"/>
        <v>#DIV/0!</v>
      </c>
    </row>
    <row r="85" spans="1:5" ht="12">
      <c r="A85" t="s">
        <v>110</v>
      </c>
      <c r="E85" s="12" t="e">
        <f>+D85/C85</f>
        <v>#DIV/0!</v>
      </c>
    </row>
    <row r="86" spans="1:5" ht="12">
      <c r="A86" s="1"/>
      <c r="E86" s="12" t="e">
        <f>+D86/C86</f>
        <v>#DIV/0!</v>
      </c>
    </row>
    <row r="87" ht="12">
      <c r="E87" s="8"/>
    </row>
    <row r="88" spans="1:8" ht="12">
      <c r="A88" s="2" t="s">
        <v>56</v>
      </c>
      <c r="C88" s="3" t="s">
        <v>57</v>
      </c>
      <c r="D88" s="3" t="s">
        <v>52</v>
      </c>
      <c r="E88" s="15" t="s">
        <v>53</v>
      </c>
      <c r="F88" s="3" t="s">
        <v>54</v>
      </c>
      <c r="G88" s="3" t="s">
        <v>55</v>
      </c>
      <c r="H88" s="3" t="s">
        <v>84</v>
      </c>
    </row>
    <row r="89" spans="1:5" ht="12">
      <c r="A89" t="s">
        <v>111</v>
      </c>
      <c r="E89" s="12" t="e">
        <f aca="true" t="shared" si="1" ref="E89:E100">+D89/C89</f>
        <v>#DIV/0!</v>
      </c>
    </row>
    <row r="90" spans="1:6" ht="12">
      <c r="A90" t="s">
        <v>112</v>
      </c>
      <c r="C90">
        <v>1</v>
      </c>
      <c r="D90">
        <v>14</v>
      </c>
      <c r="E90" s="12">
        <f t="shared" si="1"/>
        <v>14</v>
      </c>
      <c r="F90">
        <v>14</v>
      </c>
    </row>
    <row r="91" spans="1:8" ht="12">
      <c r="A91" t="s">
        <v>103</v>
      </c>
      <c r="C91">
        <v>1</v>
      </c>
      <c r="D91">
        <v>6</v>
      </c>
      <c r="E91" s="12">
        <f t="shared" si="1"/>
        <v>6</v>
      </c>
      <c r="F91">
        <v>6</v>
      </c>
      <c r="H91">
        <v>1</v>
      </c>
    </row>
    <row r="92" spans="1:6" ht="12">
      <c r="A92" t="s">
        <v>104</v>
      </c>
      <c r="C92">
        <v>3</v>
      </c>
      <c r="D92">
        <v>45</v>
      </c>
      <c r="E92" s="12">
        <f t="shared" si="1"/>
        <v>15</v>
      </c>
      <c r="F92">
        <v>31</v>
      </c>
    </row>
    <row r="93" spans="1:5" ht="12">
      <c r="A93" s="2" t="s">
        <v>105</v>
      </c>
      <c r="E93" s="12" t="e">
        <f t="shared" si="1"/>
        <v>#DIV/0!</v>
      </c>
    </row>
    <row r="94" spans="1:7" ht="12">
      <c r="A94" t="s">
        <v>113</v>
      </c>
      <c r="C94">
        <v>3</v>
      </c>
      <c r="D94">
        <v>33</v>
      </c>
      <c r="E94" s="12">
        <f t="shared" si="1"/>
        <v>11</v>
      </c>
      <c r="F94">
        <v>14</v>
      </c>
      <c r="G94">
        <v>1</v>
      </c>
    </row>
    <row r="95" spans="1:6" ht="12">
      <c r="A95" t="s">
        <v>108</v>
      </c>
      <c r="C95">
        <v>1</v>
      </c>
      <c r="D95">
        <v>5</v>
      </c>
      <c r="E95" s="12">
        <f t="shared" si="1"/>
        <v>5</v>
      </c>
      <c r="F95">
        <v>5</v>
      </c>
    </row>
    <row r="96" spans="1:6" ht="12">
      <c r="A96" t="s">
        <v>114</v>
      </c>
      <c r="C96">
        <v>1</v>
      </c>
      <c r="D96">
        <v>23</v>
      </c>
      <c r="E96" s="12">
        <f t="shared" si="1"/>
        <v>23</v>
      </c>
      <c r="F96">
        <v>23</v>
      </c>
    </row>
    <row r="97" spans="1:6" ht="12">
      <c r="A97" t="s">
        <v>115</v>
      </c>
      <c r="C97">
        <v>2</v>
      </c>
      <c r="D97">
        <v>19</v>
      </c>
      <c r="E97" s="12">
        <f t="shared" si="1"/>
        <v>9.5</v>
      </c>
      <c r="F97">
        <v>12</v>
      </c>
    </row>
    <row r="98" spans="1:5" ht="12">
      <c r="A98" s="2" t="s">
        <v>110</v>
      </c>
      <c r="E98" s="12" t="e">
        <f t="shared" si="1"/>
        <v>#DIV/0!</v>
      </c>
    </row>
    <row r="99" spans="1:5" ht="12">
      <c r="A99" s="1"/>
      <c r="E99" s="12" t="e">
        <f t="shared" si="1"/>
        <v>#DIV/0!</v>
      </c>
    </row>
    <row r="100" spans="1:5" ht="12">
      <c r="A100" s="1"/>
      <c r="E100" s="12" t="e">
        <f t="shared" si="1"/>
        <v>#DIV/0!</v>
      </c>
    </row>
    <row r="101" spans="1:5" ht="12">
      <c r="A101" s="1"/>
      <c r="E101" s="12" t="e">
        <f>+D101/C101</f>
        <v>#DIV/0!</v>
      </c>
    </row>
    <row r="102" spans="1:5" ht="12">
      <c r="A102" s="1"/>
      <c r="E102" s="12" t="e">
        <f>+D102/C102</f>
        <v>#DIV/0!</v>
      </c>
    </row>
    <row r="103" ht="12">
      <c r="E103" s="8"/>
    </row>
    <row r="104" spans="1:13" ht="12">
      <c r="A104" s="2"/>
      <c r="B104" s="2"/>
      <c r="C104" s="3"/>
      <c r="D104" s="3"/>
      <c r="E104" s="15" t="s">
        <v>61</v>
      </c>
      <c r="F104" s="3" t="s">
        <v>62</v>
      </c>
      <c r="G104" s="3"/>
      <c r="H104" s="3"/>
      <c r="I104" s="3" t="s">
        <v>65</v>
      </c>
      <c r="J104" s="3" t="s">
        <v>67</v>
      </c>
      <c r="K104" s="3" t="s">
        <v>61</v>
      </c>
      <c r="L104" s="3" t="s">
        <v>53</v>
      </c>
      <c r="M104" s="3"/>
    </row>
    <row r="105" spans="1:15" ht="12">
      <c r="A105" s="2" t="s">
        <v>58</v>
      </c>
      <c r="B105" s="2"/>
      <c r="C105" s="3" t="s">
        <v>59</v>
      </c>
      <c r="D105" s="3" t="s">
        <v>60</v>
      </c>
      <c r="E105" s="15" t="s">
        <v>60</v>
      </c>
      <c r="F105" s="3" t="s">
        <v>63</v>
      </c>
      <c r="G105" s="3" t="s">
        <v>55</v>
      </c>
      <c r="H105" s="3" t="s">
        <v>64</v>
      </c>
      <c r="I105" s="5" t="s">
        <v>66</v>
      </c>
      <c r="J105" s="3" t="s">
        <v>55</v>
      </c>
      <c r="K105" s="3" t="s">
        <v>68</v>
      </c>
      <c r="L105" s="3" t="s">
        <v>69</v>
      </c>
      <c r="M105" s="3" t="s">
        <v>70</v>
      </c>
      <c r="N105" s="3" t="s">
        <v>84</v>
      </c>
      <c r="O105" s="3" t="s">
        <v>155</v>
      </c>
    </row>
    <row r="106" spans="1:25" ht="12">
      <c r="A106" t="s">
        <v>100</v>
      </c>
      <c r="C106">
        <v>15</v>
      </c>
      <c r="D106">
        <v>5</v>
      </c>
      <c r="E106" s="12">
        <f>+D106/C106*100</f>
        <v>33.33333333333333</v>
      </c>
      <c r="F106">
        <v>44</v>
      </c>
      <c r="H106">
        <v>14</v>
      </c>
      <c r="I106">
        <v>1</v>
      </c>
      <c r="J106" s="8">
        <f>+G106/C106*100</f>
        <v>0</v>
      </c>
      <c r="K106" s="12">
        <f>+I106/C106*100</f>
        <v>6.666666666666667</v>
      </c>
      <c r="L106" s="12">
        <f>+F106/C106</f>
        <v>2.933333333333333</v>
      </c>
      <c r="M106" s="12">
        <f>100*(S106+U106+W106+Y106)/6</f>
        <v>14.583333333333329</v>
      </c>
      <c r="O106">
        <v>1</v>
      </c>
      <c r="R106">
        <f>+(E106-30)/20</f>
        <v>0.16666666666666644</v>
      </c>
      <c r="S106" s="2">
        <f>IF(R106&lt;0,0,R106)</f>
        <v>0.16666666666666644</v>
      </c>
      <c r="T106" s="6">
        <f>+(L106-3)/4</f>
        <v>-0.01666666666666672</v>
      </c>
      <c r="U106" s="2">
        <f>IF(T106&lt;0,0,T106)</f>
        <v>0</v>
      </c>
      <c r="V106">
        <f>+J106/5</f>
        <v>0</v>
      </c>
      <c r="W106" s="2">
        <f>IF(V106&lt;0,0,V106)</f>
        <v>0</v>
      </c>
      <c r="X106">
        <f>(9.5-K106)/4</f>
        <v>0.7083333333333333</v>
      </c>
      <c r="Y106" s="2">
        <f>IF(X106&lt;0,0,X106)</f>
        <v>0.7083333333333333</v>
      </c>
    </row>
    <row r="107" spans="1:25" ht="12">
      <c r="A107" t="s">
        <v>101</v>
      </c>
      <c r="C107">
        <v>10</v>
      </c>
      <c r="D107">
        <v>7</v>
      </c>
      <c r="E107" s="12">
        <f>+D107/C107*100</f>
        <v>70</v>
      </c>
      <c r="F107">
        <v>101</v>
      </c>
      <c r="G107">
        <v>1</v>
      </c>
      <c r="H107">
        <v>31</v>
      </c>
      <c r="J107" s="8"/>
      <c r="K107" s="12">
        <f>+I107/C107*100</f>
        <v>0</v>
      </c>
      <c r="L107" s="12">
        <f>+F107/C107</f>
        <v>10.1</v>
      </c>
      <c r="M107" s="12">
        <f>100*(S107+U107+W107+Y107)/6</f>
        <v>102.5</v>
      </c>
      <c r="O107">
        <v>1</v>
      </c>
      <c r="R107">
        <f>+(E107-30)/20</f>
        <v>2</v>
      </c>
      <c r="S107" s="2">
        <f>IF(R107&lt;0,0,R107)</f>
        <v>2</v>
      </c>
      <c r="T107" s="6">
        <f>+(L107-3)/4</f>
        <v>1.775</v>
      </c>
      <c r="U107" s="2">
        <f>IF(T107&lt;0,0,T107)</f>
        <v>1.775</v>
      </c>
      <c r="V107">
        <f>+J107/5</f>
        <v>0</v>
      </c>
      <c r="W107" s="2">
        <f>IF(V107&lt;0,0,V107)</f>
        <v>0</v>
      </c>
      <c r="X107">
        <f>(9.5-K107)/4</f>
        <v>2.375</v>
      </c>
      <c r="Y107" s="2">
        <f>IF(X107&lt;0,0,X107)</f>
        <v>2.375</v>
      </c>
    </row>
    <row r="108" spans="1:25" ht="12">
      <c r="A108" t="s">
        <v>110</v>
      </c>
      <c r="E108" s="12" t="e">
        <f>+D108/C108*100</f>
        <v>#DIV/0!</v>
      </c>
      <c r="J108" s="8"/>
      <c r="K108" s="12" t="e">
        <f>+I108/C108*100</f>
        <v>#DIV/0!</v>
      </c>
      <c r="L108" s="12" t="e">
        <f>+F108/C108</f>
        <v>#DIV/0!</v>
      </c>
      <c r="M108" s="12" t="e">
        <f>100*(S108+U108+W108+Y108)/6</f>
        <v>#DIV/0!</v>
      </c>
      <c r="R108" t="e">
        <f>+(E108-30)/20</f>
        <v>#DIV/0!</v>
      </c>
      <c r="S108" s="2" t="e">
        <f>IF(R108&lt;0,0,R108)</f>
        <v>#DIV/0!</v>
      </c>
      <c r="T108" s="6" t="e">
        <f>+(L108-3)/4</f>
        <v>#DIV/0!</v>
      </c>
      <c r="U108" s="2" t="e">
        <f>IF(T108&lt;0,0,T108)</f>
        <v>#DIV/0!</v>
      </c>
      <c r="V108">
        <f>+J108/5</f>
        <v>0</v>
      </c>
      <c r="W108" s="2">
        <f>IF(V108&lt;0,0,V108)</f>
        <v>0</v>
      </c>
      <c r="X108" t="e">
        <f>(9.5-K108)/4</f>
        <v>#DIV/0!</v>
      </c>
      <c r="Y108" s="2" t="e">
        <f>IF(X108&lt;0,0,X108)</f>
        <v>#DIV/0!</v>
      </c>
    </row>
    <row r="109" spans="1:25" ht="12">
      <c r="A109" s="1" t="s">
        <v>136</v>
      </c>
      <c r="E109" s="12" t="e">
        <f>+D109/C109*100</f>
        <v>#DIV/0!</v>
      </c>
      <c r="J109" s="8"/>
      <c r="K109" s="12" t="e">
        <f>+I109/C109*100</f>
        <v>#DIV/0!</v>
      </c>
      <c r="L109" s="12" t="e">
        <f>+F109/C109</f>
        <v>#DIV/0!</v>
      </c>
      <c r="M109" s="12" t="e">
        <f>100*(S109+U109+W109+Y109)/6</f>
        <v>#DIV/0!</v>
      </c>
      <c r="R109" t="e">
        <f>+(E109-30)/20</f>
        <v>#DIV/0!</v>
      </c>
      <c r="S109" s="2" t="e">
        <f>IF(R109&lt;0,0,R109)</f>
        <v>#DIV/0!</v>
      </c>
      <c r="T109" s="6" t="e">
        <f>+(L109-3)/4</f>
        <v>#DIV/0!</v>
      </c>
      <c r="U109" s="2" t="e">
        <f>IF(T109&lt;0,0,T109)</f>
        <v>#DIV/0!</v>
      </c>
      <c r="V109">
        <f>+J109/5</f>
        <v>0</v>
      </c>
      <c r="W109" s="2">
        <f>IF(V109&lt;0,0,V109)</f>
        <v>0</v>
      </c>
      <c r="X109" t="e">
        <f>(9.5-K109)/4</f>
        <v>#DIV/0!</v>
      </c>
      <c r="Y109" s="2" t="e">
        <f>IF(X109&lt;0,0,X109)</f>
        <v>#DIV/0!</v>
      </c>
    </row>
    <row r="112" spans="1:9" ht="12">
      <c r="A112" s="2" t="s">
        <v>71</v>
      </c>
      <c r="C112" s="3" t="s">
        <v>72</v>
      </c>
      <c r="D112" s="3" t="s">
        <v>73</v>
      </c>
      <c r="E112" s="3" t="s">
        <v>74</v>
      </c>
      <c r="F112" s="3" t="s">
        <v>53</v>
      </c>
      <c r="G112" s="3" t="s">
        <v>64</v>
      </c>
      <c r="H112" s="3" t="s">
        <v>55</v>
      </c>
      <c r="I112" s="3" t="s">
        <v>84</v>
      </c>
    </row>
    <row r="113" spans="1:7" ht="12">
      <c r="A113" t="s">
        <v>116</v>
      </c>
      <c r="C113">
        <v>5</v>
      </c>
      <c r="E113">
        <f>2+6+15+2+7</f>
        <v>32</v>
      </c>
      <c r="F113" s="12">
        <f aca="true" t="shared" si="2" ref="F113:F118">+E113/C113</f>
        <v>6.4</v>
      </c>
      <c r="G113">
        <v>15</v>
      </c>
    </row>
    <row r="114" spans="1:6" ht="12">
      <c r="A114" t="s">
        <v>104</v>
      </c>
      <c r="F114" s="12" t="e">
        <f t="shared" si="2"/>
        <v>#DIV/0!</v>
      </c>
    </row>
    <row r="115" spans="1:8" ht="12">
      <c r="A115" t="s">
        <v>117</v>
      </c>
      <c r="C115">
        <v>2</v>
      </c>
      <c r="E115">
        <v>75</v>
      </c>
      <c r="F115" s="12">
        <f t="shared" si="2"/>
        <v>37.5</v>
      </c>
      <c r="G115">
        <v>72</v>
      </c>
      <c r="H115">
        <v>1</v>
      </c>
    </row>
    <row r="116" spans="1:6" ht="12">
      <c r="A116" s="1"/>
      <c r="F116" s="12" t="e">
        <f t="shared" si="2"/>
        <v>#DIV/0!</v>
      </c>
    </row>
    <row r="117" ht="12">
      <c r="F117" s="12" t="e">
        <f t="shared" si="2"/>
        <v>#DIV/0!</v>
      </c>
    </row>
    <row r="118" ht="12">
      <c r="F118" s="12" t="e">
        <f t="shared" si="2"/>
        <v>#DIV/0!</v>
      </c>
    </row>
    <row r="122" spans="1:8" ht="12">
      <c r="A122" s="2" t="s">
        <v>30</v>
      </c>
      <c r="C122" s="3" t="s">
        <v>72</v>
      </c>
      <c r="D122" s="3" t="s">
        <v>74</v>
      </c>
      <c r="E122" s="3" t="s">
        <v>53</v>
      </c>
      <c r="F122" s="3" t="s">
        <v>64</v>
      </c>
      <c r="G122" s="3" t="s">
        <v>55</v>
      </c>
      <c r="H122" s="3" t="s">
        <v>84</v>
      </c>
    </row>
    <row r="123" spans="1:5" ht="12">
      <c r="A123" t="s">
        <v>116</v>
      </c>
      <c r="E123" s="12" t="e">
        <f aca="true" t="shared" si="3" ref="E123:E128">+D123/C123</f>
        <v>#DIV/0!</v>
      </c>
    </row>
    <row r="124" spans="1:5" ht="12">
      <c r="A124" t="s">
        <v>118</v>
      </c>
      <c r="E124" s="12" t="e">
        <f t="shared" si="3"/>
        <v>#DIV/0!</v>
      </c>
    </row>
    <row r="125" spans="1:6" ht="12">
      <c r="A125" t="s">
        <v>119</v>
      </c>
      <c r="C125">
        <v>1</v>
      </c>
      <c r="D125">
        <v>40</v>
      </c>
      <c r="E125" s="12">
        <f t="shared" si="3"/>
        <v>40</v>
      </c>
      <c r="F125">
        <v>40</v>
      </c>
    </row>
    <row r="126" spans="1:5" ht="12">
      <c r="A126" t="s">
        <v>104</v>
      </c>
      <c r="E126" s="12" t="e">
        <f t="shared" si="3"/>
        <v>#DIV/0!</v>
      </c>
    </row>
    <row r="127" spans="1:6" ht="12">
      <c r="A127" t="s">
        <v>105</v>
      </c>
      <c r="C127">
        <v>1</v>
      </c>
      <c r="D127">
        <v>9</v>
      </c>
      <c r="E127" s="12">
        <f t="shared" si="3"/>
        <v>9</v>
      </c>
      <c r="F127">
        <v>9</v>
      </c>
    </row>
    <row r="128" spans="1:5" ht="12">
      <c r="A128" t="s">
        <v>120</v>
      </c>
      <c r="E128" s="12" t="e">
        <f t="shared" si="3"/>
        <v>#DIV/0!</v>
      </c>
    </row>
    <row r="129" spans="1:6" ht="12">
      <c r="A129" t="s">
        <v>106</v>
      </c>
      <c r="C129">
        <v>1</v>
      </c>
      <c r="D129">
        <v>15</v>
      </c>
      <c r="E129" s="12">
        <f>+D129/C129</f>
        <v>15</v>
      </c>
      <c r="F129">
        <v>15</v>
      </c>
    </row>
    <row r="130" spans="1:8" ht="12">
      <c r="A130" t="s">
        <v>117</v>
      </c>
      <c r="C130">
        <v>1</v>
      </c>
      <c r="D130">
        <v>18</v>
      </c>
      <c r="E130" s="12">
        <f>+D130/C130</f>
        <v>18</v>
      </c>
      <c r="F130">
        <v>18</v>
      </c>
      <c r="H130">
        <v>1</v>
      </c>
    </row>
    <row r="132" spans="1:8" ht="12">
      <c r="A132" s="2" t="s">
        <v>75</v>
      </c>
      <c r="C132" s="3" t="s">
        <v>72</v>
      </c>
      <c r="D132" s="3" t="s">
        <v>74</v>
      </c>
      <c r="E132" s="3" t="s">
        <v>53</v>
      </c>
      <c r="F132" s="3" t="s">
        <v>64</v>
      </c>
      <c r="G132" s="3" t="s">
        <v>76</v>
      </c>
      <c r="H132" s="3" t="s">
        <v>84</v>
      </c>
    </row>
    <row r="133" spans="1:6" ht="12">
      <c r="A133" t="s">
        <v>106</v>
      </c>
      <c r="C133">
        <v>6</v>
      </c>
      <c r="D133">
        <f>40+34+54+52+40+34</f>
        <v>254</v>
      </c>
      <c r="E133" s="12"/>
      <c r="F133">
        <v>54</v>
      </c>
    </row>
    <row r="139" spans="9:21" ht="12">
      <c r="I139" s="5" t="s">
        <v>67</v>
      </c>
      <c r="L139" s="20" t="s">
        <v>150</v>
      </c>
      <c r="M139" s="20"/>
      <c r="N139" s="20" t="s">
        <v>151</v>
      </c>
      <c r="O139" s="20"/>
      <c r="P139" s="20" t="s">
        <v>152</v>
      </c>
      <c r="Q139" s="20"/>
      <c r="R139" s="20" t="s">
        <v>153</v>
      </c>
      <c r="S139" s="20"/>
      <c r="T139" s="20" t="s">
        <v>154</v>
      </c>
      <c r="U139" s="20"/>
    </row>
    <row r="140" spans="1:21" ht="12">
      <c r="A140" s="4" t="s">
        <v>83</v>
      </c>
      <c r="C140" s="3" t="s">
        <v>77</v>
      </c>
      <c r="D140" s="3" t="s">
        <v>78</v>
      </c>
      <c r="E140" s="3" t="s">
        <v>79</v>
      </c>
      <c r="F140" s="3" t="s">
        <v>80</v>
      </c>
      <c r="G140" s="3" t="s">
        <v>81</v>
      </c>
      <c r="H140" s="3" t="s">
        <v>82</v>
      </c>
      <c r="I140" s="3" t="s">
        <v>86</v>
      </c>
      <c r="J140" s="3" t="s">
        <v>64</v>
      </c>
      <c r="L140" s="3" t="s">
        <v>81</v>
      </c>
      <c r="M140" s="3" t="s">
        <v>82</v>
      </c>
      <c r="N140" s="3" t="s">
        <v>81</v>
      </c>
      <c r="O140" s="3" t="s">
        <v>82</v>
      </c>
      <c r="P140" s="3" t="s">
        <v>81</v>
      </c>
      <c r="Q140" s="3" t="s">
        <v>82</v>
      </c>
      <c r="R140" s="3" t="s">
        <v>81</v>
      </c>
      <c r="S140" s="3" t="s">
        <v>82</v>
      </c>
      <c r="T140" s="3" t="s">
        <v>81</v>
      </c>
      <c r="U140" s="3" t="s">
        <v>82</v>
      </c>
    </row>
    <row r="141" spans="1:18" ht="12">
      <c r="A141" t="s">
        <v>121</v>
      </c>
      <c r="C141">
        <v>3</v>
      </c>
      <c r="D141">
        <v>2</v>
      </c>
      <c r="E141">
        <v>2</v>
      </c>
      <c r="F141">
        <v>2</v>
      </c>
      <c r="G141">
        <v>2</v>
      </c>
      <c r="I141" s="12">
        <f>+H141/G141*100</f>
        <v>0</v>
      </c>
      <c r="P141">
        <v>1</v>
      </c>
      <c r="R141">
        <v>1</v>
      </c>
    </row>
    <row r="142" ht="12">
      <c r="I142" s="12" t="e">
        <f>+H142/G142*100</f>
        <v>#DIV/0!</v>
      </c>
    </row>
    <row r="143" ht="12">
      <c r="I143" s="12" t="e">
        <f>+H143/G143*100</f>
        <v>#DIV/0!</v>
      </c>
    </row>
    <row r="146" spans="1:8" ht="12">
      <c r="A146" s="2" t="s">
        <v>85</v>
      </c>
      <c r="C146" s="3" t="s">
        <v>72</v>
      </c>
      <c r="D146" s="3" t="s">
        <v>74</v>
      </c>
      <c r="E146" s="3" t="s">
        <v>53</v>
      </c>
      <c r="F146" s="3" t="s">
        <v>64</v>
      </c>
      <c r="G146" s="3" t="s">
        <v>55</v>
      </c>
      <c r="H146" s="3" t="s">
        <v>84</v>
      </c>
    </row>
    <row r="147" spans="1:5" ht="12">
      <c r="A147" t="s">
        <v>122</v>
      </c>
      <c r="E147" s="12" t="e">
        <f>+D147/C147</f>
        <v>#DIV/0!</v>
      </c>
    </row>
    <row r="148" spans="1:5" ht="12">
      <c r="A148" t="s">
        <v>123</v>
      </c>
      <c r="E148" s="12" t="e">
        <f aca="true" t="shared" si="4" ref="E148:E154">+D148/C148</f>
        <v>#DIV/0!</v>
      </c>
    </row>
    <row r="149" spans="1:6" ht="12">
      <c r="A149" t="s">
        <v>116</v>
      </c>
      <c r="C149">
        <v>1</v>
      </c>
      <c r="D149">
        <v>9</v>
      </c>
      <c r="E149" s="12">
        <f t="shared" si="4"/>
        <v>9</v>
      </c>
      <c r="F149">
        <v>9</v>
      </c>
    </row>
    <row r="150" spans="1:5" ht="12">
      <c r="A150" t="s">
        <v>124</v>
      </c>
      <c r="E150" s="12" t="e">
        <f t="shared" si="4"/>
        <v>#DIV/0!</v>
      </c>
    </row>
    <row r="151" spans="1:5" ht="12">
      <c r="A151" t="s">
        <v>119</v>
      </c>
      <c r="E151" s="12" t="e">
        <f t="shared" si="4"/>
        <v>#DIV/0!</v>
      </c>
    </row>
    <row r="152" spans="1:5" ht="12">
      <c r="A152" t="s">
        <v>117</v>
      </c>
      <c r="E152" s="12" t="e">
        <f t="shared" si="4"/>
        <v>#DIV/0!</v>
      </c>
    </row>
    <row r="153" spans="1:5" ht="12">
      <c r="A153" t="s">
        <v>125</v>
      </c>
      <c r="E153" s="12" t="e">
        <f t="shared" si="4"/>
        <v>#DIV/0!</v>
      </c>
    </row>
    <row r="154" spans="1:5" ht="12">
      <c r="A154" s="1"/>
      <c r="E154" s="12" t="e">
        <f t="shared" si="4"/>
        <v>#DIV/0!</v>
      </c>
    </row>
    <row r="155" spans="1:5" ht="12">
      <c r="A155" s="1"/>
      <c r="E155" s="12" t="e">
        <f>+D155/C155</f>
        <v>#DIV/0!</v>
      </c>
    </row>
    <row r="156" spans="1:5" ht="12">
      <c r="A156" s="1"/>
      <c r="E156" s="12" t="e">
        <f>+D156/C156</f>
        <v>#DIV/0!</v>
      </c>
    </row>
    <row r="157" spans="1:5" ht="12">
      <c r="A157" s="1"/>
      <c r="E157" s="12" t="e">
        <f>+D157/C157</f>
        <v>#DIV/0!</v>
      </c>
    </row>
    <row r="158" spans="1:5" ht="12">
      <c r="A158" s="1"/>
      <c r="E158" s="12" t="e">
        <f>+D158/C158</f>
        <v>#DIV/0!</v>
      </c>
    </row>
    <row r="159" spans="1:5" ht="12">
      <c r="A159" s="1"/>
      <c r="E159" s="12" t="e">
        <f>+D159/C159</f>
        <v>#DIV/0!</v>
      </c>
    </row>
    <row r="160" spans="1:5" ht="12">
      <c r="A160" s="1"/>
      <c r="E160" s="12"/>
    </row>
    <row r="161" spans="1:4" ht="12">
      <c r="A161" s="2" t="s">
        <v>98</v>
      </c>
      <c r="C161" s="3" t="s">
        <v>72</v>
      </c>
      <c r="D161" s="3" t="s">
        <v>74</v>
      </c>
    </row>
    <row r="162" spans="1:4" ht="12">
      <c r="A162" t="s">
        <v>122</v>
      </c>
      <c r="C162" s="3"/>
      <c r="D162" s="3"/>
    </row>
    <row r="163" spans="1:4" ht="12">
      <c r="A163" t="s">
        <v>126</v>
      </c>
      <c r="C163" s="3"/>
      <c r="D163" s="3"/>
    </row>
    <row r="164" spans="1:4" ht="12">
      <c r="A164" t="s">
        <v>127</v>
      </c>
      <c r="C164" s="3"/>
      <c r="D164" s="3"/>
    </row>
    <row r="165" spans="1:4" ht="12">
      <c r="A165" t="s">
        <v>128</v>
      </c>
      <c r="C165" s="3"/>
      <c r="D165" s="3"/>
    </row>
    <row r="166" spans="1:4" ht="12">
      <c r="A166" t="s">
        <v>129</v>
      </c>
      <c r="C166" s="3"/>
      <c r="D166" s="3"/>
    </row>
    <row r="167" spans="1:4" ht="12">
      <c r="A167" t="s">
        <v>116</v>
      </c>
      <c r="C167" s="3"/>
      <c r="D167" s="3"/>
    </row>
    <row r="168" spans="1:4" ht="12">
      <c r="A168" t="s">
        <v>130</v>
      </c>
      <c r="C168" s="3"/>
      <c r="D168" s="3"/>
    </row>
    <row r="169" spans="1:4" ht="12">
      <c r="A169" t="s">
        <v>131</v>
      </c>
      <c r="C169" s="3"/>
      <c r="D169" s="3"/>
    </row>
    <row r="170" spans="1:4" ht="12">
      <c r="A170" t="s">
        <v>132</v>
      </c>
      <c r="C170" s="3">
        <v>3</v>
      </c>
      <c r="D170" s="3">
        <f>4+5+7</f>
        <v>16</v>
      </c>
    </row>
    <row r="171" spans="1:4" ht="12">
      <c r="A171" t="s">
        <v>133</v>
      </c>
      <c r="C171" s="3">
        <v>2</v>
      </c>
      <c r="D171" s="3">
        <v>9</v>
      </c>
    </row>
    <row r="172" spans="1:4" ht="12">
      <c r="A172" s="2"/>
      <c r="C172" s="3"/>
      <c r="D172" s="3"/>
    </row>
    <row r="173" spans="1:4" ht="12">
      <c r="A173" s="2"/>
      <c r="C173" s="3"/>
      <c r="D173" s="3"/>
    </row>
    <row r="174" spans="1:4" ht="12">
      <c r="A174" s="2"/>
      <c r="C174" s="3"/>
      <c r="D174" s="3"/>
    </row>
    <row r="175" spans="1:4" ht="12">
      <c r="A175" s="2"/>
      <c r="C175" s="3"/>
      <c r="D175" s="3"/>
    </row>
    <row r="176" spans="1:4" ht="12">
      <c r="A176" s="2"/>
      <c r="C176" s="3"/>
      <c r="D176" s="3"/>
    </row>
    <row r="177" spans="1:4" ht="12">
      <c r="A177" s="2"/>
      <c r="C177" s="3"/>
      <c r="D177" s="3"/>
    </row>
    <row r="178" spans="1:4" ht="12">
      <c r="A178" s="2"/>
      <c r="C178" s="3"/>
      <c r="D178" s="3"/>
    </row>
    <row r="179" spans="1:7" ht="12">
      <c r="A179" s="2" t="s">
        <v>94</v>
      </c>
      <c r="C179" s="3" t="s">
        <v>72</v>
      </c>
      <c r="D179" s="3" t="s">
        <v>74</v>
      </c>
      <c r="E179" s="3" t="s">
        <v>64</v>
      </c>
      <c r="F179" s="3" t="s">
        <v>55</v>
      </c>
      <c r="G179" s="5" t="s">
        <v>84</v>
      </c>
    </row>
    <row r="180" ht="12">
      <c r="A180" t="s">
        <v>122</v>
      </c>
    </row>
    <row r="181" ht="12">
      <c r="A181" t="s">
        <v>100</v>
      </c>
    </row>
    <row r="182" ht="12">
      <c r="A182" t="s">
        <v>126</v>
      </c>
    </row>
    <row r="183" ht="12">
      <c r="A183" t="s">
        <v>123</v>
      </c>
    </row>
    <row r="184" ht="12">
      <c r="A184" t="s">
        <v>127</v>
      </c>
    </row>
    <row r="185" ht="12">
      <c r="A185" t="s">
        <v>128</v>
      </c>
    </row>
    <row r="186" ht="12">
      <c r="A186" t="s">
        <v>111</v>
      </c>
    </row>
    <row r="187" ht="12">
      <c r="A187" t="s">
        <v>129</v>
      </c>
    </row>
    <row r="188" ht="12">
      <c r="A188" t="s">
        <v>101</v>
      </c>
    </row>
    <row r="189" ht="12">
      <c r="A189" t="s">
        <v>116</v>
      </c>
    </row>
    <row r="190" ht="12">
      <c r="A190" t="s">
        <v>130</v>
      </c>
    </row>
    <row r="191" ht="12">
      <c r="A191" t="s">
        <v>102</v>
      </c>
    </row>
    <row r="192" ht="12">
      <c r="A192" t="s">
        <v>112</v>
      </c>
    </row>
    <row r="193" ht="12">
      <c r="A193" t="s">
        <v>124</v>
      </c>
    </row>
    <row r="194" ht="12">
      <c r="A194" t="s">
        <v>134</v>
      </c>
    </row>
    <row r="195" ht="12">
      <c r="A195" t="s">
        <v>118</v>
      </c>
    </row>
    <row r="196" ht="12">
      <c r="A196" t="s">
        <v>103</v>
      </c>
    </row>
    <row r="197" ht="12">
      <c r="A197" t="s">
        <v>135</v>
      </c>
    </row>
    <row r="198" ht="12">
      <c r="A198" t="s">
        <v>136</v>
      </c>
    </row>
    <row r="199" ht="12">
      <c r="A199" t="s">
        <v>119</v>
      </c>
    </row>
    <row r="200" ht="12">
      <c r="A200" t="s">
        <v>137</v>
      </c>
    </row>
    <row r="201" ht="12">
      <c r="A201" t="s">
        <v>104</v>
      </c>
    </row>
    <row r="202" ht="12">
      <c r="A202" t="s">
        <v>131</v>
      </c>
    </row>
    <row r="203" ht="12">
      <c r="A203" s="2" t="s">
        <v>105</v>
      </c>
    </row>
    <row r="204" ht="12">
      <c r="A204" t="s">
        <v>138</v>
      </c>
    </row>
    <row r="205" ht="12">
      <c r="A205" t="s">
        <v>139</v>
      </c>
    </row>
    <row r="206" ht="12">
      <c r="A206" t="s">
        <v>120</v>
      </c>
    </row>
    <row r="207" ht="12">
      <c r="A207" t="s">
        <v>140</v>
      </c>
    </row>
    <row r="208" ht="12">
      <c r="A208" t="s">
        <v>141</v>
      </c>
    </row>
    <row r="209" ht="12">
      <c r="A209" t="s">
        <v>106</v>
      </c>
    </row>
    <row r="210" ht="12">
      <c r="A210" t="s">
        <v>142</v>
      </c>
    </row>
    <row r="211" ht="12">
      <c r="A211" t="s">
        <v>143</v>
      </c>
    </row>
    <row r="212" ht="12">
      <c r="A212" t="s">
        <v>107</v>
      </c>
    </row>
    <row r="213" ht="12">
      <c r="A213" t="s">
        <v>121</v>
      </c>
    </row>
    <row r="214" ht="12">
      <c r="A214" t="s">
        <v>113</v>
      </c>
    </row>
    <row r="215" spans="1:3" ht="12">
      <c r="A215" t="s">
        <v>117</v>
      </c>
      <c r="C215">
        <v>1</v>
      </c>
    </row>
    <row r="216" ht="12">
      <c r="A216" t="s">
        <v>144</v>
      </c>
    </row>
    <row r="217" ht="12">
      <c r="A217" t="s">
        <v>108</v>
      </c>
    </row>
    <row r="218" ht="12">
      <c r="A218" t="s">
        <v>145</v>
      </c>
    </row>
    <row r="219" ht="12">
      <c r="A219" t="s">
        <v>146</v>
      </c>
    </row>
    <row r="220" ht="12">
      <c r="A220" t="s">
        <v>132</v>
      </c>
    </row>
    <row r="221" ht="12">
      <c r="A221" t="s">
        <v>125</v>
      </c>
    </row>
    <row r="222" ht="12">
      <c r="A222" t="s">
        <v>109</v>
      </c>
    </row>
    <row r="223" ht="12">
      <c r="A223" t="s">
        <v>114</v>
      </c>
    </row>
    <row r="224" ht="12">
      <c r="A224" t="s">
        <v>115</v>
      </c>
    </row>
    <row r="225" ht="12">
      <c r="A225" t="s">
        <v>147</v>
      </c>
    </row>
    <row r="226" ht="12">
      <c r="A226" t="s">
        <v>148</v>
      </c>
    </row>
    <row r="227" ht="12">
      <c r="A227" t="s">
        <v>133</v>
      </c>
    </row>
    <row r="228" ht="12">
      <c r="A228" s="2" t="s">
        <v>110</v>
      </c>
    </row>
  </sheetData>
  <sheetProtection/>
  <mergeCells count="5">
    <mergeCell ref="L139:M139"/>
    <mergeCell ref="N139:O139"/>
    <mergeCell ref="P139:Q139"/>
    <mergeCell ref="R139:S139"/>
    <mergeCell ref="T139:U13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Mark Zarb</cp:lastModifiedBy>
  <dcterms:created xsi:type="dcterms:W3CDTF">2004-12-04T00:48:17Z</dcterms:created>
  <dcterms:modified xsi:type="dcterms:W3CDTF">2015-11-10T11:55:17Z</dcterms:modified>
  <cp:category/>
  <cp:version/>
  <cp:contentType/>
  <cp:contentStatus/>
</cp:coreProperties>
</file>