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6" windowWidth="27320" windowHeight="12400" tabRatio="827" activeTab="0"/>
  </bookViews>
  <sheets>
    <sheet name="Cumulative Stats" sheetId="1" r:id="rId1"/>
    <sheet name="at Cin" sheetId="2" r:id="rId2"/>
    <sheet name="vs Den" sheetId="3" r:id="rId3"/>
    <sheet name="at Oak" sheetId="4" r:id="rId4"/>
    <sheet name="vs KC" sheetId="5" r:id="rId5"/>
    <sheet name="at SD" sheetId="6" r:id="rId6"/>
    <sheet name="at Hou" sheetId="7" r:id="rId7"/>
    <sheet name="vs NYG" sheetId="8" r:id="rId8"/>
    <sheet name="at NYJ" sheetId="9" r:id="rId9"/>
    <sheet name="at GB" sheetId="10" r:id="rId10"/>
    <sheet name="vs Pit" sheetId="11" r:id="rId11"/>
    <sheet name="vs SD" sheetId="12" r:id="rId12"/>
    <sheet name="at KC" sheetId="13" r:id="rId13"/>
    <sheet name="vs Oak" sheetId="14" r:id="rId14"/>
    <sheet name="vs NYJ" sheetId="15" r:id="rId15"/>
    <sheet name="at Den" sheetId="16" r:id="rId16"/>
    <sheet name="vs Cle" sheetId="17" r:id="rId17"/>
    <sheet name="Summary" sheetId="18" r:id="rId18"/>
  </sheets>
  <definedNames>
    <definedName name="_xlnm.Print_Area" localSheetId="5">'at SD'!$A$1:$N$72</definedName>
    <definedName name="_xlnm.Print_Area" localSheetId="17">'Summary'!$B$2:$Q$22</definedName>
  </definedNames>
  <calcPr fullCalcOnLoad="1"/>
</workbook>
</file>

<file path=xl/sharedStrings.xml><?xml version="1.0" encoding="utf-8"?>
<sst xmlns="http://schemas.openxmlformats.org/spreadsheetml/2006/main" count="5864" uniqueCount="205">
  <si>
    <t>Offensive Stats: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</si>
  <si>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</si>
  <si>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</si>
  <si>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</si>
  <si>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</si>
  <si>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</si>
  <si>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</si>
  <si>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</si>
  <si>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</si>
  <si>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</si>
  <si>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</si>
  <si>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</si>
  <si>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</si>
  <si>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</si>
  <si>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</si>
  <si>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</si>
  <si>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</si>
  <si>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</si>
  <si>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</si>
  <si>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</si>
  <si>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</si>
  <si>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</si>
  <si>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</si>
  <si>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</si>
  <si>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</si>
  <si>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</si>
  <si>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</si>
  <si>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</si>
  <si>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</si>
  <si>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First Downs</t>
  </si>
  <si>
    <t>Kickoff Returns</t>
  </si>
  <si>
    <t>Penalties</t>
  </si>
  <si>
    <t xml:space="preserve"> Yards Penalized</t>
  </si>
  <si>
    <t>Fumbles</t>
  </si>
  <si>
    <t xml:space="preserve"> Own Recovered</t>
  </si>
  <si>
    <t xml:space="preserve"> TD's on Own Recovery</t>
  </si>
  <si>
    <t xml:space="preserve"> Opponents Recovered</t>
  </si>
  <si>
    <t xml:space="preserve"> Opponents Recovered for TD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</si>
  <si>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</si>
  <si>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</si>
  <si>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</si>
  <si>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</si>
  <si>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</si>
  <si>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</si>
  <si>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</si>
  <si>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</si>
  <si>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</si>
  <si>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</si>
  <si>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Defensive Stats:</t>
  </si>
  <si>
    <t>Individual Stats:</t>
  </si>
  <si>
    <t>Rushing:</t>
  </si>
  <si>
    <t xml:space="preserve">Att </t>
  </si>
  <si>
    <t>Yards</t>
  </si>
  <si>
    <t>Avg.</t>
  </si>
  <si>
    <t xml:space="preserve">Long </t>
  </si>
  <si>
    <t>TD</t>
  </si>
  <si>
    <t>Receiving:</t>
  </si>
  <si>
    <t>Rec.</t>
  </si>
  <si>
    <t>Passing:</t>
  </si>
  <si>
    <t>Att</t>
  </si>
  <si>
    <t>Com</t>
  </si>
  <si>
    <t>Pct</t>
  </si>
  <si>
    <t xml:space="preserve">Yards </t>
  </si>
  <si>
    <t>Gained</t>
  </si>
  <si>
    <t>Long</t>
  </si>
  <si>
    <t>Had</t>
  </si>
  <si>
    <t>Int.</t>
  </si>
  <si>
    <t xml:space="preserve">Pct </t>
  </si>
  <si>
    <t>Int</t>
  </si>
  <si>
    <t>Gain</t>
  </si>
  <si>
    <t>Rating</t>
  </si>
  <si>
    <t>Punt Returns:</t>
  </si>
  <si>
    <t>No.</t>
  </si>
  <si>
    <t>FC</t>
  </si>
  <si>
    <t>Yrds</t>
  </si>
  <si>
    <t>Punting:</t>
  </si>
  <si>
    <t>Blk</t>
  </si>
  <si>
    <t>KO</t>
  </si>
  <si>
    <t>TB</t>
  </si>
  <si>
    <t>XPA</t>
  </si>
  <si>
    <t>XPM</t>
  </si>
  <si>
    <t>FGA</t>
  </si>
  <si>
    <t>FGM</t>
  </si>
  <si>
    <t>Kicking:</t>
  </si>
  <si>
    <t>Fum</t>
  </si>
  <si>
    <t>Interceptions:</t>
  </si>
  <si>
    <t>Made</t>
  </si>
  <si>
    <t>Games Played</t>
  </si>
  <si>
    <t>Replay</t>
  </si>
  <si>
    <t>Actual</t>
  </si>
  <si>
    <t xml:space="preserve"> Percent Total Yards - Passing</t>
  </si>
  <si>
    <t>:</t>
  </si>
  <si>
    <t>Average Possesion:</t>
  </si>
  <si>
    <t>Possesion:</t>
  </si>
  <si>
    <t>Fumble Recoveries:</t>
  </si>
  <si>
    <t>Rushing</t>
  </si>
  <si>
    <t>Passing</t>
  </si>
  <si>
    <t>Penalty</t>
  </si>
  <si>
    <t>Sacks:</t>
  </si>
  <si>
    <t>0-19</t>
  </si>
  <si>
    <t>20-29</t>
  </si>
  <si>
    <t>30-39</t>
  </si>
  <si>
    <t>40-49</t>
  </si>
  <si>
    <t>50+</t>
  </si>
  <si>
    <t>Sacks</t>
  </si>
  <si>
    <t>Actual:</t>
  </si>
  <si>
    <t>YPC</t>
  </si>
  <si>
    <t>ok</t>
  </si>
  <si>
    <t>Sack</t>
  </si>
  <si>
    <t>1981 Seattle Seahawks</t>
  </si>
  <si>
    <t>26:59</t>
  </si>
  <si>
    <t>33:01</t>
  </si>
  <si>
    <t>Adkins</t>
  </si>
  <si>
    <t>Brown,T</t>
  </si>
  <si>
    <t>Doornink</t>
  </si>
  <si>
    <t>Hughes</t>
  </si>
  <si>
    <t>Ivory</t>
  </si>
  <si>
    <t>Jodat</t>
  </si>
  <si>
    <t>Krieg</t>
  </si>
  <si>
    <t>Lane</t>
  </si>
  <si>
    <t>Largent</t>
  </si>
  <si>
    <t>Miller</t>
  </si>
  <si>
    <t>Moore</t>
  </si>
  <si>
    <t>Smith</t>
  </si>
  <si>
    <t>West</t>
  </si>
  <si>
    <t>Zorn</t>
  </si>
  <si>
    <t>August</t>
  </si>
  <si>
    <t>Boyd</t>
  </si>
  <si>
    <t>Johns</t>
  </si>
  <si>
    <t>McCullum</t>
  </si>
  <si>
    <t>McGrath</t>
  </si>
  <si>
    <t>Raible</t>
  </si>
  <si>
    <t>Sawyer</t>
  </si>
  <si>
    <t>Tice</t>
  </si>
  <si>
    <t>Johnson</t>
  </si>
  <si>
    <t>Lewis</t>
  </si>
  <si>
    <t>Cronan</t>
  </si>
  <si>
    <t>Dufek</t>
  </si>
  <si>
    <t>Garcia</t>
  </si>
  <si>
    <t>Alvarez</t>
  </si>
  <si>
    <t>Herrera</t>
  </si>
  <si>
    <t>Brown,D</t>
  </si>
  <si>
    <t>Butler</t>
  </si>
  <si>
    <t>Easley</t>
  </si>
  <si>
    <t>Harris</t>
  </si>
  <si>
    <t>Jackson</t>
  </si>
  <si>
    <t>Simpson</t>
  </si>
  <si>
    <t>Green</t>
  </si>
  <si>
    <t>Hardy</t>
  </si>
  <si>
    <t>Sutherland</t>
  </si>
  <si>
    <t>Tuiasosopo</t>
  </si>
  <si>
    <t>White</t>
  </si>
  <si>
    <t>Anderson</t>
  </si>
  <si>
    <t>Bailey</t>
  </si>
  <si>
    <t>Beeson</t>
  </si>
  <si>
    <t>Dugan</t>
  </si>
  <si>
    <t>Essink</t>
  </si>
  <si>
    <t>Flones</t>
  </si>
  <si>
    <t>Gaines</t>
  </si>
  <si>
    <t>Justin</t>
  </si>
  <si>
    <t>Kuehn</t>
  </si>
  <si>
    <t>Minor</t>
  </si>
  <si>
    <t>Newton</t>
  </si>
  <si>
    <t>Norman</t>
  </si>
  <si>
    <t>Thomas</t>
  </si>
  <si>
    <t>Turner</t>
  </si>
  <si>
    <t>Yarno</t>
  </si>
  <si>
    <t>Sea</t>
  </si>
  <si>
    <t>3rd Down Made/Att/Pct.</t>
  </si>
  <si>
    <t>Offense</t>
  </si>
  <si>
    <t>Defense</t>
  </si>
  <si>
    <t>vs</t>
  </si>
  <si>
    <t>1981 Game by Game Results</t>
  </si>
  <si>
    <t>Offensive MVP</t>
  </si>
  <si>
    <t>Defensive MVP</t>
  </si>
  <si>
    <t>Record</t>
  </si>
  <si>
    <t>San Diego</t>
  </si>
  <si>
    <t>L</t>
  </si>
  <si>
    <t>Houston</t>
  </si>
  <si>
    <t>at</t>
  </si>
  <si>
    <t>Cincinnati</t>
  </si>
  <si>
    <t>Points for Per Game</t>
  </si>
  <si>
    <t>W</t>
  </si>
  <si>
    <t xml:space="preserve"> Yards Per Game Rushing</t>
  </si>
  <si>
    <t>Pittsburgh</t>
  </si>
  <si>
    <t>Yards Per Game Passing</t>
  </si>
  <si>
    <t>Sacks Against</t>
  </si>
  <si>
    <t>Total Yards Per Game</t>
  </si>
  <si>
    <t>Denver</t>
  </si>
  <si>
    <t>Points against Per Game</t>
  </si>
  <si>
    <t>New York Jets</t>
  </si>
  <si>
    <t>Sacks  By</t>
  </si>
  <si>
    <t>1981 SEATTLE SEAHAWKS Replay at a Glance</t>
  </si>
  <si>
    <t>7-9-0</t>
  </si>
  <si>
    <t>6-10-0</t>
  </si>
  <si>
    <t>Oakland</t>
  </si>
  <si>
    <t>Kansas City</t>
  </si>
  <si>
    <t>New York Giants</t>
  </si>
  <si>
    <t>Green Bay</t>
  </si>
  <si>
    <t>Cleveland</t>
  </si>
  <si>
    <t>Steve Largent</t>
  </si>
  <si>
    <t>84 receptions, 1,316 yards, 2 TDs</t>
  </si>
  <si>
    <t>Jacob Green</t>
  </si>
  <si>
    <t>15.5 Sacks</t>
  </si>
  <si>
    <t xml:space="preserve">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</si>
</sst>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0"/>
    <numFmt numFmtId="175" formatCode="[$-409]h:mm:ss\ AM/PM"/>
    <numFmt numFmtId="176" formatCode="h:mm;@"/>
    <numFmt numFmtId="177" formatCode="mm:ss.0;@"/>
    <numFmt numFmtId="178" formatCode="0.0%"/>
  </numFmts>
  <fonts count="6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57"/>
      <name val="Arial"/>
      <family val="0"/>
    </font>
    <font>
      <i/>
      <sz val="10"/>
      <color indexed="9"/>
      <name val="Arial"/>
      <family val="0"/>
    </font>
    <font>
      <b/>
      <i/>
      <sz val="10"/>
      <color indexed="12"/>
      <name val="Arial"/>
      <family val="0"/>
    </font>
    <font>
      <i/>
      <sz val="10"/>
      <color indexed="12"/>
      <name val="Arial"/>
      <family val="0"/>
    </font>
    <font>
      <sz val="10"/>
      <color indexed="12"/>
      <name val="Arial"/>
      <family val="0"/>
    </font>
    <font>
      <i/>
      <sz val="9"/>
      <color indexed="12"/>
      <name val="Arial"/>
      <family val="0"/>
    </font>
    <font>
      <i/>
      <sz val="10"/>
      <color indexed="11"/>
      <name val="Arial"/>
      <family val="0"/>
    </font>
    <font>
      <b/>
      <i/>
      <sz val="10"/>
      <color indexed="23"/>
      <name val="Arial"/>
      <family val="0"/>
    </font>
    <font>
      <b/>
      <i/>
      <sz val="10"/>
      <color indexed="22"/>
      <name val="Arial"/>
      <family val="0"/>
    </font>
    <font>
      <b/>
      <i/>
      <sz val="10"/>
      <color indexed="22"/>
      <name val="Calibri"/>
      <family val="0"/>
    </font>
    <font>
      <b/>
      <sz val="12"/>
      <color indexed="2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1C7982"/>
      <name val="Arial"/>
      <family val="0"/>
    </font>
    <font>
      <i/>
      <sz val="10"/>
      <color theme="0"/>
      <name val="Arial"/>
      <family val="0"/>
    </font>
    <font>
      <b/>
      <i/>
      <sz val="10"/>
      <color rgb="FF0000BA"/>
      <name val="Arial"/>
      <family val="0"/>
    </font>
    <font>
      <i/>
      <sz val="10"/>
      <color rgb="FF0000BA"/>
      <name val="Arial"/>
      <family val="0"/>
    </font>
    <font>
      <sz val="10"/>
      <color rgb="FF0000BA"/>
      <name val="Arial"/>
      <family val="0"/>
    </font>
    <font>
      <i/>
      <sz val="10"/>
      <color rgb="FF00C400"/>
      <name val="Arial"/>
      <family val="0"/>
    </font>
    <font>
      <b/>
      <i/>
      <sz val="10"/>
      <color theme="0" tint="-0.24997000396251678"/>
      <name val="Arial"/>
      <family val="0"/>
    </font>
    <font>
      <b/>
      <sz val="12"/>
      <color theme="0" tint="-0.24997000396251678"/>
      <name val="Calibri"/>
      <family val="2"/>
    </font>
    <font>
      <i/>
      <sz val="9"/>
      <color rgb="FF0000BA"/>
      <name val="Arial"/>
      <family val="0"/>
    </font>
    <font>
      <b/>
      <i/>
      <sz val="10"/>
      <color theme="0" tint="-0.4999699890613556"/>
      <name val="Arial"/>
      <family val="0"/>
    </font>
    <font>
      <b/>
      <i/>
      <sz val="10"/>
      <color theme="0" tint="-0.2499700039625167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B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74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0" fontId="0" fillId="0" borderId="0" xfId="0" applyAlignment="1">
      <alignment horizontal="left"/>
    </xf>
    <xf numFmtId="178" fontId="0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0" fontId="50" fillId="34" borderId="11" xfId="0" applyFont="1" applyFill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 quotePrefix="1">
      <alignment horizontal="center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 horizontal="left"/>
    </xf>
    <xf numFmtId="14" fontId="54" fillId="0" borderId="0" xfId="0" applyNumberFormat="1" applyFont="1" applyBorder="1" applyAlignment="1" quotePrefix="1">
      <alignment horizontal="center"/>
    </xf>
    <xf numFmtId="0" fontId="54" fillId="0" borderId="15" xfId="0" applyFont="1" applyBorder="1" applyAlignment="1" quotePrefix="1">
      <alignment horizontal="center"/>
    </xf>
    <xf numFmtId="0" fontId="54" fillId="0" borderId="1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173" fontId="54" fillId="0" borderId="0" xfId="0" applyNumberFormat="1" applyFont="1" applyBorder="1" applyAlignment="1">
      <alignment horizontal="center"/>
    </xf>
    <xf numFmtId="173" fontId="54" fillId="0" borderId="15" xfId="0" applyNumberFormat="1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173" fontId="54" fillId="0" borderId="14" xfId="0" applyNumberFormat="1" applyFont="1" applyBorder="1" applyAlignment="1">
      <alignment horizontal="center"/>
    </xf>
    <xf numFmtId="173" fontId="54" fillId="0" borderId="10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0" fillId="34" borderId="12" xfId="0" applyFill="1" applyBorder="1" applyAlignment="1" quotePrefix="1">
      <alignment horizontal="center"/>
    </xf>
    <xf numFmtId="0" fontId="0" fillId="34" borderId="0" xfId="0" applyFill="1" applyBorder="1" applyAlignment="1" quotePrefix="1">
      <alignment horizontal="center"/>
    </xf>
    <xf numFmtId="0" fontId="0" fillId="34" borderId="0" xfId="0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14" fontId="0" fillId="34" borderId="12" xfId="0" applyNumberFormat="1" applyFill="1" applyBorder="1" applyAlignment="1" quotePrefix="1">
      <alignment horizontal="center"/>
    </xf>
    <xf numFmtId="14" fontId="0" fillId="34" borderId="0" xfId="0" applyNumberFormat="1" applyFill="1" applyBorder="1" applyAlignment="1" quotePrefix="1">
      <alignment horizontal="center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 quotePrefix="1">
      <alignment horizontal="center"/>
    </xf>
    <xf numFmtId="0" fontId="0" fillId="34" borderId="14" xfId="0" applyFill="1" applyBorder="1" applyAlignment="1" quotePrefix="1">
      <alignment horizontal="center"/>
    </xf>
    <xf numFmtId="0" fontId="0" fillId="34" borderId="14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center"/>
    </xf>
    <xf numFmtId="0" fontId="59" fillId="34" borderId="17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0</xdr:rowOff>
    </xdr:from>
    <xdr:to>
      <xdr:col>1</xdr:col>
      <xdr:colOff>571500</xdr:colOff>
      <xdr:row>3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2385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125" zoomScaleNormal="125" workbookViewId="0" topLeftCell="A1">
      <selection activeCell="H1" sqref="H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8515625" style="0" customWidth="1"/>
    <col min="15" max="15" width="7.00390625" style="0" customWidth="1"/>
  </cols>
  <sheetData>
    <row r="1" ht="12">
      <c r="A1" s="2" t="s">
        <v>109</v>
      </c>
    </row>
    <row r="2" spans="1:2" ht="12">
      <c r="A2" t="s">
        <v>87</v>
      </c>
      <c r="B2" s="2">
        <v>16</v>
      </c>
    </row>
    <row r="3" spans="1:8" ht="12">
      <c r="A3" s="2" t="s">
        <v>0</v>
      </c>
      <c r="H3" s="2" t="s">
        <v>48</v>
      </c>
    </row>
    <row r="4" spans="5:15" ht="12">
      <c r="E4" s="3" t="s">
        <v>88</v>
      </c>
      <c r="F4" s="3" t="s">
        <v>89</v>
      </c>
      <c r="N4" s="3" t="s">
        <v>88</v>
      </c>
      <c r="O4" s="3" t="s">
        <v>89</v>
      </c>
    </row>
    <row r="6" spans="1:15" ht="12">
      <c r="A6" s="1" t="s">
        <v>29</v>
      </c>
      <c r="D6" s="2">
        <f>+'at Cin'!D6+'vs Den'!D6+'at Oak'!D6+'vs KC'!D6+'at SD'!D6+'at Hou'!D6+'vs NYG'!D6+'at NYJ'!D6+'at GB'!D6+'vs Pit'!D6+'vs SD'!D6+'at KC'!D6+'vs Oak'!D6+'vs NYJ'!D6+'at Den'!D6+'vs Cle'!D6</f>
        <v>266</v>
      </c>
      <c r="E6" s="8">
        <f>+D6/$B$2</f>
        <v>16.625</v>
      </c>
      <c r="F6" s="8">
        <v>18.4375</v>
      </c>
      <c r="H6" s="1" t="s">
        <v>29</v>
      </c>
      <c r="M6" s="2">
        <f>+'at Cin'!M6+'vs Den'!M6+'at Oak'!M6+'vs KC'!M6+'at SD'!M6+'at Hou'!M6+'vs NYG'!M6+'at NYJ'!M6+'at GB'!M6+'vs Pit'!M6+'vs SD'!M6+'at KC'!M6+'vs Oak'!M6+'vs NYJ'!M6+'at Den'!M6+'vs Cle'!M6</f>
        <v>332</v>
      </c>
      <c r="N6" s="8">
        <f>+M6/$B$2</f>
        <v>20.75</v>
      </c>
      <c r="O6" s="8">
        <v>23.1875</v>
      </c>
    </row>
    <row r="7" spans="1:15" ht="12">
      <c r="A7" s="9" t="s">
        <v>95</v>
      </c>
      <c r="D7" s="2">
        <f>+'at Cin'!D7+'vs Den'!D7+'at Oak'!D7+'vs KC'!D7+'at SD'!D7+'at Hou'!D7+'vs NYG'!D7+'at NYJ'!D7+'at GB'!D7+'vs Pit'!D7+'vs SD'!D7+'at KC'!D7+'vs Oak'!D7+'vs NYJ'!D7+'at Den'!D7+'vs Cle'!D7</f>
        <v>88</v>
      </c>
      <c r="E7" s="8">
        <f>+D7/$B$2</f>
        <v>5.5</v>
      </c>
      <c r="F7" s="8">
        <v>6.4375</v>
      </c>
      <c r="H7" s="9" t="s">
        <v>95</v>
      </c>
      <c r="M7" s="2">
        <f>+'at Cin'!M7+'vs Den'!M7+'at Oak'!M7+'vs KC'!M7+'at SD'!M7+'at Hou'!M7+'vs NYG'!M7+'at NYJ'!M7+'at GB'!M7+'vs Pit'!M7+'vs SD'!M7+'at KC'!M7+'vs Oak'!M7+'vs NYJ'!M7+'at Den'!M7+'vs Cle'!M7</f>
        <v>133</v>
      </c>
      <c r="N7" s="8">
        <f>+M7/$B$2</f>
        <v>8.3125</v>
      </c>
      <c r="O7" s="8">
        <v>10.9375</v>
      </c>
    </row>
    <row r="8" spans="1:15" ht="12">
      <c r="A8" s="9" t="s">
        <v>96</v>
      </c>
      <c r="D8" s="2">
        <f>+'at Cin'!D8+'vs Den'!D8+'at Oak'!D8+'vs KC'!D8+'at SD'!D8+'at Hou'!D8+'vs NYG'!D8+'at NYJ'!D8+'at GB'!D8+'vs Pit'!D8+'vs SD'!D8+'at KC'!D8+'vs Oak'!D8+'vs NYJ'!D8+'at Den'!D8+'vs Cle'!D8</f>
        <v>155</v>
      </c>
      <c r="E8" s="8">
        <f>+D8/$B$2</f>
        <v>9.6875</v>
      </c>
      <c r="F8" s="8">
        <v>10.375</v>
      </c>
      <c r="H8" s="9" t="s">
        <v>96</v>
      </c>
      <c r="M8" s="2">
        <f>+'at Cin'!M8+'vs Den'!M8+'at Oak'!M8+'vs KC'!M8+'at SD'!M8+'at Hou'!M8+'vs NYG'!M8+'at NYJ'!M8+'at GB'!M8+'vs Pit'!M8+'vs SD'!M8+'at KC'!M8+'vs Oak'!M8+'vs NYJ'!M8+'at Den'!M8+'vs Cle'!M8</f>
        <v>169</v>
      </c>
      <c r="N8" s="8">
        <f>+M8/$B$2</f>
        <v>10.5625</v>
      </c>
      <c r="O8" s="8">
        <v>10.8125</v>
      </c>
    </row>
    <row r="9" spans="1:19" ht="12">
      <c r="A9" s="9" t="s">
        <v>97</v>
      </c>
      <c r="D9" s="2">
        <f>+'at Cin'!D9+'vs Den'!D9+'at Oak'!D9+'vs KC'!D9+'at SD'!D9+'at Hou'!D9+'vs NYG'!D9+'at NYJ'!D9+'at GB'!D9+'vs Pit'!D9+'vs SD'!D9+'at KC'!D9+'vs Oak'!D9+'vs NYJ'!D9+'at Den'!D9+'vs Cle'!D9</f>
        <v>23</v>
      </c>
      <c r="E9" s="8">
        <f>+D9/$B$2</f>
        <v>1.4375</v>
      </c>
      <c r="F9" s="8">
        <f>+F6-F7-F8</f>
        <v>1.625</v>
      </c>
      <c r="H9" s="9" t="s">
        <v>97</v>
      </c>
      <c r="M9" s="2">
        <f>+'at Cin'!M9+'vs Den'!M9+'at Oak'!M9+'vs KC'!M9+'at SD'!M9+'at Hou'!M9+'vs NYG'!M9+'at NYJ'!M9+'at GB'!M9+'vs Pit'!M9+'vs SD'!M9+'at KC'!M9+'vs Oak'!M9+'vs NYJ'!M9+'at Den'!M9+'vs Cle'!M9</f>
        <v>30</v>
      </c>
      <c r="N9" s="8">
        <f>+M9/$B$2</f>
        <v>1.875</v>
      </c>
      <c r="O9" s="8">
        <f>+O6-O7-O8</f>
        <v>1.4375</v>
      </c>
      <c r="R9" t="s">
        <v>169</v>
      </c>
      <c r="S9" t="s">
        <v>170</v>
      </c>
    </row>
    <row r="10" spans="1:19" ht="12">
      <c r="A10" s="21" t="s">
        <v>168</v>
      </c>
      <c r="C10" s="2">
        <f>+'at Cin'!C10+'vs Den'!C10+'at Oak'!C10+'vs KC'!C10+'at SD'!C10+'at Hou'!C10+'vs NYG'!C10+'at NYJ'!C10+'at GB'!C10+'vs Pit'!C10+'vs SD'!C10+'at KC'!C10+'vs Oak'!C10+'vs NYJ'!C10+'at Den'!C10+'vs Cle'!C10</f>
        <v>65</v>
      </c>
      <c r="D10" s="2">
        <f>+'at Cin'!D10+'vs Den'!D10+'at Oak'!D10+'vs KC'!D10+'at SD'!D10+'at Hou'!D10+'vs NYG'!D10+'at NYJ'!D10+'at GB'!D10+'vs Pit'!D10+'vs SD'!D10+'at KC'!D10+'vs Oak'!D10+'vs NYJ'!D10+'at Den'!D10+'vs Cle'!D10</f>
        <v>195</v>
      </c>
      <c r="E10" s="22">
        <f>+C10/D10</f>
        <v>0.3333333333333333</v>
      </c>
      <c r="F10" s="22">
        <v>0.373</v>
      </c>
      <c r="H10" s="21" t="s">
        <v>168</v>
      </c>
      <c r="L10" s="2">
        <f>+'at Cin'!L10+'vs Den'!L10+'at Oak'!L10+'vs KC'!L10+'at SD'!L10+'at Hou'!L10+'vs NYG'!L10+'at NYJ'!L10+'at GB'!L10+'vs Pit'!L10+'vs SD'!L10+'at KC'!L10+'vs Oak'!L10+'vs NYJ'!L10+'at Den'!L10+'vs Cle'!L10</f>
        <v>62</v>
      </c>
      <c r="M10" s="2">
        <f>+'at Cin'!M10+'vs Den'!M10+'at Oak'!M10+'vs KC'!M10+'at SD'!M10+'at Hou'!M10+'vs NYG'!M10+'at NYJ'!M10+'at GB'!M10+'vs Pit'!M10+'vs SD'!M10+'at KC'!M10+'vs Oak'!M10+'vs NYJ'!M10+'at Den'!M10+'vs Cle'!M10</f>
        <v>189</v>
      </c>
      <c r="N10" s="22">
        <f>+L10/M10</f>
        <v>0.328042328042328</v>
      </c>
      <c r="O10" s="22">
        <v>0.486</v>
      </c>
      <c r="R10" s="9" t="str">
        <f>+C10&amp;"/"&amp;D10</f>
        <v>65/195</v>
      </c>
      <c r="S10" s="9" t="str">
        <f>+L10&amp;"/"&amp;M10</f>
        <v>62/189</v>
      </c>
    </row>
    <row r="11" spans="5:15" ht="12">
      <c r="E11" s="8"/>
      <c r="F11" s="8"/>
      <c r="N11" s="8"/>
      <c r="O11" s="8"/>
    </row>
    <row r="12" spans="1:23" ht="12">
      <c r="A12" t="s">
        <v>1</v>
      </c>
      <c r="D12" s="2">
        <f>+'at Cin'!D12+'vs Den'!D12+'at Oak'!D12+'vs KC'!D12+'at SD'!D12+'at Hou'!D12+'vs NYG'!D12+'at NYJ'!D12+'at GB'!D12+'vs Pit'!D12+'vs SD'!D12+'at KC'!D12+'vs Oak'!D12+'vs NYJ'!D12+'at Den'!D12+'vs Cle'!D12</f>
        <v>452</v>
      </c>
      <c r="E12" s="8">
        <f>+D12/$B$2</f>
        <v>28.25</v>
      </c>
      <c r="F12" s="8">
        <v>27.5</v>
      </c>
      <c r="G12" t="str">
        <f>IF(D12=SUM(C51:C89),"ok","ERR")</f>
        <v>ok</v>
      </c>
      <c r="H12" t="s">
        <v>1</v>
      </c>
      <c r="M12" s="2">
        <f>+'at Cin'!M12+'vs Den'!M12+'at Oak'!M12+'vs KC'!M12+'at SD'!M12+'at Hou'!M12+'vs NYG'!M12+'at NYJ'!M12+'at GB'!M12+'vs Pit'!M12+'vs SD'!M12+'at KC'!M12+'vs Oak'!M12+'vs NYJ'!M12+'at Den'!M12+'vs Cle'!M12</f>
        <v>537</v>
      </c>
      <c r="N12" s="8">
        <f>+M12/$B$2</f>
        <v>33.5625</v>
      </c>
      <c r="O12" s="8">
        <v>36.75</v>
      </c>
      <c r="V12">
        <f>+D12</f>
        <v>452</v>
      </c>
      <c r="W12">
        <f>+M12</f>
        <v>537</v>
      </c>
    </row>
    <row r="13" spans="1:23" ht="12">
      <c r="A13" t="s">
        <v>2</v>
      </c>
      <c r="D13" s="2">
        <f>+'at Cin'!D13+'vs Den'!D13+'at Oak'!D13+'vs KC'!D13+'at SD'!D13+'at Hou'!D13+'vs NYG'!D13+'at NYJ'!D13+'at GB'!D13+'vs Pit'!D13+'vs SD'!D13+'at KC'!D13+'vs Oak'!D13+'vs NYJ'!D13+'at Den'!D13+'vs Cle'!D13</f>
        <v>1612</v>
      </c>
      <c r="E13" s="8">
        <f>+D13/$B$2</f>
        <v>100.75</v>
      </c>
      <c r="F13" s="8">
        <v>99.625</v>
      </c>
      <c r="G13" t="str">
        <f>IF(D13=SUM(D76:D89),"ok","ERR")</f>
        <v>ok</v>
      </c>
      <c r="H13" t="s">
        <v>2</v>
      </c>
      <c r="M13" s="2">
        <f>+'at Cin'!M13+'vs Den'!M13+'at Oak'!M13+'vs KC'!M13+'at SD'!M13+'at Hou'!M13+'vs NYG'!M13+'at NYJ'!M13+'at GB'!M13+'vs Pit'!M13+'vs SD'!M13+'at KC'!M13+'vs Oak'!M13+'vs NYJ'!M13+'at Den'!M13+'vs Cle'!M13</f>
        <v>2333</v>
      </c>
      <c r="N13" s="8">
        <f>+M13/$B$2</f>
        <v>145.8125</v>
      </c>
      <c r="O13" s="8">
        <v>175.375</v>
      </c>
      <c r="U13" s="13"/>
      <c r="V13">
        <f>+D17</f>
        <v>293</v>
      </c>
      <c r="W13">
        <f>+M17</f>
        <v>305</v>
      </c>
    </row>
    <row r="14" spans="1:23" ht="12">
      <c r="A14" s="1" t="s">
        <v>3</v>
      </c>
      <c r="D14" s="8">
        <f>+D13/D12</f>
        <v>3.566371681415929</v>
      </c>
      <c r="E14" s="8"/>
      <c r="F14" s="8">
        <f>+F13/F12</f>
        <v>3.6227272727272726</v>
      </c>
      <c r="H14" s="1" t="s">
        <v>3</v>
      </c>
      <c r="M14" s="8">
        <f>+M13/M12</f>
        <v>4.344506517690875</v>
      </c>
      <c r="N14" s="8"/>
      <c r="O14" s="8">
        <f>+O13/O12</f>
        <v>4.772108843537415</v>
      </c>
      <c r="V14">
        <f>+(D16-D17)/2</f>
        <v>112.5</v>
      </c>
      <c r="W14">
        <f>+(M16-M17)/2</f>
        <v>99</v>
      </c>
    </row>
    <row r="15" spans="5:23" ht="12">
      <c r="E15" s="8"/>
      <c r="F15" s="8"/>
      <c r="N15" s="8"/>
      <c r="O15" s="8"/>
      <c r="V15">
        <f>+D39/2</f>
        <v>44.5</v>
      </c>
      <c r="W15">
        <f>+M39/2</f>
        <v>42</v>
      </c>
    </row>
    <row r="16" spans="1:23" ht="12">
      <c r="A16" t="s">
        <v>4</v>
      </c>
      <c r="D16" s="2">
        <f>+'at Cin'!D16+'vs Den'!D16+'at Oak'!D16+'vs KC'!D16+'at SD'!D16+'at Hou'!D16+'vs NYG'!D16+'at NYJ'!D16+'at GB'!D16+'vs Pit'!D16+'vs SD'!D16+'at KC'!D16+'vs Oak'!D16+'vs NYJ'!D16+'at Den'!D16+'vs Cle'!D16</f>
        <v>518</v>
      </c>
      <c r="E16" s="8">
        <f>+D16/$B$2</f>
        <v>32.375</v>
      </c>
      <c r="F16" s="8">
        <v>32.75</v>
      </c>
      <c r="G16" t="str">
        <f>IF(D16=SUM(C113:C117),"ok","err")</f>
        <v>ok</v>
      </c>
      <c r="H16" t="s">
        <v>4</v>
      </c>
      <c r="M16" s="2">
        <f>+'at Cin'!M16+'vs Den'!M16+'at Oak'!M16+'vs KC'!M16+'at SD'!M16+'at Hou'!M16+'vs NYG'!M16+'at NYJ'!M16+'at GB'!M16+'vs Pit'!M16+'vs SD'!M16+'at KC'!M16+'vs Oak'!M16+'vs NYJ'!M16+'at Den'!M16+'vs Cle'!M16</f>
        <v>503</v>
      </c>
      <c r="N16" s="8">
        <f>+M16/$B$2</f>
        <v>31.4375</v>
      </c>
      <c r="O16" s="8">
        <v>31.375</v>
      </c>
      <c r="V16">
        <f>+D43/2</f>
        <v>26</v>
      </c>
      <c r="W16">
        <f>+M43/2</f>
        <v>27</v>
      </c>
    </row>
    <row r="17" spans="1:23" ht="12">
      <c r="A17" t="s">
        <v>5</v>
      </c>
      <c r="C17" t="str">
        <f>IF(D17=SUM(C92:C107),"ok","ERR")</f>
        <v>ok</v>
      </c>
      <c r="D17" s="2">
        <f>+'at Cin'!D17+'vs Den'!D17+'at Oak'!D17+'vs KC'!D17+'at SD'!D17+'at Hou'!D17+'vs NYG'!D17+'at NYJ'!D17+'at GB'!D17+'vs Pit'!D17+'vs SD'!D17+'at KC'!D17+'vs Oak'!D17+'vs NYJ'!D17+'at Den'!D17+'vs Cle'!D17</f>
        <v>293</v>
      </c>
      <c r="E17" s="8">
        <f>+D17/$B$2</f>
        <v>18.3125</v>
      </c>
      <c r="F17" s="8">
        <v>19.1875</v>
      </c>
      <c r="G17" t="str">
        <f>IF(D17=SUM(D113:D117),"ok","ERR")</f>
        <v>ok</v>
      </c>
      <c r="H17" t="s">
        <v>5</v>
      </c>
      <c r="M17" s="2">
        <f>+'at Cin'!M17+'vs Den'!M17+'at Oak'!M17+'vs KC'!M17+'at SD'!M17+'at Hou'!M17+'vs NYG'!M17+'at NYJ'!M17+'at GB'!M17+'vs Pit'!M17+'vs SD'!M17+'at KC'!M17+'vs Oak'!M17+'vs NYJ'!M17+'at Den'!M17+'vs Cle'!M17</f>
        <v>305</v>
      </c>
      <c r="N17" s="8">
        <f>+M17/$B$2</f>
        <v>19.0625</v>
      </c>
      <c r="O17" s="8">
        <v>18.375</v>
      </c>
      <c r="V17">
        <f>+D48/2</f>
        <v>31.5</v>
      </c>
      <c r="W17">
        <f>+M48/2</f>
        <v>24.5</v>
      </c>
    </row>
    <row r="18" spans="1:15" ht="12">
      <c r="A18" t="s">
        <v>6</v>
      </c>
      <c r="D18" s="8">
        <f>+D17/D16*100</f>
        <v>56.56370656370656</v>
      </c>
      <c r="E18" s="8">
        <f>+E17/E16*100</f>
        <v>56.56370656370656</v>
      </c>
      <c r="F18" s="8">
        <f>+F17/F16*100</f>
        <v>58.587786259541986</v>
      </c>
      <c r="H18" t="s">
        <v>6</v>
      </c>
      <c r="M18" s="8">
        <f>+M17/M16*100</f>
        <v>60.63618290258449</v>
      </c>
      <c r="N18" s="8">
        <f>+N17/N16*100</f>
        <v>60.63618290258449</v>
      </c>
      <c r="O18" s="8">
        <f>+O17/O16*100</f>
        <v>58.56573705179283</v>
      </c>
    </row>
    <row r="19" spans="1:24" ht="12">
      <c r="A19" t="s">
        <v>7</v>
      </c>
      <c r="C19" t="str">
        <f>IF(D19=SUM(D92:D107),"ok","ERR")</f>
        <v>ok</v>
      </c>
      <c r="D19" s="2">
        <f>+'at Cin'!D19+'vs Den'!D19+'at Oak'!D19+'vs KC'!D19+'at SD'!D19+'at Hou'!D19+'vs NYG'!D19+'at NYJ'!D19+'at GB'!D19+'vs Pit'!D19+'vs SD'!D19+'at KC'!D19+'vs Oak'!D19+'vs NYJ'!D19+'at Den'!D19+'vs Cle'!D19</f>
        <v>3347</v>
      </c>
      <c r="E19" s="8">
        <f>+D19/$B$2</f>
        <v>209.1875</v>
      </c>
      <c r="F19" s="8">
        <v>232.9375</v>
      </c>
      <c r="G19" t="str">
        <f>IF(D19=SUM(F113:F117),"ok","ERR")</f>
        <v>ok</v>
      </c>
      <c r="H19" t="s">
        <v>7</v>
      </c>
      <c r="M19" s="2">
        <f>+'at Cin'!M19+'vs Den'!M19+'at Oak'!M19+'vs KC'!M19+'at SD'!M19+'at Hou'!M19+'vs NYG'!M19+'at NYJ'!M19+'at GB'!M19+'vs Pit'!M19+'vs SD'!M19+'at KC'!M19+'vs Oak'!M19+'vs NYJ'!M19+'at Den'!M19+'vs Cle'!M19</f>
        <v>3629</v>
      </c>
      <c r="N19" s="8">
        <f>+M19/$B$2</f>
        <v>226.8125</v>
      </c>
      <c r="O19" s="8">
        <v>212.125</v>
      </c>
      <c r="V19">
        <f>SUM(V12:V17)</f>
        <v>959.5</v>
      </c>
      <c r="W19">
        <f>SUM(W12:W17)</f>
        <v>1034.5</v>
      </c>
      <c r="X19">
        <f>+W19+V19</f>
        <v>1994</v>
      </c>
    </row>
    <row r="20" spans="1:23" ht="12">
      <c r="A20" t="s">
        <v>8</v>
      </c>
      <c r="D20" s="2">
        <f>+'at Cin'!D20+'vs Den'!D20+'at Oak'!D20+'vs KC'!D20+'at SD'!D20+'at Hou'!D20+'vs NYG'!D20+'at NYJ'!D20+'at GB'!D20+'vs Pit'!D20+'vs SD'!D20+'at KC'!D20+'vs Oak'!D20+'vs NYJ'!D20+'at Den'!D20+'vs Cle'!D20</f>
        <v>43</v>
      </c>
      <c r="E20" s="8">
        <f>+D20/$B$2</f>
        <v>2.6875</v>
      </c>
      <c r="F20" s="8">
        <v>2.3125</v>
      </c>
      <c r="G20" t="str">
        <f>IF(D20=SUM(O113:O117),"ok","ERR")</f>
        <v>ok</v>
      </c>
      <c r="H20" t="s">
        <v>8</v>
      </c>
      <c r="M20" s="2">
        <f>+'at Cin'!M20+'vs Den'!M20+'at Oak'!M20+'vs KC'!M20+'at SD'!M20+'at Hou'!M20+'vs NYG'!M20+'at NYJ'!M20+'at GB'!M20+'vs Pit'!M20+'vs SD'!M20+'at KC'!M20+'vs Oak'!M20+'vs NYJ'!M20+'at Den'!M20+'vs Cle'!M20</f>
        <v>42</v>
      </c>
      <c r="N20" s="8">
        <f>+M20/$B$2</f>
        <v>2.625</v>
      </c>
      <c r="O20" s="8">
        <v>2.25</v>
      </c>
      <c r="P20" t="str">
        <f>IF(M20=SUM(C169:C183),"ok","ERR")</f>
        <v>ok</v>
      </c>
      <c r="V20">
        <f>+V19/X19</f>
        <v>0.4811935807422267</v>
      </c>
      <c r="W20">
        <f>+W19/X19</f>
        <v>0.5188064192577733</v>
      </c>
    </row>
    <row r="21" spans="1:23" ht="12">
      <c r="A21" t="s">
        <v>9</v>
      </c>
      <c r="D21" s="2">
        <f>+'at Cin'!D21+'vs Den'!D21+'at Oak'!D21+'vs KC'!D21+'at SD'!D21+'at Hou'!D21+'vs NYG'!D21+'at NYJ'!D21+'at GB'!D21+'vs Pit'!D21+'vs SD'!D21+'at KC'!D21+'vs Oak'!D21+'vs NYJ'!D21+'at Den'!D21+'vs Cle'!D21</f>
        <v>298</v>
      </c>
      <c r="E21" s="8">
        <f>+D21/$B$2</f>
        <v>18.625</v>
      </c>
      <c r="F21" s="8">
        <v>18.75</v>
      </c>
      <c r="H21" t="s">
        <v>9</v>
      </c>
      <c r="M21" s="2">
        <f>+'at Cin'!M21+'vs Den'!M21+'at Oak'!M21+'vs KC'!M21+'at SD'!M21+'at Hou'!M21+'vs NYG'!M21+'at NYJ'!M21+'at GB'!M21+'vs Pit'!M21+'vs SD'!M21+'at KC'!M21+'vs Oak'!M21+'vs NYJ'!M21+'at Den'!M21+'vs Cle'!M21</f>
        <v>334</v>
      </c>
      <c r="N21" s="8">
        <f>+M21/$B$2</f>
        <v>20.875</v>
      </c>
      <c r="O21" s="8">
        <v>16.25</v>
      </c>
      <c r="P21" t="str">
        <f>IF(M21=SUM(D169:D183),"ok","ERR")</f>
        <v>ok</v>
      </c>
      <c r="V21">
        <f>+V20*60</f>
        <v>28.8716148445336</v>
      </c>
      <c r="W21">
        <f>+W20*60</f>
        <v>31.128385155466397</v>
      </c>
    </row>
    <row r="22" spans="1:23" ht="12">
      <c r="A22" t="s">
        <v>10</v>
      </c>
      <c r="D22">
        <f>+D19-D21</f>
        <v>3049</v>
      </c>
      <c r="E22" s="8">
        <f>+D22/B2</f>
        <v>190.5625</v>
      </c>
      <c r="F22" s="8">
        <f>+F19-F21</f>
        <v>214.1875</v>
      </c>
      <c r="H22" t="s">
        <v>10</v>
      </c>
      <c r="M22">
        <f>+M19-M21</f>
        <v>3295</v>
      </c>
      <c r="N22" s="8">
        <f>+M22/B2</f>
        <v>205.9375</v>
      </c>
      <c r="O22" s="8">
        <f>+O19-O21</f>
        <v>195.875</v>
      </c>
      <c r="V22">
        <f>+V21-INT(V21)</f>
        <v>0.8716148445335996</v>
      </c>
      <c r="W22">
        <f>+W21-INT(W21)</f>
        <v>0.12838515546639684</v>
      </c>
    </row>
    <row r="23" spans="1:23" ht="12">
      <c r="A23" t="s">
        <v>11</v>
      </c>
      <c r="D23" s="7">
        <f>+D22/(D16+D20)</f>
        <v>5.434937611408199</v>
      </c>
      <c r="E23" s="8"/>
      <c r="F23" s="7">
        <f>+F22/(F16+F20)</f>
        <v>6.10873440285205</v>
      </c>
      <c r="H23" t="s">
        <v>11</v>
      </c>
      <c r="M23" s="7">
        <f>+M22/(M16+M20)</f>
        <v>6.045871559633028</v>
      </c>
      <c r="N23" s="8"/>
      <c r="O23" s="7">
        <f>+O22/(O16+O20)</f>
        <v>5.825278810408922</v>
      </c>
      <c r="V23">
        <f>+V22*60</f>
        <v>52.29689067201598</v>
      </c>
      <c r="W23">
        <f>+W22*60</f>
        <v>7.70310932798381</v>
      </c>
    </row>
    <row r="24" spans="1:23" ht="12">
      <c r="A24" t="s">
        <v>12</v>
      </c>
      <c r="D24" s="7">
        <f>+D19/D17</f>
        <v>11.42320819112628</v>
      </c>
      <c r="E24" s="8"/>
      <c r="F24" s="7">
        <f>+F19/F17</f>
        <v>12.140065146579804</v>
      </c>
      <c r="H24" t="s">
        <v>12</v>
      </c>
      <c r="M24" s="7">
        <f>+M19/M17</f>
        <v>11.898360655737704</v>
      </c>
      <c r="N24" s="8"/>
      <c r="O24" s="7">
        <f>+O19/O17</f>
        <v>11.54421768707483</v>
      </c>
      <c r="U24">
        <v>0</v>
      </c>
      <c r="V24" s="11">
        <f>ROUND(V23,0)</f>
        <v>52</v>
      </c>
      <c r="W24">
        <f>ROUND(W23,0)</f>
        <v>8</v>
      </c>
    </row>
    <row r="25" spans="5:23" ht="12">
      <c r="E25" s="8"/>
      <c r="F25" s="8"/>
      <c r="N25" s="8"/>
      <c r="O25" s="8"/>
      <c r="V25">
        <f>INT(V21)</f>
        <v>28</v>
      </c>
      <c r="W25">
        <f>INT(W21)</f>
        <v>31</v>
      </c>
    </row>
    <row r="26" spans="1:23" ht="12">
      <c r="A26" t="s">
        <v>13</v>
      </c>
      <c r="E26" s="8"/>
      <c r="F26" s="8"/>
      <c r="H26" t="s">
        <v>13</v>
      </c>
      <c r="N26" s="8"/>
      <c r="O26" s="8"/>
      <c r="V26" t="s">
        <v>91</v>
      </c>
      <c r="W26" t="s">
        <v>91</v>
      </c>
    </row>
    <row r="27" spans="1:23" ht="12">
      <c r="A27" t="s">
        <v>14</v>
      </c>
      <c r="D27">
        <f>+D22+D13</f>
        <v>4661</v>
      </c>
      <c r="E27" s="8">
        <f>+D27/B2</f>
        <v>291.3125</v>
      </c>
      <c r="F27">
        <f>+F22+F13</f>
        <v>313.8125</v>
      </c>
      <c r="H27" t="s">
        <v>14</v>
      </c>
      <c r="M27">
        <f>+M22+M13</f>
        <v>5628</v>
      </c>
      <c r="N27" s="8">
        <f>+M27/B2</f>
        <v>351.75</v>
      </c>
      <c r="O27">
        <f>+O22+O13</f>
        <v>371.25</v>
      </c>
      <c r="V27" s="14" t="str">
        <f>+V25&amp;V26&amp;V24</f>
        <v>28:52</v>
      </c>
      <c r="W27" s="9" t="str">
        <f>+W25&amp;W26&amp;W24</f>
        <v>31:8</v>
      </c>
    </row>
    <row r="28" spans="1:23" ht="12">
      <c r="A28" t="s">
        <v>15</v>
      </c>
      <c r="D28" s="7">
        <f>+D13/D27*100</f>
        <v>34.58485303582922</v>
      </c>
      <c r="E28" s="8"/>
      <c r="F28" s="7">
        <f>+F13/F27*100</f>
        <v>31.746664011153158</v>
      </c>
      <c r="H28" t="s">
        <v>15</v>
      </c>
      <c r="M28" s="7">
        <f>+M13/M27*100</f>
        <v>41.453447050461975</v>
      </c>
      <c r="N28" s="8"/>
      <c r="O28" s="7">
        <f>+O13/O27*100</f>
        <v>47.23905723905724</v>
      </c>
      <c r="V28" s="9" t="str">
        <f>IF(V24&lt;10,+V25&amp;V26&amp;$U$24&amp;V24,+V25&amp;V26&amp;V24)</f>
        <v>28:52</v>
      </c>
      <c r="W28" s="9" t="str">
        <f>IF(W24&lt;10,+W25&amp;W26&amp;$U$24&amp;W24,+W25&amp;W26&amp;W24)</f>
        <v>31:08</v>
      </c>
    </row>
    <row r="29" spans="1:15" ht="12">
      <c r="A29" s="1" t="s">
        <v>90</v>
      </c>
      <c r="D29" s="7">
        <f>+D22/D27*100</f>
        <v>65.41514696417077</v>
      </c>
      <c r="E29" s="8"/>
      <c r="F29" s="7">
        <f>+F22/F27*100</f>
        <v>68.25333598884684</v>
      </c>
      <c r="H29" s="1" t="s">
        <v>90</v>
      </c>
      <c r="M29" s="7">
        <f>+M22/M27*100</f>
        <v>58.546552949538025</v>
      </c>
      <c r="N29" s="8"/>
      <c r="O29" s="7">
        <f>+O22/O27*100</f>
        <v>52.76094276094276</v>
      </c>
    </row>
    <row r="30" spans="5:15" ht="12">
      <c r="E30" s="8"/>
      <c r="F30" s="8"/>
      <c r="N30" s="8"/>
      <c r="O30" s="8"/>
    </row>
    <row r="31" spans="1:18" ht="12">
      <c r="A31" t="s">
        <v>16</v>
      </c>
      <c r="D31">
        <f>+D12+D16+D20</f>
        <v>1013</v>
      </c>
      <c r="E31" s="8">
        <f>+D31/$B$2</f>
        <v>63.3125</v>
      </c>
      <c r="F31">
        <f>+F12+F16+F20</f>
        <v>62.5625</v>
      </c>
      <c r="H31" t="s">
        <v>16</v>
      </c>
      <c r="M31">
        <f>+M12+M16+M20</f>
        <v>1082</v>
      </c>
      <c r="N31" s="8">
        <f>+M31/$B$2</f>
        <v>67.625</v>
      </c>
      <c r="O31">
        <f>+O12+O16+O20</f>
        <v>70.375</v>
      </c>
      <c r="R31">
        <f>+O31+F31</f>
        <v>132.9375</v>
      </c>
    </row>
    <row r="32" spans="1:15" ht="12">
      <c r="A32" t="s">
        <v>17</v>
      </c>
      <c r="D32" s="8">
        <f>+D27/D31</f>
        <v>4.601184600197433</v>
      </c>
      <c r="E32" s="8"/>
      <c r="F32" s="8">
        <f>+F27/F31</f>
        <v>5.015984015984016</v>
      </c>
      <c r="G32" s="7"/>
      <c r="H32" s="7" t="s">
        <v>17</v>
      </c>
      <c r="I32" s="7"/>
      <c r="J32" s="7"/>
      <c r="K32" s="7"/>
      <c r="L32" s="7"/>
      <c r="M32" s="8">
        <f>+M27/M31</f>
        <v>5.2014787430683915</v>
      </c>
      <c r="N32" s="8"/>
      <c r="O32" s="8">
        <f>+O27/O31</f>
        <v>5.275310834813499</v>
      </c>
    </row>
    <row r="33" spans="5:15" ht="12">
      <c r="E33" s="8"/>
      <c r="F33" s="8"/>
      <c r="N33" s="8"/>
      <c r="O33" s="8"/>
    </row>
    <row r="34" spans="1:15" ht="12">
      <c r="A34" t="s">
        <v>18</v>
      </c>
      <c r="E34" s="8"/>
      <c r="F34" s="8"/>
      <c r="H34" t="s">
        <v>18</v>
      </c>
      <c r="N34" s="8"/>
      <c r="O34" s="8"/>
    </row>
    <row r="35" spans="1:16" ht="12">
      <c r="A35" t="s">
        <v>19</v>
      </c>
      <c r="D35" s="2">
        <f>+'at Cin'!D35+'vs Den'!D35+'at Oak'!D35+'vs KC'!D35+'at SD'!D35+'at Hou'!D35+'vs NYG'!D35+'at NYJ'!D35+'at GB'!D35+'vs Pit'!D35+'vs SD'!D35+'at KC'!D35+'vs Oak'!D35+'vs NYJ'!D35+'at Den'!D35+'vs Cle'!D35</f>
        <v>15</v>
      </c>
      <c r="E35" s="8">
        <f>+D35/$B$2</f>
        <v>0.9375</v>
      </c>
      <c r="F35" s="8">
        <v>1.3125</v>
      </c>
      <c r="G35" t="str">
        <f>IF(D35=SUM(I113:I117),"ok","ERR")</f>
        <v>ok</v>
      </c>
      <c r="H35" t="s">
        <v>19</v>
      </c>
      <c r="M35" s="2">
        <f>+'at Cin'!M35+'vs Den'!M35+'at Oak'!M35+'vs KC'!M35+'at SD'!M35+'at Hou'!M35+'vs NYG'!M35+'at NYJ'!M35+'at GB'!M35+'vs Pit'!M35+'vs SD'!M35+'at KC'!M35+'vs Oak'!M35+'vs NYJ'!M35+'at Den'!M35+'vs Cle'!M35</f>
        <v>19</v>
      </c>
      <c r="N35" s="8">
        <f>+M35/$B$2</f>
        <v>1.1875</v>
      </c>
      <c r="O35" s="8">
        <v>0.9375</v>
      </c>
      <c r="P35" t="str">
        <f>IF(M35=SUM(C154:C166),"ok","ERR")</f>
        <v>ok</v>
      </c>
    </row>
    <row r="36" spans="1:16" ht="12">
      <c r="A36" t="s">
        <v>20</v>
      </c>
      <c r="D36" s="2">
        <f>+'at Cin'!D36+'vs Den'!D36+'at Oak'!D36+'vs KC'!D36+'at SD'!D36+'at Hou'!D36+'vs NYG'!D36+'at NYJ'!D36+'at GB'!D36+'vs Pit'!D36+'vs SD'!D36+'at KC'!D36+'vs Oak'!D36+'vs NYJ'!D36+'at Den'!D36+'vs Cle'!D36</f>
        <v>89</v>
      </c>
      <c r="E36" s="8"/>
      <c r="F36" s="8"/>
      <c r="H36" t="s">
        <v>20</v>
      </c>
      <c r="M36" s="2">
        <f>+'at Cin'!M36+'vs Den'!M36+'at Oak'!M36+'vs KC'!M36+'at SD'!M36+'at Hou'!M36+'vs NYG'!M36+'at NYJ'!M36+'at GB'!M36+'vs Pit'!M36+'vs SD'!M36+'at KC'!M36+'vs Oak'!M36+'vs NYJ'!M36+'at Den'!M36+'vs Cle'!M36</f>
        <v>457</v>
      </c>
      <c r="N36" s="8"/>
      <c r="O36" s="8"/>
      <c r="P36" t="str">
        <f>IF(M36=SUM(D154:D166),"ok","ERR")</f>
        <v>ok</v>
      </c>
    </row>
    <row r="37" spans="1:15" ht="12">
      <c r="A37" t="s">
        <v>21</v>
      </c>
      <c r="D37" s="2">
        <f>+'at Cin'!D37+'vs Den'!D37+'at Oak'!D37+'vs KC'!D37+'at SD'!D37+'at Hou'!D37+'vs NYG'!D37+'at NYJ'!D37+'at GB'!D37+'vs Pit'!D37+'vs SD'!D37+'at KC'!D37+'vs Oak'!D37+'vs NYJ'!D37+'at Den'!D37+'vs Cle'!D37</f>
        <v>0</v>
      </c>
      <c r="E37" s="8"/>
      <c r="F37" s="8"/>
      <c r="H37" t="s">
        <v>21</v>
      </c>
      <c r="M37" s="2">
        <f>+'at Cin'!M37+'vs Den'!M37+'at Oak'!M37+'vs KC'!M37+'at SD'!M37+'at Hou'!M37+'vs NYG'!M37+'at NYJ'!M37+'at GB'!M37+'vs Pit'!M37+'vs SD'!M37+'at KC'!M37+'vs Oak'!M37+'vs NYJ'!M37+'at Den'!M37+'vs Cle'!M37</f>
        <v>4</v>
      </c>
      <c r="N37" s="8"/>
      <c r="O37" s="8"/>
    </row>
    <row r="38" spans="5:15" ht="12">
      <c r="E38" s="8"/>
      <c r="F38" s="8"/>
      <c r="N38" s="8"/>
      <c r="O38" s="8"/>
    </row>
    <row r="39" spans="1:15" ht="12">
      <c r="A39" t="s">
        <v>22</v>
      </c>
      <c r="D39" s="2">
        <f>+'at Cin'!D39+'vs Den'!D39+'at Oak'!D39+'vs KC'!D39+'at SD'!D39+'at Hou'!D39+'vs NYG'!D39+'at NYJ'!D39+'at GB'!D39+'vs Pit'!D39+'vs SD'!D39+'at KC'!D39+'vs Oak'!D39+'vs NYJ'!D39+'at Den'!D39+'vs Cle'!D39</f>
        <v>89</v>
      </c>
      <c r="E39" s="8">
        <f>+D39/$B$2</f>
        <v>5.5625</v>
      </c>
      <c r="F39" s="8">
        <v>4.25</v>
      </c>
      <c r="G39" t="str">
        <f>IF(D39=SUM(C142:C144),"ok","ERR")</f>
        <v>ok</v>
      </c>
      <c r="H39" t="s">
        <v>22</v>
      </c>
      <c r="M39" s="2">
        <f>+'at Cin'!M39+'vs Den'!M39+'at Oak'!M39+'vs KC'!M39+'at SD'!M39+'at Hou'!M39+'vs NYG'!M39+'at NYJ'!M39+'at GB'!M39+'vs Pit'!M39+'vs SD'!M39+'at KC'!M39+'vs Oak'!M39+'vs NYJ'!M39+'at Den'!M39+'vs Cle'!M39</f>
        <v>84</v>
      </c>
      <c r="N39" s="8">
        <f>+M39/$B$2</f>
        <v>5.25</v>
      </c>
      <c r="O39" s="8">
        <v>3.4375</v>
      </c>
    </row>
    <row r="40" spans="1:15" ht="12">
      <c r="A40" t="s">
        <v>23</v>
      </c>
      <c r="D40" s="2">
        <f>+'at Cin'!D40+'vs Den'!D40+'at Oak'!D40+'vs KC'!D40+'at SD'!D40+'at Hou'!D40+'vs NYG'!D40+'at NYJ'!D40+'at GB'!D40+'vs Pit'!D40+'vs SD'!D40+'at KC'!D40+'vs Oak'!D40+'vs NYJ'!D40+'at Den'!D40+'vs Cle'!D40</f>
        <v>3506</v>
      </c>
      <c r="E40" s="8">
        <f>+D40/$B$2</f>
        <v>219.125</v>
      </c>
      <c r="F40" s="8">
        <v>165.75</v>
      </c>
      <c r="G40" t="str">
        <f>IF(D40=SUM(D142:D144),"ok","ERR")</f>
        <v>ok</v>
      </c>
      <c r="H40" t="s">
        <v>23</v>
      </c>
      <c r="M40" s="2">
        <f>+'at Cin'!M40+'vs Den'!M40+'at Oak'!M40+'vs KC'!M40+'at SD'!M40+'at Hou'!M40+'vs NYG'!M40+'at NYJ'!M40+'at GB'!M40+'vs Pit'!M40+'vs SD'!M40+'at KC'!M40+'vs Oak'!M40+'vs NYJ'!M40+'at Den'!M40+'vs Cle'!M40</f>
        <v>3362</v>
      </c>
      <c r="N40" s="8">
        <f>+M40/$B$2</f>
        <v>210.125</v>
      </c>
      <c r="O40" s="8">
        <v>146.0625</v>
      </c>
    </row>
    <row r="41" spans="1:15" ht="12">
      <c r="A41" t="s">
        <v>24</v>
      </c>
      <c r="D41" s="8">
        <f>+D40/D39</f>
        <v>39.39325842696629</v>
      </c>
      <c r="E41" s="8"/>
      <c r="F41" s="8">
        <f>+F40/F39</f>
        <v>39</v>
      </c>
      <c r="G41" s="7"/>
      <c r="H41" s="7" t="s">
        <v>24</v>
      </c>
      <c r="I41" s="7"/>
      <c r="J41" s="7"/>
      <c r="K41" s="7"/>
      <c r="L41" s="7"/>
      <c r="M41" s="8">
        <f>+M40/M39</f>
        <v>40.023809523809526</v>
      </c>
      <c r="N41" s="8"/>
      <c r="O41" s="8">
        <f>+O40/O39</f>
        <v>42.49090909090909</v>
      </c>
    </row>
    <row r="42" spans="5:15" ht="12">
      <c r="E42" s="8"/>
      <c r="F42" s="8"/>
      <c r="N42" s="8"/>
      <c r="O42" s="8"/>
    </row>
    <row r="43" spans="1:15" ht="12">
      <c r="A43" t="s">
        <v>25</v>
      </c>
      <c r="D43" s="2">
        <f>+'at Cin'!D43+'vs Den'!D43+'at Oak'!D43+'vs KC'!D43+'at SD'!D43+'at Hou'!D43+'vs NYG'!D43+'at NYJ'!D43+'at GB'!D43+'vs Pit'!D43+'vs SD'!D43+'at KC'!D43+'vs Oak'!D43+'vs NYJ'!D43+'at Den'!D43+'vs Cle'!D43</f>
        <v>52</v>
      </c>
      <c r="E43" s="8">
        <f>+D43/$B$2</f>
        <v>3.25</v>
      </c>
      <c r="F43" s="8">
        <v>2</v>
      </c>
      <c r="G43" t="str">
        <f>IF(D43=SUM(C120:C125),"ok","ERR")</f>
        <v>ok</v>
      </c>
      <c r="H43" t="s">
        <v>25</v>
      </c>
      <c r="M43" s="2">
        <f>+'at Cin'!M43+'vs Den'!M43+'at Oak'!M43+'vs KC'!M43+'at SD'!M43+'at Hou'!M43+'vs NYG'!M43+'at NYJ'!M43+'at GB'!M43+'vs Pit'!M43+'vs SD'!M43+'at KC'!M43+'vs Oak'!M43+'vs NYJ'!M43+'at Den'!M43+'vs Cle'!M43</f>
        <v>54</v>
      </c>
      <c r="N43" s="8">
        <f>+M43/$B$2</f>
        <v>3.375</v>
      </c>
      <c r="O43" s="8">
        <v>2.0625</v>
      </c>
    </row>
    <row r="44" spans="1:15" ht="12">
      <c r="A44" t="s">
        <v>26</v>
      </c>
      <c r="D44" s="2">
        <f>+'at Cin'!D44+'vs Den'!D44+'at Oak'!D44+'vs KC'!D44+'at SD'!D44+'at Hou'!D44+'vs NYG'!D44+'at NYJ'!D44+'at GB'!D44+'vs Pit'!D44+'vs SD'!D44+'at KC'!D44+'vs Oak'!D44+'vs NYJ'!D44+'at Den'!D44+'vs Cle'!D44</f>
        <v>408</v>
      </c>
      <c r="E44" s="8">
        <f>+D44/$B$2</f>
        <v>25.5</v>
      </c>
      <c r="F44" s="8">
        <v>18.3125</v>
      </c>
      <c r="G44" t="str">
        <f>IF(D44=SUM(E120:E125),"ok","ERR")</f>
        <v>ok</v>
      </c>
      <c r="H44" t="s">
        <v>26</v>
      </c>
      <c r="M44" s="2">
        <f>+'at Cin'!M44+'vs Den'!M44+'at Oak'!M44+'vs KC'!M44+'at SD'!M44+'at Hou'!M44+'vs NYG'!M44+'at NYJ'!M44+'at GB'!M44+'vs Pit'!M44+'vs SD'!M44+'at KC'!M44+'vs Oak'!M44+'vs NYJ'!M44+'at Den'!M44+'vs Cle'!M44</f>
        <v>278</v>
      </c>
      <c r="N44" s="8">
        <f>+M44/$B$2</f>
        <v>17.375</v>
      </c>
      <c r="O44" s="8">
        <v>9.5625</v>
      </c>
    </row>
    <row r="45" spans="1:15" ht="12">
      <c r="A45" t="s">
        <v>27</v>
      </c>
      <c r="D45" s="8">
        <f>+D44/D43</f>
        <v>7.846153846153846</v>
      </c>
      <c r="E45" s="8"/>
      <c r="F45" s="8">
        <f>+F44/F43</f>
        <v>9.15625</v>
      </c>
      <c r="H45" t="s">
        <v>27</v>
      </c>
      <c r="M45" s="8">
        <f>+M44/M43</f>
        <v>5.148148148148148</v>
      </c>
      <c r="N45" s="8"/>
      <c r="O45" s="8">
        <f>+O44/O43</f>
        <v>4.636363636363637</v>
      </c>
    </row>
    <row r="46" spans="1:15" ht="12">
      <c r="A46" t="s">
        <v>28</v>
      </c>
      <c r="D46" s="2">
        <f>+'at Cin'!D46+'vs Den'!D46+'at Oak'!D46+'vs KC'!D46+'at SD'!D46+'at Hou'!D46+'vs NYG'!D46+'at NYJ'!D46+'at GB'!D46+'vs Pit'!D46+'vs SD'!D46+'at KC'!D46+'vs Oak'!D46+'vs NYJ'!D46+'at Den'!D46+'vs Cle'!D46</f>
        <v>0</v>
      </c>
      <c r="E46" s="8"/>
      <c r="F46" s="8"/>
      <c r="H46" t="s">
        <v>28</v>
      </c>
      <c r="M46" s="2">
        <f>+'at Cin'!M46+'vs Den'!M46+'at Oak'!M46+'vs KC'!M46+'at SD'!M46+'at Hou'!M46+'vs NYG'!M46+'at NYJ'!M46+'at GB'!M46+'vs Pit'!M46+'vs SD'!M46+'at KC'!M46+'vs Oak'!M46+'vs NYJ'!M46+'at Den'!M46+'vs Cle'!M46</f>
        <v>0</v>
      </c>
      <c r="N46" s="8"/>
      <c r="O46" s="8"/>
    </row>
    <row r="47" spans="5:15" ht="12">
      <c r="E47" s="8"/>
      <c r="F47" s="8"/>
      <c r="N47" s="8"/>
      <c r="O47" s="8"/>
    </row>
    <row r="48" spans="1:15" ht="12">
      <c r="A48" t="s">
        <v>30</v>
      </c>
      <c r="D48" s="2">
        <f>+'at Cin'!D48+'vs Den'!D48+'at Oak'!D48+'vs KC'!D48+'at SD'!D48+'at Hou'!D48+'vs NYG'!D48+'at NYJ'!D48+'at GB'!D48+'vs Pit'!D48+'vs SD'!D48+'at KC'!D48+'vs Oak'!D48+'vs NYJ'!D48+'at Den'!D48+'vs Cle'!D48</f>
        <v>63</v>
      </c>
      <c r="E48" s="8">
        <f>+D48/$B$2</f>
        <v>3.9375</v>
      </c>
      <c r="F48" s="8">
        <v>4.3125</v>
      </c>
      <c r="G48" t="str">
        <f>IF(D48=SUM(C131:C139),"ok","ERR")</f>
        <v>ok</v>
      </c>
      <c r="H48" t="s">
        <v>30</v>
      </c>
      <c r="M48" s="2">
        <f>+'at Cin'!M48+'vs Den'!M48+'at Oak'!M48+'vs KC'!M48+'at SD'!M48+'at Hou'!M48+'vs NYG'!M48+'at NYJ'!M48+'at GB'!M48+'vs Pit'!M48+'vs SD'!M48+'at KC'!M48+'vs Oak'!M48+'vs NYJ'!M48+'at Den'!M48+'vs Cle'!M48</f>
        <v>49</v>
      </c>
      <c r="N48" s="8">
        <f>+M48/$B$2</f>
        <v>3.0625</v>
      </c>
      <c r="O48" s="8">
        <v>4.1875</v>
      </c>
    </row>
    <row r="49" spans="1:15" ht="12">
      <c r="A49" t="s">
        <v>26</v>
      </c>
      <c r="D49" s="2">
        <f>+'at Cin'!D49+'vs Den'!D49+'at Oak'!D49+'vs KC'!D49+'at SD'!D49+'at Hou'!D49+'vs NYG'!D49+'at NYJ'!D49+'at GB'!D49+'vs Pit'!D49+'vs SD'!D49+'at KC'!D49+'vs Oak'!D49+'vs NYJ'!D49+'at Den'!D49+'vs Cle'!D49</f>
        <v>1148</v>
      </c>
      <c r="E49" s="8">
        <f>+D49/$B$2</f>
        <v>71.75</v>
      </c>
      <c r="F49" s="8">
        <v>79.875</v>
      </c>
      <c r="G49" t="str">
        <f>IF(D49=SUM(D131:D139),"ok","ERR")</f>
        <v>ok</v>
      </c>
      <c r="H49" t="s">
        <v>26</v>
      </c>
      <c r="M49" s="2">
        <f>+'at Cin'!M49+'vs Den'!M49+'at Oak'!M49+'vs KC'!M49+'at SD'!M49+'at Hou'!M49+'vs NYG'!M49+'at NYJ'!M49+'at GB'!M49+'vs Pit'!M49+'vs SD'!M49+'at KC'!M49+'vs Oak'!M49+'vs NYJ'!M49+'at Den'!M49+'vs Cle'!M49</f>
        <v>827</v>
      </c>
      <c r="N49" s="8">
        <f>+M49/$B$2</f>
        <v>51.6875</v>
      </c>
      <c r="O49" s="8">
        <v>73.5625</v>
      </c>
    </row>
    <row r="50" spans="1:15" ht="12">
      <c r="A50" t="s">
        <v>27</v>
      </c>
      <c r="D50" s="8">
        <f>+D49/D48</f>
        <v>18.22222222222222</v>
      </c>
      <c r="E50" s="8"/>
      <c r="F50" s="8">
        <f>+F49/F48</f>
        <v>18.52173913043478</v>
      </c>
      <c r="H50" t="s">
        <v>27</v>
      </c>
      <c r="M50" s="8">
        <f>+M49/M48</f>
        <v>16.877551020408163</v>
      </c>
      <c r="N50" s="8"/>
      <c r="O50" s="8">
        <f>+O49/O48</f>
        <v>17.567164179104477</v>
      </c>
    </row>
    <row r="51" spans="1:15" ht="12">
      <c r="A51" t="s">
        <v>28</v>
      </c>
      <c r="D51" s="2">
        <f>+'at Cin'!D51+'vs Den'!D51+'at Oak'!D51+'vs KC'!D51+'at SD'!D51+'at Hou'!D51+'vs NYG'!D51+'at NYJ'!D51+'at GB'!D51+'vs Pit'!D51+'vs SD'!D51+'at KC'!D51+'vs Oak'!D51+'vs NYJ'!D51+'at Den'!D51+'vs Cle'!D51</f>
        <v>0</v>
      </c>
      <c r="E51" s="8"/>
      <c r="F51" s="8"/>
      <c r="H51" t="s">
        <v>28</v>
      </c>
      <c r="M51" s="2">
        <f>+'at Cin'!M51+'vs Den'!M51+'at Oak'!M51+'vs KC'!M51+'at SD'!M51+'at Hou'!M51+'vs NYG'!M51+'at NYJ'!M51+'at GB'!M51+'vs Pit'!M51+'vs SD'!M51+'at KC'!M51+'vs Oak'!M51+'vs NYJ'!M51+'at Den'!M51+'vs Cle'!M51</f>
        <v>0</v>
      </c>
      <c r="N51" s="8"/>
      <c r="O51" s="8"/>
    </row>
    <row r="52" spans="5:15" ht="12">
      <c r="E52" s="8"/>
      <c r="F52" s="8"/>
      <c r="N52" s="8"/>
      <c r="O52" s="8"/>
    </row>
    <row r="53" spans="1:15" ht="12">
      <c r="A53" t="s">
        <v>31</v>
      </c>
      <c r="D53" s="2">
        <f>+'at Cin'!D53+'vs Den'!D53+'at Oak'!D53+'vs KC'!D53+'at SD'!D53+'at Hou'!D53+'vs NYG'!D53+'at NYJ'!D53+'at GB'!D53+'vs Pit'!D53+'vs SD'!D53+'at KC'!D53+'vs Oak'!D53+'vs NYJ'!D53+'at Den'!D53+'vs Cle'!D53</f>
        <v>82</v>
      </c>
      <c r="E53" s="8">
        <f>+D53/$B$2</f>
        <v>5.125</v>
      </c>
      <c r="F53" s="8">
        <v>6.625</v>
      </c>
      <c r="H53" t="s">
        <v>31</v>
      </c>
      <c r="M53" s="2">
        <f>+'at Cin'!M53+'vs Den'!M53+'at Oak'!M53+'vs KC'!M53+'at SD'!M53+'at Hou'!M53+'vs NYG'!M53+'at NYJ'!M53+'at GB'!M53+'vs Pit'!M53+'vs SD'!M53+'at KC'!M53+'vs Oak'!M53+'vs NYJ'!M53+'at Den'!M53+'vs Cle'!M53</f>
        <v>108</v>
      </c>
      <c r="N53" s="8">
        <f>+M53/$B$2</f>
        <v>6.75</v>
      </c>
      <c r="O53" s="8">
        <v>6.5</v>
      </c>
    </row>
    <row r="54" spans="1:15" ht="12">
      <c r="A54" t="s">
        <v>32</v>
      </c>
      <c r="D54" s="2">
        <f>+'at Cin'!D54+'vs Den'!D54+'at Oak'!D54+'vs KC'!D54+'at SD'!D54+'at Hou'!D54+'vs NYG'!D54+'at NYJ'!D54+'at GB'!D54+'vs Pit'!D54+'vs SD'!D54+'at KC'!D54+'vs Oak'!D54+'vs NYJ'!D54+'at Den'!D54+'vs Cle'!D54</f>
        <v>712</v>
      </c>
      <c r="E54" s="8">
        <f>+D54/$B$2</f>
        <v>44.5</v>
      </c>
      <c r="F54" s="8">
        <v>51.4375</v>
      </c>
      <c r="H54" t="s">
        <v>32</v>
      </c>
      <c r="M54" s="2">
        <f>+'at Cin'!M54+'vs Den'!M54+'at Oak'!M54+'vs KC'!M54+'at SD'!M54+'at Hou'!M54+'vs NYG'!M54+'at NYJ'!M54+'at GB'!M54+'vs Pit'!M54+'vs SD'!M54+'at KC'!M54+'vs Oak'!M54+'vs NYJ'!M54+'at Den'!M54+'vs Cle'!M54</f>
        <v>889</v>
      </c>
      <c r="N54" s="8">
        <f>+M54/$B$2</f>
        <v>55.5625</v>
      </c>
      <c r="O54" s="8">
        <v>59</v>
      </c>
    </row>
    <row r="55" spans="5:15" ht="12">
      <c r="E55" s="8"/>
      <c r="F55" s="8"/>
      <c r="N55" s="8"/>
      <c r="O55" s="8"/>
    </row>
    <row r="56" spans="1:15" ht="12">
      <c r="A56" t="s">
        <v>33</v>
      </c>
      <c r="D56" s="2">
        <f>+'at Cin'!D56+'vs Den'!D56+'at Oak'!D56+'vs KC'!D56+'at SD'!D56+'at Hou'!D56+'vs NYG'!D56+'at NYJ'!D56+'at GB'!D56+'vs Pit'!D56+'vs SD'!D56+'at KC'!D56+'vs Oak'!D56+'vs NYJ'!D56+'at Den'!D56+'vs Cle'!D56</f>
        <v>43</v>
      </c>
      <c r="E56" s="8">
        <f>+D56/$B$2</f>
        <v>2.6875</v>
      </c>
      <c r="F56" s="8">
        <v>2.5625</v>
      </c>
      <c r="G56" t="str">
        <f>IF(D56=SUM(H76:H106)+SUM(N113:N117)+SUM(I120:I125)+SUM(H130:H138)+SUM(H142:H144)+SUM(H154:H166)+SUM(G187:G237),"ok","ERR")</f>
        <v>ok</v>
      </c>
      <c r="H56" t="s">
        <v>33</v>
      </c>
      <c r="M56" s="2">
        <f>+'at Cin'!M56+'vs Den'!M56+'at Oak'!M56+'vs KC'!M56+'at SD'!M56+'at Hou'!M56+'vs NYG'!M56+'at NYJ'!M56+'at GB'!M56+'vs Pit'!M56+'vs SD'!M56+'at KC'!M56+'vs Oak'!M56+'vs NYJ'!M56+'at Den'!M56+'vs Cle'!M56</f>
        <v>39</v>
      </c>
      <c r="N56" s="8">
        <f>+M56/$B$2</f>
        <v>2.4375</v>
      </c>
      <c r="O56" s="8">
        <v>2.6875</v>
      </c>
    </row>
    <row r="57" spans="1:15" ht="12">
      <c r="A57" t="s">
        <v>34</v>
      </c>
      <c r="D57" s="2">
        <f>+'at Cin'!D57+'vs Den'!D57+'at Oak'!D57+'vs KC'!D57+'at SD'!D57+'at Hou'!D57+'vs NYG'!D57+'at NYJ'!D57+'at GB'!D57+'vs Pit'!D57+'vs SD'!D57+'at KC'!D57+'vs Oak'!D57+'vs NYJ'!D57+'at Den'!D57+'vs Cle'!D57</f>
        <v>14</v>
      </c>
      <c r="E57" s="8"/>
      <c r="F57" s="8"/>
      <c r="H57" t="s">
        <v>34</v>
      </c>
      <c r="M57" s="2">
        <f>+'at Cin'!M57+'vs Den'!M57+'at Oak'!M57+'vs KC'!M57+'at SD'!M57+'at Hou'!M57+'vs NYG'!M57+'at NYJ'!M57+'at GB'!M57+'vs Pit'!M57+'vs SD'!M57+'at KC'!M57+'vs Oak'!M57+'vs NYJ'!M57+'at Den'!M57+'vs Cle'!M57</f>
        <v>11</v>
      </c>
      <c r="N57" s="8"/>
      <c r="O57" s="8"/>
    </row>
    <row r="58" spans="1:15" ht="12">
      <c r="A58" t="s">
        <v>35</v>
      </c>
      <c r="D58" s="2">
        <f>+'at Cin'!D58+'vs Den'!D58+'at Oak'!D58+'vs KC'!D58+'at SD'!D58+'at Hou'!D58+'vs NYG'!D58+'at NYJ'!D58+'at GB'!D58+'vs Pit'!D58+'vs SD'!D58+'at KC'!D58+'vs Oak'!D58+'vs NYJ'!D58+'at Den'!D58+'vs Cle'!D58</f>
        <v>1</v>
      </c>
      <c r="E58" s="8"/>
      <c r="F58" s="8"/>
      <c r="H58" t="s">
        <v>35</v>
      </c>
      <c r="M58" s="2">
        <f>+'at Cin'!M58+'vs Den'!M58+'at Oak'!M58+'vs KC'!M58+'at SD'!M58+'at Hou'!M58+'vs NYG'!M58+'at NYJ'!M58+'at GB'!M58+'vs Pit'!M58+'vs SD'!M58+'at KC'!M58+'vs Oak'!M58+'vs NYJ'!M58+'at Den'!M58+'vs Cle'!M58</f>
        <v>0</v>
      </c>
      <c r="N58" s="8"/>
      <c r="O58" s="8"/>
    </row>
    <row r="59" spans="1:15" ht="12">
      <c r="A59" t="s">
        <v>36</v>
      </c>
      <c r="D59" s="2">
        <f>+'at Cin'!D59+'vs Den'!D59+'at Oak'!D59+'vs KC'!D59+'at SD'!D59+'at Hou'!D59+'vs NYG'!D59+'at NYJ'!D59+'at GB'!D59+'vs Pit'!D59+'vs SD'!D59+'at KC'!D59+'vs Oak'!D59+'vs NYJ'!D59+'at Den'!D59+'vs Cle'!D59</f>
        <v>28</v>
      </c>
      <c r="E59" s="8"/>
      <c r="F59" s="8"/>
      <c r="H59" t="s">
        <v>36</v>
      </c>
      <c r="M59" s="2">
        <f>+'at Cin'!M59+'vs Den'!M59+'at Oak'!M59+'vs KC'!M59+'at SD'!M59+'at Hou'!M59+'vs NYG'!M59+'at NYJ'!M59+'at GB'!M59+'vs Pit'!M59+'vs SD'!M59+'at KC'!M59+'vs Oak'!M59+'vs NYJ'!M59+'at Den'!M59+'vs Cle'!M59</f>
        <v>28</v>
      </c>
      <c r="N59" s="8"/>
      <c r="O59" s="8"/>
    </row>
    <row r="60" spans="1:15" ht="12">
      <c r="A60" s="1" t="s">
        <v>37</v>
      </c>
      <c r="D60" s="2">
        <f>+'at Cin'!D60+'vs Den'!D60+'at Oak'!D60+'vs KC'!D60+'at SD'!D60+'at Hou'!D60+'vs NYG'!D60+'at NYJ'!D60+'at GB'!D60+'vs Pit'!D60+'vs SD'!D60+'at KC'!D60+'vs Oak'!D60+'vs NYJ'!D60+'at Den'!D60+'vs Cle'!D60</f>
        <v>2</v>
      </c>
      <c r="E60" s="8"/>
      <c r="F60" s="8"/>
      <c r="H60" s="1" t="s">
        <v>37</v>
      </c>
      <c r="M60" s="2">
        <f>+'at Cin'!M60+'vs Den'!M60+'at Oak'!M60+'vs KC'!M60+'at SD'!M60+'at Hou'!M60+'vs NYG'!M60+'at NYJ'!M60+'at GB'!M60+'vs Pit'!M60+'vs SD'!M60+'at KC'!M60+'vs Oak'!M60+'vs NYJ'!M60+'at Den'!M60+'vs Cle'!M60</f>
        <v>1</v>
      </c>
      <c r="N60" s="8"/>
      <c r="O60" s="8"/>
    </row>
    <row r="61" spans="5:15" ht="12">
      <c r="E61" s="8"/>
      <c r="F61" s="8"/>
      <c r="N61" s="8"/>
      <c r="O61" s="8"/>
    </row>
    <row r="62" spans="1:16" ht="12">
      <c r="A62" t="s">
        <v>38</v>
      </c>
      <c r="D62" s="2">
        <f>+'at Cin'!D62+'vs Den'!D62+'at Oak'!D62+'vs KC'!D62+'at SD'!D62+'at Hou'!D62+'vs NYG'!D62+'at NYJ'!D62+'at GB'!D62+'vs Pit'!D62+'vs SD'!D62+'at KC'!D62+'vs Oak'!D62+'vs NYJ'!D62+'at Den'!D62+'vs Cle'!D62</f>
        <v>315</v>
      </c>
      <c r="E62" s="8">
        <f>+D62/$B$2</f>
        <v>19.6875</v>
      </c>
      <c r="F62" s="8">
        <v>20.125</v>
      </c>
      <c r="G62" t="str">
        <f>IF(D62=D63*6+D68*2+D69*3+D67,"ok","ERR")</f>
        <v>ok</v>
      </c>
      <c r="H62" t="s">
        <v>38</v>
      </c>
      <c r="M62" s="2">
        <f>+'at Cin'!M62+'vs Den'!M62+'at Oak'!M62+'vs KC'!M62+'at SD'!M62+'at Hou'!M62+'vs NYG'!M62+'at NYJ'!M62+'at GB'!M62+'vs Pit'!M62+'vs SD'!M62+'at KC'!M62+'vs Oak'!M62+'vs NYJ'!M62+'at Den'!M62+'vs Cle'!M62</f>
        <v>348</v>
      </c>
      <c r="N62" s="8">
        <f>+M62/$B$2</f>
        <v>21.75</v>
      </c>
      <c r="O62" s="8">
        <v>24.25</v>
      </c>
      <c r="P62" t="str">
        <f>IF(M62=M63*6+M68*2+M69*3+M67,"ok","ERR")</f>
        <v>ok</v>
      </c>
    </row>
    <row r="63" spans="1:15" ht="12">
      <c r="A63" t="s">
        <v>39</v>
      </c>
      <c r="D63" s="2">
        <f>+'at Cin'!D63+'vs Den'!D63+'at Oak'!D63+'vs KC'!D63+'at SD'!D63+'at Hou'!D63+'vs NYG'!D63+'at NYJ'!D63+'at GB'!D63+'vs Pit'!D63+'vs SD'!D63+'at KC'!D63+'vs Oak'!D63+'vs NYJ'!D63+'at Den'!D63+'vs Cle'!D63</f>
        <v>34</v>
      </c>
      <c r="E63" s="8">
        <f>+D63/$B$2</f>
        <v>2.125</v>
      </c>
      <c r="F63" s="8">
        <v>2.5</v>
      </c>
      <c r="G63" t="str">
        <f>IF(D63=SUM(D64:D66),"ok","ERR")</f>
        <v>ok</v>
      </c>
      <c r="H63" t="s">
        <v>39</v>
      </c>
      <c r="M63" s="2">
        <f>+'at Cin'!M63+'vs Den'!M63+'at Oak'!M63+'vs KC'!M63+'at SD'!M63+'at Hou'!M63+'vs NYG'!M63+'at NYJ'!M63+'at GB'!M63+'vs Pit'!M63+'vs SD'!M63+'at KC'!M63+'vs Oak'!M63+'vs NYJ'!M63+'at Den'!M63+'vs Cle'!M63</f>
        <v>40</v>
      </c>
      <c r="N63" s="8">
        <f>+M63/$B$2</f>
        <v>2.5</v>
      </c>
      <c r="O63" s="8">
        <v>2.875</v>
      </c>
    </row>
    <row r="64" spans="1:15" ht="12">
      <c r="A64" t="s">
        <v>40</v>
      </c>
      <c r="D64" s="2">
        <f>+'at Cin'!D64+'vs Den'!D64+'at Oak'!D64+'vs KC'!D64+'at SD'!D64+'at Hou'!D64+'vs NYG'!D64+'at NYJ'!D64+'at GB'!D64+'vs Pit'!D64+'vs SD'!D64+'at KC'!D64+'vs Oak'!D64+'vs NYJ'!D64+'at Den'!D64+'vs Cle'!D64</f>
        <v>9</v>
      </c>
      <c r="E64" s="8">
        <f>+D64/$B$2</f>
        <v>0.5625</v>
      </c>
      <c r="F64" s="8">
        <v>0.875</v>
      </c>
      <c r="G64" t="str">
        <f>IF(D64=SUM(G76:G90),"ok","ERR")</f>
        <v>ok</v>
      </c>
      <c r="H64" t="s">
        <v>40</v>
      </c>
      <c r="M64" s="2">
        <f>+'at Cin'!M64+'vs Den'!M64+'at Oak'!M64+'vs KC'!M64+'at SD'!M64+'at Hou'!M64+'vs NYG'!M64+'at NYJ'!M64+'at GB'!M64+'vs Pit'!M64+'vs SD'!M64+'at KC'!M64+'vs Oak'!M64+'vs NYJ'!M64+'at Den'!M64+'vs Cle'!M64</f>
        <v>18</v>
      </c>
      <c r="N64" s="8">
        <f>+M64/$B$2</f>
        <v>1.125</v>
      </c>
      <c r="O64" s="8">
        <v>1.25</v>
      </c>
    </row>
    <row r="65" spans="1:15" ht="12">
      <c r="A65" t="s">
        <v>41</v>
      </c>
      <c r="C65" t="str">
        <f>IF(D65=SUM(G92:G106),"ok","ERR")</f>
        <v>ok</v>
      </c>
      <c r="D65" s="2">
        <f>+'at Cin'!D65+'vs Den'!D65+'at Oak'!D65+'vs KC'!D65+'at SD'!D65+'at Hou'!D65+'vs NYG'!D65+'at NYJ'!D65+'at GB'!D65+'vs Pit'!D65+'vs SD'!D65+'at KC'!D65+'vs Oak'!D65+'vs NYJ'!D65+'at Den'!D65+'vs Cle'!D65</f>
        <v>17</v>
      </c>
      <c r="E65" s="8">
        <f>+D65/$B$2</f>
        <v>1.0625</v>
      </c>
      <c r="F65" s="8">
        <v>1.3125</v>
      </c>
      <c r="G65" t="str">
        <f>IF(D65=SUM(G113:G117),"ok","ERR")</f>
        <v>ok</v>
      </c>
      <c r="H65" t="s">
        <v>41</v>
      </c>
      <c r="M65" s="2">
        <f>+'at Cin'!M65+'vs Den'!M65+'at Oak'!M65+'vs KC'!M65+'at SD'!M65+'at Hou'!M65+'vs NYG'!M65+'at NYJ'!M65+'at GB'!M65+'vs Pit'!M65+'vs SD'!M65+'at KC'!M65+'vs Oak'!M65+'vs NYJ'!M65+'at Den'!M65+'vs Cle'!M65</f>
        <v>21</v>
      </c>
      <c r="N65" s="8">
        <f>+M65/$B$2</f>
        <v>1.3125</v>
      </c>
      <c r="O65" s="8">
        <v>1.5625</v>
      </c>
    </row>
    <row r="66" spans="1:15" ht="12">
      <c r="A66" t="s">
        <v>42</v>
      </c>
      <c r="D66" s="2">
        <f>+'at Cin'!D66+'vs Den'!D66+'at Oak'!D66+'vs KC'!D66+'at SD'!D66+'at Hou'!D66+'vs NYG'!D66+'at NYJ'!D66+'at GB'!D66+'vs Pit'!D66+'vs SD'!D66+'at KC'!D66+'vs Oak'!D66+'vs NYJ'!D66+'at Den'!D66+'vs Cle'!D66</f>
        <v>8</v>
      </c>
      <c r="E66" s="8">
        <f>+D66/$B$2</f>
        <v>0.5</v>
      </c>
      <c r="F66" s="8">
        <v>0.3125</v>
      </c>
      <c r="G66" t="str">
        <f>IF(D66=SUM(H120:H125)+SUM(G130:G135)+SUM(G154:G166)+SUM(F187:F237),"ok","ERR")</f>
        <v>ok</v>
      </c>
      <c r="H66" t="s">
        <v>42</v>
      </c>
      <c r="M66" s="2">
        <f>+'at Cin'!M66+'vs Den'!M66+'at Oak'!M66+'vs KC'!M66+'at SD'!M66+'at Hou'!M66+'vs NYG'!M66+'at NYJ'!M66+'at GB'!M66+'vs Pit'!M66+'vs SD'!M66+'at KC'!M66+'vs Oak'!M66+'vs NYJ'!M66+'at Den'!M66+'vs Cle'!M66</f>
        <v>1</v>
      </c>
      <c r="N66" s="8">
        <f>+M66/$B$2</f>
        <v>0.0625</v>
      </c>
      <c r="O66" s="8">
        <v>0.0625</v>
      </c>
    </row>
    <row r="67" spans="1:15" ht="12">
      <c r="A67" t="s">
        <v>43</v>
      </c>
      <c r="D67" s="2">
        <f>+'at Cin'!D67+'vs Den'!D67+'at Oak'!D67+'vs KC'!D67+'at SD'!D67+'at Hou'!D67+'vs NYG'!D67+'at NYJ'!D67+'at GB'!D67+'vs Pit'!D67+'vs SD'!D67+'at KC'!D67+'vs Oak'!D67+'vs NYJ'!D67+'at Den'!D67+'vs Cle'!D67</f>
        <v>30</v>
      </c>
      <c r="E67" s="8"/>
      <c r="F67" s="8"/>
      <c r="H67" t="s">
        <v>43</v>
      </c>
      <c r="M67" s="2">
        <f>+'at Cin'!M67+'vs Den'!M67+'at Oak'!M67+'vs KC'!M67+'at SD'!M67+'at Hou'!M67+'vs NYG'!M67+'at NYJ'!M67+'at GB'!M67+'vs Pit'!M67+'vs SD'!M67+'at KC'!M67+'vs Oak'!M67+'vs NYJ'!M67+'at Den'!M67+'vs Cle'!M67</f>
        <v>36</v>
      </c>
      <c r="N67" s="8"/>
      <c r="O67" s="8"/>
    </row>
    <row r="68" spans="1:15" ht="12">
      <c r="A68" t="s">
        <v>44</v>
      </c>
      <c r="D68" s="2">
        <f>+'at Cin'!D68+'vs Den'!D68+'at Oak'!D68+'vs KC'!D68+'at SD'!D68+'at Hou'!D68+'vs NYG'!D68+'at NYJ'!D68+'at GB'!D68+'vs Pit'!D68+'vs SD'!D68+'at KC'!D68+'vs Oak'!D68+'vs NYJ'!D68+'at Den'!D68+'vs Cle'!D68</f>
        <v>0</v>
      </c>
      <c r="E68" s="8"/>
      <c r="F68" s="8"/>
      <c r="H68" t="s">
        <v>44</v>
      </c>
      <c r="M68" s="2">
        <f>+'at Cin'!M68+'vs Den'!M68+'at Oak'!M68+'vs KC'!M68+'at SD'!M68+'at Hou'!M68+'vs NYG'!M68+'at NYJ'!M68+'at GB'!M68+'vs Pit'!M68+'vs SD'!M68+'at KC'!M68+'vs Oak'!M68+'vs NYJ'!M68+'at Den'!M68+'vs Cle'!M68</f>
        <v>0</v>
      </c>
      <c r="N68" s="8"/>
      <c r="O68" s="8"/>
    </row>
    <row r="69" spans="1:15" ht="12">
      <c r="A69" t="s">
        <v>45</v>
      </c>
      <c r="D69" s="2">
        <f>+'at Cin'!D69+'vs Den'!D69+'at Oak'!D69+'vs KC'!D69+'at SD'!D69+'at Hou'!D69+'vs NYG'!D69+'at NYJ'!D69+'at GB'!D69+'vs Pit'!D69+'vs SD'!D69+'at KC'!D69+'vs Oak'!D69+'vs NYJ'!D69+'at Den'!D69+'vs Cle'!D69</f>
        <v>27</v>
      </c>
      <c r="E69" s="8">
        <f>+D69/$B$2</f>
        <v>1.6875</v>
      </c>
      <c r="F69" s="8">
        <v>0.9375</v>
      </c>
      <c r="G69" t="str">
        <f>IF(D69=SUM(H148:H151),"ok","ERR")</f>
        <v>ok</v>
      </c>
      <c r="H69" t="s">
        <v>45</v>
      </c>
      <c r="M69" s="2">
        <f>+'at Cin'!M69+'vs Den'!M69+'at Oak'!M69+'vs KC'!M69+'at SD'!M69+'at Hou'!M69+'vs NYG'!M69+'at NYJ'!M69+'at GB'!M69+'vs Pit'!M69+'vs SD'!M69+'at KC'!M69+'vs Oak'!M69+'vs NYJ'!M69+'at Den'!M69+'vs Cle'!M69</f>
        <v>24</v>
      </c>
      <c r="N69" s="8">
        <f>+M69/$B$2</f>
        <v>1.5</v>
      </c>
      <c r="O69" s="8">
        <v>1.4375</v>
      </c>
    </row>
    <row r="70" spans="1:15" ht="12">
      <c r="A70" t="s">
        <v>46</v>
      </c>
      <c r="D70" s="2">
        <f>+'at Cin'!D70+'vs Den'!D70+'at Oak'!D70+'vs KC'!D70+'at SD'!D70+'at Hou'!D70+'vs NYG'!D70+'at NYJ'!D70+'at GB'!D70+'vs Pit'!D70+'vs SD'!D70+'at KC'!D70+'vs Oak'!D70+'vs NYJ'!D70+'at Den'!D70+'vs Cle'!D70</f>
        <v>36</v>
      </c>
      <c r="E70" s="8">
        <f>+D70/$B$2</f>
        <v>2.25</v>
      </c>
      <c r="F70" s="8">
        <v>1.5</v>
      </c>
      <c r="G70" t="str">
        <f>IF(D70=SUM(G148:G151),"ok","ERR")</f>
        <v>ok</v>
      </c>
      <c r="H70" t="s">
        <v>46</v>
      </c>
      <c r="M70" s="2">
        <f>+'at Cin'!M70+'vs Den'!M70+'at Oak'!M70+'vs KC'!M70+'at SD'!M70+'at Hou'!M70+'vs NYG'!M70+'at NYJ'!M70+'at GB'!M70+'vs Pit'!M70+'vs SD'!M70+'at KC'!M70+'vs Oak'!M70+'vs NYJ'!M70+'at Den'!M70+'vs Cle'!M70</f>
        <v>35</v>
      </c>
      <c r="N70" s="8">
        <f>+M70/$B$2</f>
        <v>2.1875</v>
      </c>
      <c r="O70" s="8">
        <v>1.8125</v>
      </c>
    </row>
    <row r="71" spans="1:15" ht="12">
      <c r="A71" t="s">
        <v>47</v>
      </c>
      <c r="D71" s="8">
        <f>+D69/D70*100</f>
        <v>75</v>
      </c>
      <c r="E71" s="8"/>
      <c r="F71" s="8">
        <f>+F69/F70*100</f>
        <v>62.5</v>
      </c>
      <c r="G71" s="7"/>
      <c r="H71" s="7" t="s">
        <v>47</v>
      </c>
      <c r="I71" s="7"/>
      <c r="J71" s="7"/>
      <c r="K71" s="7"/>
      <c r="L71" s="7"/>
      <c r="M71" s="8">
        <f>+M69/M70*100</f>
        <v>68.57142857142857</v>
      </c>
      <c r="N71" s="8"/>
      <c r="O71" s="8">
        <f>+O69/O70*100</f>
        <v>79.3103448275862</v>
      </c>
    </row>
    <row r="72" spans="1:15" ht="12">
      <c r="A72" t="s">
        <v>92</v>
      </c>
      <c r="D72" s="10" t="str">
        <f>IF(V24&lt;10,V28,V27)</f>
        <v>28:52</v>
      </c>
      <c r="E72" s="8"/>
      <c r="F72" s="20" t="s">
        <v>110</v>
      </c>
      <c r="H72" t="s">
        <v>92</v>
      </c>
      <c r="M72" s="10" t="str">
        <f>IF(W24&lt;10,W28,W27)</f>
        <v>31:08</v>
      </c>
      <c r="N72" s="8"/>
      <c r="O72" s="20" t="s">
        <v>111</v>
      </c>
    </row>
    <row r="74" spans="1:15" ht="12">
      <c r="A74" t="s">
        <v>49</v>
      </c>
      <c r="K74" t="s">
        <v>105</v>
      </c>
      <c r="O74" s="3"/>
    </row>
    <row r="75" spans="1:17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  <c r="K75" s="3" t="s">
        <v>51</v>
      </c>
      <c r="L75" s="3" t="s">
        <v>52</v>
      </c>
      <c r="M75" s="3" t="s">
        <v>53</v>
      </c>
      <c r="N75" s="3" t="s">
        <v>54</v>
      </c>
      <c r="O75" s="3"/>
      <c r="P75" s="3"/>
      <c r="Q75" s="3"/>
    </row>
    <row r="76" spans="1:17" ht="12">
      <c r="A76" t="s">
        <v>112</v>
      </c>
      <c r="B76" t="s">
        <v>167</v>
      </c>
      <c r="C76">
        <f>+'at Cin'!C76+'vs Den'!C76+'at Oak'!C76+'vs KC'!C76+'at SD'!C76+'at Hou'!C76+'vs NYG'!C76+'at NYJ'!C76+'at GB'!C76+'vs Pit'!C76+'vs SD'!C76+'at KC'!C76+'vs Oak'!C76+'vs NYJ'!C76+'at Den'!C76+'vs Cle'!C76</f>
        <v>4</v>
      </c>
      <c r="D76">
        <f>+'at Cin'!D76+'vs Den'!D76+'at Oak'!D76+'vs KC'!D76+'at SD'!D76+'at Hou'!D76+'vs NYG'!D76+'at NYJ'!D76+'at GB'!D76+'vs Pit'!D76+'vs SD'!D76+'at KC'!D76+'vs Oak'!D76+'vs NYJ'!D76+'at Den'!D76+'vs Cle'!D76</f>
        <v>14</v>
      </c>
      <c r="E76" s="12">
        <f aca="true" t="shared" si="0" ref="E76:E87">IF(C76=0,0,+D76/C76)</f>
        <v>3.5</v>
      </c>
      <c r="F76">
        <f>MAX('at Cin'!F76,'vs Den'!F76,'at Oak'!F76,'vs KC'!F76,'at SD'!F76,'at Hou'!F76,'vs NYG'!F76,'at NYJ'!F76,'at GB'!F76,'vs Pit'!F76,'vs SD'!F76,'at KC'!F76,'vs Oak'!F76,'vs NYJ'!F76,'at Den'!F76,'vs Cle'!F76)</f>
        <v>12</v>
      </c>
      <c r="G76">
        <f>+'at Cin'!G76+'vs Den'!G76+'at Oak'!G76+'vs KC'!G76+'at SD'!G76+'at Hou'!G76+'vs NYG'!G76+'at NYJ'!G76+'at GB'!G76+'vs Pit'!G76+'vs SD'!G76+'at KC'!G76+'vs Oak'!G76+'vs NYJ'!G76+'at Den'!G76+'vs Cle'!G76</f>
        <v>0</v>
      </c>
      <c r="H76">
        <f>+'at Cin'!H76+'vs Den'!H76+'at Oak'!H76+'vs KC'!H76+'at SD'!H76+'at Hou'!H76+'vs NYG'!H76+'at NYJ'!H76+'at GB'!H76+'vs Pit'!H76+'vs SD'!H76+'at KC'!H76+'vs Oak'!H76+'vs NYJ'!H76+'at Den'!H76+'vs Cle'!H76</f>
        <v>1</v>
      </c>
      <c r="K76">
        <v>3</v>
      </c>
      <c r="L76">
        <v>28</v>
      </c>
      <c r="M76" s="12">
        <f>+L76/K76</f>
        <v>9.333333333333334</v>
      </c>
      <c r="N76">
        <v>13</v>
      </c>
      <c r="P76" s="19"/>
      <c r="Q76" s="19"/>
    </row>
    <row r="77" spans="1:17" ht="12">
      <c r="A77" t="s">
        <v>113</v>
      </c>
      <c r="B77" t="s">
        <v>167</v>
      </c>
      <c r="C77">
        <f>+'at Cin'!C77+'vs Den'!C77+'at Oak'!C77+'vs KC'!C77+'at SD'!C77+'at Hou'!C77+'vs NYG'!C77+'at NYJ'!C77+'at GB'!C77+'vs Pit'!C77+'vs SD'!C77+'at KC'!C77+'vs Oak'!C77+'vs NYJ'!C77+'at Den'!C77+'vs Cle'!C77</f>
        <v>119</v>
      </c>
      <c r="D77">
        <f>+'at Cin'!D77+'vs Den'!D77+'at Oak'!D77+'vs KC'!D77+'at SD'!D77+'at Hou'!D77+'vs NYG'!D77+'at NYJ'!D77+'at GB'!D77+'vs Pit'!D77+'vs SD'!D77+'at KC'!D77+'vs Oak'!D77+'vs NYJ'!D77+'at Den'!D77+'vs Cle'!D77</f>
        <v>442</v>
      </c>
      <c r="E77" s="12">
        <f t="shared" si="0"/>
        <v>3.7142857142857144</v>
      </c>
      <c r="F77">
        <f>MAX('at Cin'!F77,'vs Den'!F77,'at Oak'!F77,'vs KC'!F77,'at SD'!F77,'at Hou'!F77,'vs NYG'!F77,'at NYJ'!F77,'at GB'!F77,'vs Pit'!F77,'vs SD'!F77,'at KC'!F77,'vs Oak'!F77,'vs NYJ'!F77,'at Den'!F77,'vs Cle'!F77)</f>
        <v>20</v>
      </c>
      <c r="G77">
        <f>+'at Cin'!G77+'vs Den'!G77+'at Oak'!G77+'vs KC'!G77+'at SD'!G77+'at Hou'!G77+'vs NYG'!G77+'at NYJ'!G77+'at GB'!G77+'vs Pit'!G77+'vs SD'!G77+'at KC'!G77+'vs Oak'!G77+'vs NYJ'!G77+'at Den'!G77+'vs Cle'!G77</f>
        <v>1</v>
      </c>
      <c r="H77">
        <f>+'at Cin'!H77+'vs Den'!H77+'at Oak'!H77+'vs KC'!H77+'at SD'!H77+'at Hou'!H77+'vs NYG'!H77+'at NYJ'!H77+'at GB'!H77+'vs Pit'!H77+'vs SD'!H77+'at KC'!H77+'vs Oak'!H77+'vs NYJ'!H77+'at Den'!H77+'vs Cle'!H77</f>
        <v>4</v>
      </c>
      <c r="K77">
        <v>141</v>
      </c>
      <c r="L77">
        <v>531</v>
      </c>
      <c r="M77" s="12">
        <f aca="true" t="shared" si="1" ref="M77:M89">+L77/K77</f>
        <v>3.765957446808511</v>
      </c>
      <c r="N77">
        <v>43</v>
      </c>
      <c r="P77" s="19"/>
      <c r="Q77" s="19"/>
    </row>
    <row r="78" spans="1:17" ht="12">
      <c r="A78" t="s">
        <v>114</v>
      </c>
      <c r="B78" t="s">
        <v>167</v>
      </c>
      <c r="C78">
        <f>+'at Cin'!C78+'vs Den'!C78+'at Oak'!C78+'vs KC'!C78+'at SD'!C78+'at Hou'!C78+'vs NYG'!C78+'at NYJ'!C78+'at GB'!C78+'vs Pit'!C78+'vs SD'!C78+'at KC'!C78+'vs Oak'!C78+'vs NYJ'!C78+'at Den'!C78+'vs Cle'!C78</f>
        <v>74</v>
      </c>
      <c r="D78">
        <f>+'at Cin'!D78+'vs Den'!D78+'at Oak'!D78+'vs KC'!D78+'at SD'!D78+'at Hou'!D78+'vs NYG'!D78+'at NYJ'!D78+'at GB'!D78+'vs Pit'!D78+'vs SD'!D78+'at KC'!D78+'vs Oak'!D78+'vs NYJ'!D78+'at Den'!D78+'vs Cle'!D78</f>
        <v>263</v>
      </c>
      <c r="E78" s="12">
        <f t="shared" si="0"/>
        <v>3.554054054054054</v>
      </c>
      <c r="F78">
        <f>MAX('at Cin'!F78,'vs Den'!F78,'at Oak'!F78,'vs KC'!F78,'at SD'!F78,'at Hou'!F78,'vs NYG'!F78,'at NYJ'!F78,'at GB'!F78,'vs Pit'!F78,'vs SD'!F78,'at KC'!F78,'vs Oak'!F78,'vs NYJ'!F78,'at Den'!F78,'vs Cle'!F78)</f>
        <v>16</v>
      </c>
      <c r="G78">
        <f>+'at Cin'!G78+'vs Den'!G78+'at Oak'!G78+'vs KC'!G78+'at SD'!G78+'at Hou'!G78+'vs NYG'!G78+'at NYJ'!G78+'at GB'!G78+'vs Pit'!G78+'vs SD'!G78+'at KC'!G78+'vs Oak'!G78+'vs NYJ'!G78+'at Den'!G78+'vs Cle'!G78</f>
        <v>1</v>
      </c>
      <c r="H78">
        <f>+'at Cin'!H78+'vs Den'!H78+'at Oak'!H78+'vs KC'!H78+'at SD'!H78+'at Hou'!H78+'vs NYG'!H78+'at NYJ'!H78+'at GB'!H78+'vs Pit'!H78+'vs SD'!H78+'at KC'!H78+'vs Oak'!H78+'vs NYJ'!H78+'at Den'!H78+'vs Cle'!H78</f>
        <v>1</v>
      </c>
      <c r="K78">
        <v>65</v>
      </c>
      <c r="L78">
        <v>194</v>
      </c>
      <c r="M78" s="12">
        <f t="shared" si="1"/>
        <v>2.9846153846153847</v>
      </c>
      <c r="N78">
        <v>11</v>
      </c>
      <c r="P78" s="19"/>
      <c r="Q78" s="19"/>
    </row>
    <row r="79" spans="1:17" ht="12">
      <c r="A79" t="s">
        <v>115</v>
      </c>
      <c r="B79" t="s">
        <v>167</v>
      </c>
      <c r="C79">
        <f>+'at Cin'!C79+'vs Den'!C79+'at Oak'!C79+'vs KC'!C79+'at SD'!C79+'at Hou'!C79+'vs NYG'!C79+'at NYJ'!C79+'at GB'!C79+'vs Pit'!C79+'vs SD'!C79+'at KC'!C79+'vs Oak'!C79+'vs NYJ'!C79+'at Den'!C79+'vs Cle'!C79</f>
        <v>59</v>
      </c>
      <c r="D79">
        <f>+'at Cin'!D79+'vs Den'!D79+'at Oak'!D79+'vs KC'!D79+'at SD'!D79+'at Hou'!D79+'vs NYG'!D79+'at NYJ'!D79+'at GB'!D79+'vs Pit'!D79+'vs SD'!D79+'at KC'!D79+'vs Oak'!D79+'vs NYJ'!D79+'at Den'!D79+'vs Cle'!D79</f>
        <v>173</v>
      </c>
      <c r="E79" s="12">
        <f t="shared" si="0"/>
        <v>2.9322033898305087</v>
      </c>
      <c r="F79">
        <f>MAX('at Cin'!F79,'vs Den'!F79,'at Oak'!F79,'vs KC'!F79,'at SD'!F79,'at Hou'!F79,'vs NYG'!F79,'at NYJ'!F79,'at GB'!F79,'vs Pit'!F79,'vs SD'!F79,'at KC'!F79,'vs Oak'!F79,'vs NYJ'!F79,'at Den'!F79,'vs Cle'!F79)</f>
        <v>13</v>
      </c>
      <c r="G79">
        <f>+'at Cin'!G79+'vs Den'!G79+'at Oak'!G79+'vs KC'!G79+'at SD'!G79+'at Hou'!G79+'vs NYG'!G79+'at NYJ'!G79+'at GB'!G79+'vs Pit'!G79+'vs SD'!G79+'at KC'!G79+'vs Oak'!G79+'vs NYJ'!G79+'at Den'!G79+'vs Cle'!G79</f>
        <v>2</v>
      </c>
      <c r="H79">
        <f>+'at Cin'!H79+'vs Den'!H79+'at Oak'!H79+'vs KC'!H79+'at SD'!H79+'at Hou'!H79+'vs NYG'!H79+'at NYJ'!H79+'at GB'!H79+'vs Pit'!H79+'vs SD'!H79+'at KC'!H79+'vs Oak'!H79+'vs NYJ'!H79+'at Den'!H79+'vs Cle'!H79</f>
        <v>0</v>
      </c>
      <c r="K79">
        <v>47</v>
      </c>
      <c r="L79">
        <v>135</v>
      </c>
      <c r="M79" s="12">
        <f t="shared" si="1"/>
        <v>2.872340425531915</v>
      </c>
      <c r="N79">
        <v>15</v>
      </c>
      <c r="P79" s="19"/>
      <c r="Q79" s="19"/>
    </row>
    <row r="80" spans="1:17" ht="12">
      <c r="A80" t="s">
        <v>116</v>
      </c>
      <c r="B80" t="s">
        <v>167</v>
      </c>
      <c r="C80">
        <f>+'at Cin'!C80+'vs Den'!C80+'at Oak'!C80+'vs KC'!C80+'at SD'!C80+'at Hou'!C80+'vs NYG'!C80+'at NYJ'!C80+'at GB'!C80+'vs Pit'!C80+'vs SD'!C80+'at KC'!C80+'vs Oak'!C80+'vs NYJ'!C80+'at Den'!C80+'vs Cle'!C80</f>
        <v>10</v>
      </c>
      <c r="D80">
        <f>+'at Cin'!D80+'vs Den'!D80+'at Oak'!D80+'vs KC'!D80+'at SD'!D80+'at Hou'!D80+'vs NYG'!D80+'at NYJ'!D80+'at GB'!D80+'vs Pit'!D80+'vs SD'!D80+'at KC'!D80+'vs Oak'!D80+'vs NYJ'!D80+'at Den'!D80+'vs Cle'!D80</f>
        <v>54</v>
      </c>
      <c r="E80" s="12">
        <f t="shared" si="0"/>
        <v>5.4</v>
      </c>
      <c r="F80">
        <f>MAX('at Cin'!F80,'vs Den'!F80,'at Oak'!F80,'vs KC'!F80,'at SD'!F80,'at Hou'!F80,'vs NYG'!F80,'at NYJ'!F80,'at GB'!F80,'vs Pit'!F80,'vs SD'!F80,'at KC'!F80,'vs Oak'!F80,'vs NYJ'!F80,'at Den'!F80,'vs Cle'!F80)</f>
        <v>29</v>
      </c>
      <c r="G80">
        <f>+'at Cin'!G80+'vs Den'!G80+'at Oak'!G80+'vs KC'!G80+'at SD'!G80+'at Hou'!G80+'vs NYG'!G80+'at NYJ'!G80+'at GB'!G80+'vs Pit'!G80+'vs SD'!G80+'at KC'!G80+'vs Oak'!G80+'vs NYJ'!G80+'at Den'!G80+'vs Cle'!G80</f>
        <v>1</v>
      </c>
      <c r="H80">
        <f>+'at Cin'!H80+'vs Den'!H80+'at Oak'!H80+'vs KC'!H80+'at SD'!H80+'at Hou'!H80+'vs NYG'!H80+'at NYJ'!H80+'at GB'!H80+'vs Pit'!H80+'vs SD'!H80+'at KC'!H80+'vs Oak'!H80+'vs NYJ'!H80+'at Den'!H80+'vs Cle'!H80</f>
        <v>0</v>
      </c>
      <c r="K80">
        <v>9</v>
      </c>
      <c r="L80">
        <v>38</v>
      </c>
      <c r="M80" s="12">
        <f t="shared" si="1"/>
        <v>4.222222222222222</v>
      </c>
      <c r="N80">
        <v>7</v>
      </c>
      <c r="P80" s="19"/>
      <c r="Q80" s="19"/>
    </row>
    <row r="81" spans="1:17" ht="12">
      <c r="A81" t="s">
        <v>117</v>
      </c>
      <c r="B81" t="s">
        <v>167</v>
      </c>
      <c r="C81">
        <f>+'at Cin'!C81+'vs Den'!C81+'at Oak'!C81+'vs KC'!C81+'at SD'!C81+'at Hou'!C81+'vs NYG'!C81+'at NYJ'!C81+'at GB'!C81+'vs Pit'!C81+'vs SD'!C81+'at KC'!C81+'vs Oak'!C81+'vs NYJ'!C81+'at Den'!C81+'vs Cle'!C81</f>
        <v>34</v>
      </c>
      <c r="D81">
        <f>+'at Cin'!D81+'vs Den'!D81+'at Oak'!D81+'vs KC'!D81+'at SD'!D81+'at Hou'!D81+'vs NYG'!D81+'at NYJ'!D81+'at GB'!D81+'vs Pit'!D81+'vs SD'!D81+'at KC'!D81+'vs Oak'!D81+'vs NYJ'!D81+'at Den'!D81+'vs Cle'!D81</f>
        <v>109</v>
      </c>
      <c r="E81" s="12">
        <f t="shared" si="0"/>
        <v>3.2058823529411766</v>
      </c>
      <c r="F81">
        <f>MAX('at Cin'!F81,'vs Den'!F81,'at Oak'!F81,'vs KC'!F81,'at SD'!F81,'at Hou'!F81,'vs NYG'!F81,'at NYJ'!F81,'at GB'!F81,'vs Pit'!F81,'vs SD'!F81,'at KC'!F81,'vs Oak'!F81,'vs NYJ'!F81,'at Den'!F81,'vs Cle'!F81)</f>
        <v>15</v>
      </c>
      <c r="G81">
        <f>+'at Cin'!G81+'vs Den'!G81+'at Oak'!G81+'vs KC'!G81+'at SD'!G81+'at Hou'!G81+'vs NYG'!G81+'at NYJ'!G81+'at GB'!G81+'vs Pit'!G81+'vs SD'!G81+'at KC'!G81+'vs Oak'!G81+'vs NYJ'!G81+'at Den'!G81+'vs Cle'!G81</f>
        <v>0</v>
      </c>
      <c r="H81">
        <f>+'at Cin'!H81+'vs Den'!H81+'at Oak'!H81+'vs KC'!H81+'at SD'!H81+'at Hou'!H81+'vs NYG'!H81+'at NYJ'!H81+'at GB'!H81+'vs Pit'!H81+'vs SD'!H81+'at KC'!H81+'vs Oak'!H81+'vs NYJ'!H81+'at Den'!H81+'vs Cle'!H81</f>
        <v>4</v>
      </c>
      <c r="K81">
        <v>31</v>
      </c>
      <c r="L81">
        <v>106</v>
      </c>
      <c r="M81" s="12">
        <f t="shared" si="1"/>
        <v>3.4193548387096775</v>
      </c>
      <c r="N81">
        <v>15</v>
      </c>
      <c r="P81" s="19"/>
      <c r="Q81" s="19"/>
    </row>
    <row r="82" spans="1:17" ht="12">
      <c r="A82" t="s">
        <v>118</v>
      </c>
      <c r="B82" t="s">
        <v>167</v>
      </c>
      <c r="C82">
        <f>+'at Cin'!C82+'vs Den'!C82+'at Oak'!C82+'vs KC'!C82+'at SD'!C82+'at Hou'!C82+'vs NYG'!C82+'at NYJ'!C82+'at GB'!C82+'vs Pit'!C82+'vs SD'!C82+'at KC'!C82+'vs Oak'!C82+'vs NYJ'!C82+'at Den'!C82+'vs Cle'!C82</f>
        <v>4</v>
      </c>
      <c r="D82">
        <f>+'at Cin'!D82+'vs Den'!D82+'at Oak'!D82+'vs KC'!D82+'at SD'!D82+'at Hou'!D82+'vs NYG'!D82+'at NYJ'!D82+'at GB'!D82+'vs Pit'!D82+'vs SD'!D82+'at KC'!D82+'vs Oak'!D82+'vs NYJ'!D82+'at Den'!D82+'vs Cle'!D82</f>
        <v>12</v>
      </c>
      <c r="E82" s="12">
        <f t="shared" si="0"/>
        <v>3</v>
      </c>
      <c r="F82">
        <f>MAX('at Cin'!F82,'vs Den'!F82,'at Oak'!F82,'vs KC'!F82,'at SD'!F82,'at Hou'!F82,'vs NYG'!F82,'at NYJ'!F82,'at GB'!F82,'vs Pit'!F82,'vs SD'!F82,'at KC'!F82,'vs Oak'!F82,'vs NYJ'!F82,'at Den'!F82,'vs Cle'!F82)</f>
        <v>8</v>
      </c>
      <c r="G82">
        <f>+'at Cin'!G82+'vs Den'!G82+'at Oak'!G82+'vs KC'!G82+'at SD'!G82+'at Hou'!G82+'vs NYG'!G82+'at NYJ'!G82+'at GB'!G82+'vs Pit'!G82+'vs SD'!G82+'at KC'!G82+'vs Oak'!G82+'vs NYJ'!G82+'at Den'!G82+'vs Cle'!G82</f>
        <v>0</v>
      </c>
      <c r="H82">
        <f>+'at Cin'!H82+'vs Den'!H82+'at Oak'!H82+'vs KC'!H82+'at SD'!H82+'at Hou'!H82+'vs NYG'!H82+'at NYJ'!H82+'at GB'!H82+'vs Pit'!H82+'vs SD'!H82+'at KC'!H82+'vs Oak'!H82+'vs NYJ'!H82+'at Den'!H82+'vs Cle'!H82</f>
        <v>0</v>
      </c>
      <c r="K82">
        <v>11</v>
      </c>
      <c r="L82">
        <v>56</v>
      </c>
      <c r="M82" s="12">
        <f t="shared" si="1"/>
        <v>5.090909090909091</v>
      </c>
      <c r="N82">
        <v>29</v>
      </c>
      <c r="P82" s="19"/>
      <c r="Q82" s="19"/>
    </row>
    <row r="83" spans="1:17" ht="12">
      <c r="A83" t="s">
        <v>119</v>
      </c>
      <c r="B83" t="s">
        <v>167</v>
      </c>
      <c r="C83">
        <f>+'at Cin'!C83+'vs Den'!C83+'at Oak'!C83+'vs KC'!C83+'at SD'!C83+'at Hou'!C83+'vs NYG'!C83+'at NYJ'!C83+'at GB'!C83+'vs Pit'!C83+'vs SD'!C83+'at KC'!C83+'vs Oak'!C83+'vs NYJ'!C83+'at Den'!C83+'vs Cle'!C83</f>
        <v>4</v>
      </c>
      <c r="D83">
        <f>+'at Cin'!D83+'vs Den'!D83+'at Oak'!D83+'vs KC'!D83+'at SD'!D83+'at Hou'!D83+'vs NYG'!D83+'at NYJ'!D83+'at GB'!D83+'vs Pit'!D83+'vs SD'!D83+'at KC'!D83+'vs Oak'!D83+'vs NYJ'!D83+'at Den'!D83+'vs Cle'!D83</f>
        <v>8</v>
      </c>
      <c r="E83" s="12">
        <f t="shared" si="0"/>
        <v>2</v>
      </c>
      <c r="F83">
        <f>MAX('at Cin'!F83,'vs Den'!F83,'at Oak'!F83,'vs KC'!F83,'at SD'!F83,'at Hou'!F83,'vs NYG'!F83,'at NYJ'!F83,'at GB'!F83,'vs Pit'!F83,'vs SD'!F83,'at KC'!F83,'vs Oak'!F83,'vs NYJ'!F83,'at Den'!F83,'vs Cle'!F83)</f>
        <v>6</v>
      </c>
      <c r="G83">
        <f>+'at Cin'!G83+'vs Den'!G83+'at Oak'!G83+'vs KC'!G83+'at SD'!G83+'at Hou'!G83+'vs NYG'!G83+'at NYJ'!G83+'at GB'!G83+'vs Pit'!G83+'vs SD'!G83+'at KC'!G83+'vs Oak'!G83+'vs NYJ'!G83+'at Den'!G83+'vs Cle'!G83</f>
        <v>0</v>
      </c>
      <c r="H83">
        <f>+'at Cin'!H83+'vs Den'!H83+'at Oak'!H83+'vs KC'!H83+'at SD'!H83+'at Hou'!H83+'vs NYG'!H83+'at NYJ'!H83+'at GB'!H83+'vs Pit'!H83+'vs SD'!H83+'at KC'!H83+'vs Oak'!H83+'vs NYJ'!H83+'at Den'!H83+'vs Cle'!H83</f>
        <v>0</v>
      </c>
      <c r="K83">
        <v>8</v>
      </c>
      <c r="L83">
        <v>22</v>
      </c>
      <c r="M83" s="12">
        <f t="shared" si="1"/>
        <v>2.75</v>
      </c>
      <c r="N83">
        <v>5</v>
      </c>
      <c r="P83" s="19"/>
      <c r="Q83" s="19"/>
    </row>
    <row r="84" spans="1:17" ht="12">
      <c r="A84" t="s">
        <v>120</v>
      </c>
      <c r="B84" t="s">
        <v>167</v>
      </c>
      <c r="C84">
        <f>+'at Cin'!C84+'vs Den'!C84+'at Oak'!C84+'vs KC'!C84+'at SD'!C84+'at Hou'!C84+'vs NYG'!C84+'at NYJ'!C84+'at GB'!C84+'vs Pit'!C84+'vs SD'!C84+'at KC'!C84+'vs Oak'!C84+'vs NYJ'!C84+'at Den'!C84+'vs Cle'!C84</f>
        <v>6</v>
      </c>
      <c r="D84">
        <f>+'at Cin'!D84+'vs Den'!D84+'at Oak'!D84+'vs KC'!D84+'at SD'!D84+'at Hou'!D84+'vs NYG'!D84+'at NYJ'!D84+'at GB'!D84+'vs Pit'!D84+'vs SD'!D84+'at KC'!D84+'vs Oak'!D84+'vs NYJ'!D84+'at Den'!D84+'vs Cle'!D84</f>
        <v>55</v>
      </c>
      <c r="E84" s="12">
        <f t="shared" si="0"/>
        <v>9.166666666666666</v>
      </c>
      <c r="F84">
        <f>MAX('at Cin'!F84,'vs Den'!F84,'at Oak'!F84,'vs KC'!F84,'at SD'!F84,'at Hou'!F84,'vs NYG'!F84,'at NYJ'!F84,'at GB'!F84,'vs Pit'!F84,'vs SD'!F84,'at KC'!F84,'vs Oak'!F84,'vs NYJ'!F84,'at Den'!F84,'vs Cle'!F84)</f>
        <v>14</v>
      </c>
      <c r="G84">
        <f>+'at Cin'!G84+'vs Den'!G84+'at Oak'!G84+'vs KC'!G84+'at SD'!G84+'at Hou'!G84+'vs NYG'!G84+'at NYJ'!G84+'at GB'!G84+'vs Pit'!G84+'vs SD'!G84+'at KC'!G84+'vs Oak'!G84+'vs NYJ'!G84+'at Den'!G84+'vs Cle'!G84</f>
        <v>0</v>
      </c>
      <c r="H84">
        <f>+'at Cin'!H84+'vs Den'!H84+'at Oak'!H84+'vs KC'!H84+'at SD'!H84+'at Hou'!H84+'vs NYG'!H84+'at NYJ'!H84+'at GB'!H84+'vs Pit'!H84+'vs SD'!H84+'at KC'!H84+'vs Oak'!H84+'vs NYJ'!H84+'at Den'!H84+'vs Cle'!H84</f>
        <v>0</v>
      </c>
      <c r="K84">
        <v>6</v>
      </c>
      <c r="L84">
        <v>47</v>
      </c>
      <c r="M84" s="12">
        <f t="shared" si="1"/>
        <v>7.833333333333333</v>
      </c>
      <c r="N84">
        <v>15</v>
      </c>
      <c r="P84" s="19"/>
      <c r="Q84" s="19"/>
    </row>
    <row r="85" spans="1:14" ht="12">
      <c r="A85" t="s">
        <v>121</v>
      </c>
      <c r="B85" t="s">
        <v>167</v>
      </c>
      <c r="C85">
        <f>+'at Cin'!C85+'vs Den'!C85+'at Oak'!C85+'vs KC'!C85+'at SD'!C85+'at Hou'!C85+'vs NYG'!C85+'at NYJ'!C85+'at GB'!C85+'vs Pit'!C85+'vs SD'!C85+'at KC'!C85+'vs Oak'!C85+'vs NYJ'!C85+'at Den'!C85+'vs Cle'!C85</f>
        <v>5</v>
      </c>
      <c r="D85">
        <f>+'at Cin'!D85+'vs Den'!D85+'at Oak'!D85+'vs KC'!D85+'at SD'!D85+'at Hou'!D85+'vs NYG'!D85+'at NYJ'!D85+'at GB'!D85+'vs Pit'!D85+'vs SD'!D85+'at KC'!D85+'vs Oak'!D85+'vs NYJ'!D85+'at Den'!D85+'vs Cle'!D85</f>
        <v>18</v>
      </c>
      <c r="E85" s="12">
        <f t="shared" si="0"/>
        <v>3.6</v>
      </c>
      <c r="F85">
        <f>MAX('at Cin'!F85,'vs Den'!F85,'at Oak'!F85,'vs KC'!F85,'at SD'!F85,'at Hou'!F85,'vs NYG'!F85,'at NYJ'!F85,'at GB'!F85,'vs Pit'!F85,'vs SD'!F85,'at KC'!F85,'vs Oak'!F85,'vs NYJ'!F85,'at Den'!F85,'vs Cle'!F85)</f>
        <v>10</v>
      </c>
      <c r="G85">
        <f>+'at Cin'!G85+'vs Den'!G85+'at Oak'!G85+'vs KC'!G85+'at SD'!G85+'at Hou'!G85+'vs NYG'!G85+'at NYJ'!G85+'at GB'!G85+'vs Pit'!G85+'vs SD'!G85+'at KC'!G85+'vs Oak'!G85+'vs NYJ'!G85+'at Den'!G85+'vs Cle'!G85</f>
        <v>0</v>
      </c>
      <c r="H85">
        <f>+'at Cin'!H85+'vs Den'!H85+'at Oak'!H85+'vs KC'!H85+'at SD'!H85+'at Hou'!H85+'vs NYG'!H85+'at NYJ'!H85+'at GB'!H85+'vs Pit'!H85+'vs SD'!H85+'at KC'!H85+'vs Oak'!H85+'vs NYJ'!H85+'at Den'!H85+'vs Cle'!H85</f>
        <v>0</v>
      </c>
      <c r="K85">
        <v>2</v>
      </c>
      <c r="L85">
        <v>4</v>
      </c>
      <c r="M85" s="12">
        <f t="shared" si="1"/>
        <v>2</v>
      </c>
      <c r="N85">
        <v>2</v>
      </c>
    </row>
    <row r="86" spans="1:14" ht="12">
      <c r="A86" t="s">
        <v>122</v>
      </c>
      <c r="B86" t="s">
        <v>167</v>
      </c>
      <c r="C86">
        <f>+'at Cin'!C86+'vs Den'!C86+'at Oak'!C86+'vs KC'!C86+'at SD'!C86+'at Hou'!C86+'vs NYG'!C86+'at NYJ'!C86+'at GB'!C86+'vs Pit'!C86+'vs SD'!C86+'at KC'!C86+'vs Oak'!C86+'vs NYJ'!C86+'at Den'!C86+'vs Cle'!C86</f>
        <v>2</v>
      </c>
      <c r="D86">
        <f>+'at Cin'!D86+'vs Den'!D86+'at Oak'!D86+'vs KC'!D86+'at SD'!D86+'at Hou'!D86+'vs NYG'!D86+'at NYJ'!D86+'at GB'!D86+'vs Pit'!D86+'vs SD'!D86+'at KC'!D86+'vs Oak'!D86+'vs NYJ'!D86+'at Den'!D86+'vs Cle'!D86</f>
        <v>18</v>
      </c>
      <c r="E86" s="12">
        <f t="shared" si="0"/>
        <v>9</v>
      </c>
      <c r="F86">
        <f>MAX('at Cin'!F86,'vs Den'!F86,'at Oak'!F86,'vs KC'!F86,'at SD'!F86,'at Hou'!F86,'vs NYG'!F86,'at NYJ'!F86,'at GB'!F86,'vs Pit'!F86,'vs SD'!F86,'at KC'!F86,'vs Oak'!F86,'vs NYJ'!F86,'at Den'!F86,'vs Cle'!F86)</f>
        <v>18</v>
      </c>
      <c r="G86">
        <f>+'at Cin'!G86+'vs Den'!G86+'at Oak'!G86+'vs KC'!G86+'at SD'!G86+'at Hou'!G86+'vs NYG'!G86+'at NYJ'!G86+'at GB'!G86+'vs Pit'!G86+'vs SD'!G86+'at KC'!G86+'vs Oak'!G86+'vs NYJ'!G86+'at Den'!G86+'vs Cle'!G86</f>
        <v>0</v>
      </c>
      <c r="H86">
        <f>+'at Cin'!H86+'vs Den'!H86+'at Oak'!H86+'vs KC'!H86+'at SD'!H86+'at Hou'!H86+'vs NYG'!H86+'at NYJ'!H86+'at GB'!H86+'vs Pit'!H86+'vs SD'!H86+'at KC'!H86+'vs Oak'!H86+'vs NYJ'!H86+'at Den'!H86+'vs Cle'!H86</f>
        <v>0</v>
      </c>
      <c r="K86">
        <v>1</v>
      </c>
      <c r="L86">
        <v>15</v>
      </c>
      <c r="M86" s="12">
        <f t="shared" si="1"/>
        <v>15</v>
      </c>
      <c r="N86">
        <v>15</v>
      </c>
    </row>
    <row r="87" spans="1:14" ht="12">
      <c r="A87" t="s">
        <v>123</v>
      </c>
      <c r="B87" t="s">
        <v>167</v>
      </c>
      <c r="C87">
        <f>+'at Cin'!C87+'vs Den'!C87+'at Oak'!C87+'vs KC'!C87+'at SD'!C87+'at Hou'!C87+'vs NYG'!C87+'at NYJ'!C87+'at GB'!C87+'vs Pit'!C87+'vs SD'!C87+'at KC'!C87+'vs Oak'!C87+'vs NYJ'!C87+'at Den'!C87+'vs Cle'!C87</f>
        <v>95</v>
      </c>
      <c r="D87">
        <f>+'at Cin'!D87+'vs Den'!D87+'at Oak'!D87+'vs KC'!D87+'at SD'!D87+'at Hou'!D87+'vs NYG'!D87+'at NYJ'!D87+'at GB'!D87+'vs Pit'!D87+'vs SD'!D87+'at KC'!D87+'vs Oak'!D87+'vs NYJ'!D87+'at Den'!D87+'vs Cle'!D87</f>
        <v>273</v>
      </c>
      <c r="E87" s="12">
        <f t="shared" si="0"/>
        <v>2.873684210526316</v>
      </c>
      <c r="F87">
        <f>MAX('at Cin'!F87,'vs Den'!F87,'at Oak'!F87,'vs KC'!F87,'at SD'!F87,'at Hou'!F87,'vs NYG'!F87,'at NYJ'!F87,'at GB'!F87,'vs Pit'!F87,'vs SD'!F87,'at KC'!F87,'vs Oak'!F87,'vs NYJ'!F87,'at Den'!F87,'vs Cle'!F87)</f>
        <v>15</v>
      </c>
      <c r="G87">
        <f>+'at Cin'!G87+'vs Den'!G87+'at Oak'!G87+'vs KC'!G87+'at SD'!G87+'at Hou'!G87+'vs NYG'!G87+'at NYJ'!G87+'at GB'!G87+'vs Pit'!G87+'vs SD'!G87+'at KC'!G87+'vs Oak'!G87+'vs NYJ'!G87+'at Den'!G87+'vs Cle'!G87</f>
        <v>3</v>
      </c>
      <c r="H87">
        <f>+'at Cin'!H87+'vs Den'!H87+'at Oak'!H87+'vs KC'!H87+'at SD'!H87+'at Hou'!H87+'vs NYG'!H87+'at NYJ'!H87+'at GB'!H87+'vs Pit'!H87+'vs SD'!H87+'at KC'!H87+'vs Oak'!H87+'vs NYJ'!H87+'at Den'!H87+'vs Cle'!H87</f>
        <v>2</v>
      </c>
      <c r="K87">
        <v>83</v>
      </c>
      <c r="L87">
        <v>253</v>
      </c>
      <c r="M87" s="12">
        <f t="shared" si="1"/>
        <v>3.0481927710843375</v>
      </c>
      <c r="N87">
        <v>21</v>
      </c>
    </row>
    <row r="88" spans="1:14" ht="12">
      <c r="A88" t="s">
        <v>124</v>
      </c>
      <c r="B88" t="s">
        <v>167</v>
      </c>
      <c r="C88">
        <f>+'at Cin'!C88+'vs Den'!C88+'at Oak'!C88+'vs KC'!C88+'at SD'!C88+'at Hou'!C88+'vs NYG'!C88+'at NYJ'!C88+'at GB'!C88+'vs Pit'!C88+'vs SD'!C88+'at KC'!C88+'vs Oak'!C88+'vs NYJ'!C88+'at Den'!C88+'vs Cle'!C88</f>
        <v>3</v>
      </c>
      <c r="D88">
        <f>+'at Cin'!D88+'vs Den'!D88+'at Oak'!D88+'vs KC'!D88+'at SD'!D88+'at Hou'!D88+'vs NYG'!D88+'at NYJ'!D88+'at GB'!D88+'vs Pit'!D88+'vs SD'!D88+'at KC'!D88+'vs Oak'!D88+'vs NYJ'!D88+'at Den'!D88+'vs Cle'!D88</f>
        <v>28</v>
      </c>
      <c r="E88" s="12">
        <f>IF(C88=0,0,+D88/C88)</f>
        <v>9.333333333333334</v>
      </c>
      <c r="F88">
        <f>MAX('at Cin'!F88,'vs Den'!F88,'at Oak'!F88,'vs KC'!F88,'at SD'!F88,'at Hou'!F88,'vs NYG'!F88,'at NYJ'!F88,'at GB'!F88,'vs Pit'!F88,'vs SD'!F88,'at KC'!F88,'vs Oak'!F88,'vs NYJ'!F88,'at Den'!F88,'vs Cle'!F88)</f>
        <v>18</v>
      </c>
      <c r="G88">
        <f>+'at Cin'!G88+'vs Den'!G88+'at Oak'!G88+'vs KC'!G88+'at SD'!G88+'at Hou'!G88+'vs NYG'!G88+'at NYJ'!G88+'at GB'!G88+'vs Pit'!G88+'vs SD'!G88+'at KC'!G88+'vs Oak'!G88+'vs NYJ'!G88+'at Den'!G88+'vs Cle'!G88</f>
        <v>0</v>
      </c>
      <c r="H88">
        <f>+'at Cin'!H88+'vs Den'!H88+'at Oak'!H88+'vs KC'!H88+'at SD'!H88+'at Hou'!H88+'vs NYG'!H88+'at NYJ'!H88+'at GB'!H88+'vs Pit'!H88+'vs SD'!H88+'at KC'!H88+'vs Oak'!H88+'vs NYJ'!H88+'at Den'!H88+'vs Cle'!H88</f>
        <v>0</v>
      </c>
      <c r="K88">
        <v>3</v>
      </c>
      <c r="L88">
        <v>25</v>
      </c>
      <c r="M88" s="12">
        <f t="shared" si="1"/>
        <v>8.333333333333334</v>
      </c>
      <c r="N88">
        <v>27</v>
      </c>
    </row>
    <row r="89" spans="1:14" ht="12">
      <c r="A89" t="s">
        <v>125</v>
      </c>
      <c r="B89" t="s">
        <v>167</v>
      </c>
      <c r="C89">
        <f>+'at Cin'!C89+'vs Den'!C89+'at Oak'!C89+'vs KC'!C89+'at SD'!C89+'at Hou'!C89+'vs NYG'!C89+'at NYJ'!C89+'at GB'!C89+'vs Pit'!C89+'vs SD'!C89+'at KC'!C89+'vs Oak'!C89+'vs NYJ'!C89+'at Den'!C89+'vs Cle'!C89</f>
        <v>33</v>
      </c>
      <c r="D89">
        <f>+'at Cin'!D89+'vs Den'!D89+'at Oak'!D89+'vs KC'!D89+'at SD'!D89+'at Hou'!D89+'vs NYG'!D89+'at NYJ'!D89+'at GB'!D89+'vs Pit'!D89+'vs SD'!D89+'at KC'!D89+'vs Oak'!D89+'vs NYJ'!D89+'at Den'!D89+'vs Cle'!D89</f>
        <v>145</v>
      </c>
      <c r="E89" s="12">
        <f>IF(C89=0,0,+D89/C89)</f>
        <v>4.393939393939394</v>
      </c>
      <c r="F89">
        <f>MAX('at Cin'!F89,'vs Den'!F89,'at Oak'!F89,'vs KC'!F89,'at SD'!F89,'at Hou'!F89,'vs NYG'!F89,'at NYJ'!F89,'at GB'!F89,'vs Pit'!F89,'vs SD'!F89,'at KC'!F89,'vs Oak'!F89,'vs NYJ'!F89,'at Den'!F89,'vs Cle'!F89)</f>
        <v>23</v>
      </c>
      <c r="G89">
        <f>+'at Cin'!G89+'vs Den'!G89+'at Oak'!G89+'vs KC'!G89+'at SD'!G89+'at Hou'!G89+'vs NYG'!G89+'at NYJ'!G89+'at GB'!G89+'vs Pit'!G89+'vs SD'!G89+'at KC'!G89+'vs Oak'!G89+'vs NYJ'!G89+'at Den'!G89+'vs Cle'!G89</f>
        <v>1</v>
      </c>
      <c r="H89">
        <f>+'at Cin'!H89+'vs Den'!H89+'at Oak'!H89+'vs KC'!H89+'at SD'!H89+'at Hou'!H89+'vs NYG'!H89+'at NYJ'!H89+'at GB'!H89+'vs Pit'!H89+'vs SD'!H89+'at KC'!H89+'vs Oak'!H89+'vs NYJ'!H89+'at Den'!H89+'vs Cle'!H89</f>
        <v>1</v>
      </c>
      <c r="K89">
        <v>30</v>
      </c>
      <c r="L89">
        <v>140</v>
      </c>
      <c r="M89" s="12">
        <f t="shared" si="1"/>
        <v>4.666666666666667</v>
      </c>
      <c r="N89">
        <v>20</v>
      </c>
    </row>
    <row r="90" ht="12">
      <c r="E90" s="8"/>
    </row>
    <row r="91" spans="1:17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  <c r="K91" s="3" t="s">
        <v>57</v>
      </c>
      <c r="L91" s="3" t="s">
        <v>52</v>
      </c>
      <c r="M91" s="15" t="s">
        <v>53</v>
      </c>
      <c r="N91" s="3" t="s">
        <v>54</v>
      </c>
      <c r="P91" s="3"/>
      <c r="Q91" s="3"/>
    </row>
    <row r="92" spans="1:17" ht="12">
      <c r="A92" t="s">
        <v>126</v>
      </c>
      <c r="B92" t="s">
        <v>167</v>
      </c>
      <c r="C92">
        <f>+'at Cin'!C92+'vs Den'!C92+'at Oak'!C92+'vs KC'!C92+'at SD'!C92+'at Hou'!C92+'vs NYG'!C92+'at NYJ'!C92+'at GB'!C92+'vs Pit'!C92+'vs SD'!C92+'at KC'!C92+'vs Oak'!C92+'vs NYJ'!C92+'at Den'!C92+'vs Cle'!C92</f>
        <v>1</v>
      </c>
      <c r="D92">
        <f>+'at Cin'!D92+'vs Den'!D92+'at Oak'!D92+'vs KC'!D92+'at SD'!D92+'at Hou'!D92+'vs NYG'!D92+'at NYJ'!D92+'at GB'!D92+'vs Pit'!D92+'vs SD'!D92+'at KC'!D92+'vs Oak'!D92+'vs NYJ'!D92+'at Den'!D92+'vs Cle'!D92</f>
        <v>10</v>
      </c>
      <c r="E92" s="12">
        <f aca="true" t="shared" si="2" ref="E92:E105">IF(C92=0,0,+D92/C92)</f>
        <v>10</v>
      </c>
      <c r="F92">
        <f>MAX('at Cin'!F92,'vs Den'!F92,'at Oak'!F92,'vs KC'!F92,'at SD'!F92,'at Hou'!F92,'vs NYG'!F92,'at NYJ'!F92,'at GB'!F92,'vs Pit'!F92,'vs SD'!F92,'at KC'!F92,'vs Oak'!F92,'vs NYJ'!F92,'at Den'!F92,'vs Cle'!F92)</f>
        <v>10</v>
      </c>
      <c r="G92">
        <f>+'at Cin'!G92+'vs Den'!G92+'at Oak'!G92+'vs KC'!G92+'at SD'!G92+'at Hou'!G92+'vs NYG'!G92+'at NYJ'!G92+'at GB'!G92+'vs Pit'!G92+'vs SD'!G92+'at KC'!G92+'vs Oak'!G92+'vs NYJ'!G92+'at Den'!G92+'vs Cle'!G92</f>
        <v>0</v>
      </c>
      <c r="H92">
        <f>+'at Cin'!H92+'vs Den'!H92+'at Oak'!H92+'vs KC'!H92+'at SD'!H92+'at Hou'!H92+'vs NYG'!H92+'at NYJ'!H92+'at GB'!H92+'vs Pit'!H92+'vs SD'!H92+'at KC'!H92+'vs Oak'!H92+'vs NYJ'!H92+'at Den'!H92+'vs Cle'!H92</f>
        <v>0</v>
      </c>
      <c r="K92">
        <v>1</v>
      </c>
      <c r="L92">
        <v>9</v>
      </c>
      <c r="M92" s="12">
        <f aca="true" t="shared" si="3" ref="M92:M107">+L92/K92</f>
        <v>9</v>
      </c>
      <c r="N92">
        <v>9</v>
      </c>
      <c r="P92" s="19"/>
      <c r="Q92" s="19"/>
    </row>
    <row r="93" spans="1:17" ht="12">
      <c r="A93" t="s">
        <v>127</v>
      </c>
      <c r="B93" t="s">
        <v>167</v>
      </c>
      <c r="C93">
        <f>+'at Cin'!C93+'vs Den'!C93+'at Oak'!C93+'vs KC'!C93+'at SD'!C93+'at Hou'!C93+'vs NYG'!C93+'at NYJ'!C93+'at GB'!C93+'vs Pit'!C93+'vs SD'!C93+'at KC'!C93+'vs Oak'!C93+'vs NYJ'!C93+'at Den'!C93+'vs Cle'!C93</f>
        <v>0</v>
      </c>
      <c r="D93">
        <f>+'at Cin'!D93+'vs Den'!D93+'at Oak'!D93+'vs KC'!D93+'at SD'!D93+'at Hou'!D93+'vs NYG'!D93+'at NYJ'!D93+'at GB'!D93+'vs Pit'!D93+'vs SD'!D93+'at KC'!D93+'vs Oak'!D93+'vs NYJ'!D93+'at Den'!D93+'vs Cle'!D93</f>
        <v>0</v>
      </c>
      <c r="E93" s="12">
        <f t="shared" si="2"/>
        <v>0</v>
      </c>
      <c r="F93">
        <f>MAX('at Cin'!F93,'vs Den'!F93,'at Oak'!F93,'vs KC'!F93,'at SD'!F93,'at Hou'!F93,'vs NYG'!F93,'at NYJ'!F93,'at GB'!F93,'vs Pit'!F93,'vs SD'!F93,'at KC'!F93,'vs Oak'!F93,'vs NYJ'!F93,'at Den'!F93,'vs Cle'!F93)</f>
        <v>0</v>
      </c>
      <c r="G93">
        <f>+'at Cin'!G93+'vs Den'!G93+'at Oak'!G93+'vs KC'!G93+'at SD'!G93+'at Hou'!G93+'vs NYG'!G93+'at NYJ'!G93+'at GB'!G93+'vs Pit'!G93+'vs SD'!G93+'at KC'!G93+'vs Oak'!G93+'vs NYJ'!G93+'at Den'!G93+'vs Cle'!G93</f>
        <v>0</v>
      </c>
      <c r="H93">
        <f>+'at Cin'!H93+'vs Den'!H93+'at Oak'!H93+'vs KC'!H93+'at SD'!H93+'at Hou'!H93+'vs NYG'!H93+'at NYJ'!H93+'at GB'!H93+'vs Pit'!H93+'vs SD'!H93+'at KC'!H93+'vs Oak'!H93+'vs NYJ'!H93+'at Den'!H93+'vs Cle'!H93</f>
        <v>0</v>
      </c>
      <c r="K93">
        <v>1</v>
      </c>
      <c r="L93">
        <v>3</v>
      </c>
      <c r="M93" s="12">
        <f t="shared" si="3"/>
        <v>3</v>
      </c>
      <c r="N93">
        <v>3</v>
      </c>
      <c r="P93" s="19"/>
      <c r="Q93" s="19"/>
    </row>
    <row r="94" spans="1:17" ht="12">
      <c r="A94" t="s">
        <v>113</v>
      </c>
      <c r="B94" t="s">
        <v>167</v>
      </c>
      <c r="C94">
        <f>+'at Cin'!C94+'vs Den'!C94+'at Oak'!C94+'vs KC'!C94+'at SD'!C94+'at Hou'!C94+'vs NYG'!C94+'at NYJ'!C94+'at GB'!C94+'vs Pit'!C94+'vs SD'!C94+'at KC'!C94+'vs Oak'!C94+'vs NYJ'!C94+'at Den'!C94+'vs Cle'!C94</f>
        <v>23</v>
      </c>
      <c r="D94">
        <f>+'at Cin'!D94+'vs Den'!D94+'at Oak'!D94+'vs KC'!D94+'at SD'!D94+'at Hou'!D94+'vs NYG'!D94+'at NYJ'!D94+'at GB'!D94+'vs Pit'!D94+'vs SD'!D94+'at KC'!D94+'vs Oak'!D94+'vs NYJ'!D94+'at Den'!D94+'vs Cle'!D94</f>
        <v>292</v>
      </c>
      <c r="E94" s="12">
        <f t="shared" si="2"/>
        <v>12.695652173913043</v>
      </c>
      <c r="F94">
        <f>MAX('at Cin'!F94,'vs Den'!F94,'at Oak'!F94,'vs KC'!F94,'at SD'!F94,'at Hou'!F94,'vs NYG'!F94,'at NYJ'!F94,'at GB'!F94,'vs Pit'!F94,'vs SD'!F94,'at KC'!F94,'vs Oak'!F94,'vs NYJ'!F94,'at Den'!F94,'vs Cle'!F94)</f>
        <v>50</v>
      </c>
      <c r="G94">
        <f>+'at Cin'!G94+'vs Den'!G94+'at Oak'!G94+'vs KC'!G94+'at SD'!G94+'at Hou'!G94+'vs NYG'!G94+'at NYJ'!G94+'at GB'!G94+'vs Pit'!G94+'vs SD'!G94+'at KC'!G94+'vs Oak'!G94+'vs NYJ'!G94+'at Den'!G94+'vs Cle'!G94</f>
        <v>1</v>
      </c>
      <c r="H94">
        <f>+'at Cin'!H94+'vs Den'!H94+'at Oak'!H94+'vs KC'!H94+'at SD'!H94+'at Hou'!H94+'vs NYG'!H94+'at NYJ'!H94+'at GB'!H94+'vs Pit'!H94+'vs SD'!H94+'at KC'!H94+'vs Oak'!H94+'vs NYJ'!H94+'at Den'!H94+'vs Cle'!H94</f>
        <v>0</v>
      </c>
      <c r="K94">
        <v>25</v>
      </c>
      <c r="L94">
        <v>268</v>
      </c>
      <c r="M94" s="12">
        <f t="shared" si="3"/>
        <v>10.72</v>
      </c>
      <c r="N94">
        <v>51</v>
      </c>
      <c r="P94" s="19"/>
      <c r="Q94" s="19"/>
    </row>
    <row r="95" spans="1:17" ht="12">
      <c r="A95" t="s">
        <v>114</v>
      </c>
      <c r="B95" t="s">
        <v>167</v>
      </c>
      <c r="C95">
        <f>+'at Cin'!C95+'vs Den'!C95+'at Oak'!C95+'vs KC'!C95+'at SD'!C95+'at Hou'!C95+'vs NYG'!C95+'at NYJ'!C95+'at GB'!C95+'vs Pit'!C95+'vs SD'!C95+'at KC'!C95+'vs Oak'!C95+'vs NYJ'!C95+'at Den'!C95+'vs Cle'!C95</f>
        <v>22</v>
      </c>
      <c r="D95">
        <f>+'at Cin'!D95+'vs Den'!D95+'at Oak'!D95+'vs KC'!D95+'at SD'!D95+'at Hou'!D95+'vs NYG'!D95+'at NYJ'!D95+'at GB'!D95+'vs Pit'!D95+'vs SD'!D95+'at KC'!D95+'vs Oak'!D95+'vs NYJ'!D95+'at Den'!D95+'vs Cle'!D95</f>
        <v>248</v>
      </c>
      <c r="E95" s="12">
        <f t="shared" si="2"/>
        <v>11.272727272727273</v>
      </c>
      <c r="F95">
        <f>MAX('at Cin'!F95,'vs Den'!F95,'at Oak'!F95,'vs KC'!F95,'at SD'!F95,'at Hou'!F95,'vs NYG'!F95,'at NYJ'!F95,'at GB'!F95,'vs Pit'!F95,'vs SD'!F95,'at KC'!F95,'vs Oak'!F95,'vs NYJ'!F95,'at Den'!F95,'vs Cle'!F95)</f>
        <v>33</v>
      </c>
      <c r="G95">
        <f>+'at Cin'!G95+'vs Den'!G95+'at Oak'!G95+'vs KC'!G95+'at SD'!G95+'at Hou'!G95+'vs NYG'!G95+'at NYJ'!G95+'at GB'!G95+'vs Pit'!G95+'vs SD'!G95+'at KC'!G95+'vs Oak'!G95+'vs NYJ'!G95+'at Den'!G95+'vs Cle'!G95</f>
        <v>4</v>
      </c>
      <c r="H95">
        <f>+'at Cin'!H95+'vs Den'!H95+'at Oak'!H95+'vs KC'!H95+'at SD'!H95+'at Hou'!H95+'vs NYG'!H95+'at NYJ'!H95+'at GB'!H95+'vs Pit'!H95+'vs SD'!H95+'at KC'!H95+'vs Oak'!H95+'vs NYJ'!H95+'at Den'!H95+'vs Cle'!H95</f>
        <v>0</v>
      </c>
      <c r="K95">
        <v>27</v>
      </c>
      <c r="L95">
        <v>350</v>
      </c>
      <c r="M95" s="12">
        <f t="shared" si="3"/>
        <v>12.962962962962964</v>
      </c>
      <c r="N95">
        <v>80</v>
      </c>
      <c r="P95" s="19"/>
      <c r="Q95" s="19"/>
    </row>
    <row r="96" spans="1:17" ht="12">
      <c r="A96" t="s">
        <v>115</v>
      </c>
      <c r="B96" t="s">
        <v>167</v>
      </c>
      <c r="C96">
        <f>+'at Cin'!C96+'vs Den'!C96+'at Oak'!C96+'vs KC'!C96+'at SD'!C96+'at Hou'!C96+'vs NYG'!C96+'at NYJ'!C96+'at GB'!C96+'vs Pit'!C96+'vs SD'!C96+'at KC'!C96+'vs Oak'!C96+'vs NYJ'!C96+'at Den'!C96+'vs Cle'!C96</f>
        <v>29</v>
      </c>
      <c r="D96">
        <f>+'at Cin'!D96+'vs Den'!D96+'at Oak'!D96+'vs KC'!D96+'at SD'!D96+'at Hou'!D96+'vs NYG'!D96+'at NYJ'!D96+'at GB'!D96+'vs Pit'!D96+'vs SD'!D96+'at KC'!D96+'vs Oak'!D96+'vs NYJ'!D96+'at Den'!D96+'vs Cle'!D96</f>
        <v>150</v>
      </c>
      <c r="E96" s="12">
        <f t="shared" si="2"/>
        <v>5.172413793103448</v>
      </c>
      <c r="F96">
        <f>MAX('at Cin'!F96,'vs Den'!F96,'at Oak'!F96,'vs KC'!F96,'at SD'!F96,'at Hou'!F96,'vs NYG'!F96,'at NYJ'!F96,'at GB'!F96,'vs Pit'!F96,'vs SD'!F96,'at KC'!F96,'vs Oak'!F96,'vs NYJ'!F96,'at Den'!F96,'vs Cle'!F96)</f>
        <v>15</v>
      </c>
      <c r="G96">
        <f>+'at Cin'!G96+'vs Den'!G96+'at Oak'!G96+'vs KC'!G96+'at SD'!G96+'at Hou'!G96+'vs NYG'!G96+'at NYJ'!G96+'at GB'!G96+'vs Pit'!G96+'vs SD'!G96+'at KC'!G96+'vs Oak'!G96+'vs NYJ'!G96+'at Den'!G96+'vs Cle'!G96</f>
        <v>2</v>
      </c>
      <c r="H96">
        <f>+'at Cin'!H96+'vs Den'!H96+'at Oak'!H96+'vs KC'!H96+'at SD'!H96+'at Hou'!H96+'vs NYG'!H96+'at NYJ'!H96+'at GB'!H96+'vs Pit'!H96+'vs SD'!H96+'at KC'!H96+'vs Oak'!H96+'vs NYJ'!H96+'at Den'!H96+'vs Cle'!H96</f>
        <v>0</v>
      </c>
      <c r="K96">
        <v>35</v>
      </c>
      <c r="L96">
        <v>263</v>
      </c>
      <c r="M96" s="12">
        <f t="shared" si="3"/>
        <v>7.514285714285714</v>
      </c>
      <c r="N96">
        <v>22</v>
      </c>
      <c r="P96" s="19"/>
      <c r="Q96" s="19"/>
    </row>
    <row r="97" spans="1:17" ht="12">
      <c r="A97" t="s">
        <v>117</v>
      </c>
      <c r="B97" t="s">
        <v>167</v>
      </c>
      <c r="C97">
        <f>+'at Cin'!C97+'vs Den'!C97+'at Oak'!C97+'vs KC'!C97+'at SD'!C97+'at Hou'!C97+'vs NYG'!C97+'at NYJ'!C97+'at GB'!C97+'vs Pit'!C97+'vs SD'!C97+'at KC'!C97+'vs Oak'!C97+'vs NYJ'!C97+'at Den'!C97+'vs Cle'!C97</f>
        <v>2</v>
      </c>
      <c r="D97">
        <f>+'at Cin'!D97+'vs Den'!D97+'at Oak'!D97+'vs KC'!D97+'at SD'!D97+'at Hou'!D97+'vs NYG'!D97+'at NYJ'!D97+'at GB'!D97+'vs Pit'!D97+'vs SD'!D97+'at KC'!D97+'vs Oak'!D97+'vs NYJ'!D97+'at Den'!D97+'vs Cle'!D97</f>
        <v>8</v>
      </c>
      <c r="E97" s="12">
        <f t="shared" si="2"/>
        <v>4</v>
      </c>
      <c r="F97">
        <f>MAX('at Cin'!F97,'vs Den'!F97,'at Oak'!F97,'vs KC'!F97,'at SD'!F97,'at Hou'!F97,'vs NYG'!F97,'at NYJ'!F97,'at GB'!F97,'vs Pit'!F97,'vs SD'!F97,'at KC'!F97,'vs Oak'!F97,'vs NYJ'!F97,'at Den'!F97,'vs Cle'!F97)</f>
        <v>5</v>
      </c>
      <c r="G97">
        <f>+'at Cin'!G97+'vs Den'!G97+'at Oak'!G97+'vs KC'!G97+'at SD'!G97+'at Hou'!G97+'vs NYG'!G97+'at NYJ'!G97+'at GB'!G97+'vs Pit'!G97+'vs SD'!G97+'at KC'!G97+'vs Oak'!G97+'vs NYJ'!G97+'at Den'!G97+'vs Cle'!G97</f>
        <v>0</v>
      </c>
      <c r="H97">
        <f>+'at Cin'!H97+'vs Den'!H97+'at Oak'!H97+'vs KC'!H97+'at SD'!H97+'at Hou'!H97+'vs NYG'!H97+'at NYJ'!H97+'at GB'!H97+'vs Pit'!H97+'vs SD'!H97+'at KC'!H97+'vs Oak'!H97+'vs NYJ'!H97+'at Den'!H97+'vs Cle'!H97</f>
        <v>0</v>
      </c>
      <c r="K97">
        <v>4</v>
      </c>
      <c r="L97">
        <v>52</v>
      </c>
      <c r="M97" s="12">
        <f t="shared" si="3"/>
        <v>13</v>
      </c>
      <c r="N97">
        <v>26</v>
      </c>
      <c r="P97" s="19"/>
      <c r="Q97" s="19"/>
    </row>
    <row r="98" spans="1:17" ht="12">
      <c r="A98" t="s">
        <v>128</v>
      </c>
      <c r="B98" t="s">
        <v>167</v>
      </c>
      <c r="C98">
        <f>+'at Cin'!C98+'vs Den'!C98+'at Oak'!C98+'vs KC'!C98+'at SD'!C98+'at Hou'!C98+'vs NYG'!C98+'at NYJ'!C98+'at GB'!C98+'vs Pit'!C98+'vs SD'!C98+'at KC'!C98+'vs Oak'!C98+'vs NYJ'!C98+'at Den'!C98+'vs Cle'!C98</f>
        <v>7</v>
      </c>
      <c r="D98">
        <f>+'at Cin'!D98+'vs Den'!D98+'at Oak'!D98+'vs KC'!D98+'at SD'!D98+'at Hou'!D98+'vs NYG'!D98+'at NYJ'!D98+'at GB'!D98+'vs Pit'!D98+'vs SD'!D98+'at KC'!D98+'vs Oak'!D98+'vs NYJ'!D98+'at Den'!D98+'vs Cle'!D98</f>
        <v>114</v>
      </c>
      <c r="E98" s="12">
        <f t="shared" si="2"/>
        <v>16.285714285714285</v>
      </c>
      <c r="F98">
        <f>MAX('at Cin'!F98,'vs Den'!F98,'at Oak'!F98,'vs KC'!F98,'at SD'!F98,'at Hou'!F98,'vs NYG'!F98,'at NYJ'!F98,'at GB'!F98,'vs Pit'!F98,'vs SD'!F98,'at KC'!F98,'vs Oak'!F98,'vs NYJ'!F98,'at Den'!F98,'vs Cle'!F98)</f>
        <v>31</v>
      </c>
      <c r="G98">
        <f>+'at Cin'!G98+'vs Den'!G98+'at Oak'!G98+'vs KC'!G98+'at SD'!G98+'at Hou'!G98+'vs NYG'!G98+'at NYJ'!G98+'at GB'!G98+'vs Pit'!G98+'vs SD'!G98+'at KC'!G98+'vs Oak'!G98+'vs NYJ'!G98+'at Den'!G98+'vs Cle'!G98</f>
        <v>0</v>
      </c>
      <c r="H98">
        <f>+'at Cin'!H98+'vs Den'!H98+'at Oak'!H98+'vs KC'!H98+'at SD'!H98+'at Hou'!H98+'vs NYG'!H98+'at NYJ'!H98+'at GB'!H98+'vs Pit'!H98+'vs SD'!H98+'at KC'!H98+'vs Oak'!H98+'vs NYJ'!H98+'at Den'!H98+'vs Cle'!H98</f>
        <v>0</v>
      </c>
      <c r="K98">
        <v>8</v>
      </c>
      <c r="L98">
        <v>131</v>
      </c>
      <c r="M98" s="12">
        <f t="shared" si="3"/>
        <v>16.375</v>
      </c>
      <c r="N98">
        <v>34</v>
      </c>
      <c r="P98" s="19"/>
      <c r="Q98" s="19"/>
    </row>
    <row r="99" spans="1:17" ht="12">
      <c r="A99" t="s">
        <v>119</v>
      </c>
      <c r="B99" t="s">
        <v>167</v>
      </c>
      <c r="C99">
        <f>+'at Cin'!C99+'vs Den'!C99+'at Oak'!C99+'vs KC'!C99+'at SD'!C99+'at Hou'!C99+'vs NYG'!C99+'at NYJ'!C99+'at GB'!C99+'vs Pit'!C99+'vs SD'!C99+'at KC'!C99+'vs Oak'!C99+'vs NYJ'!C99+'at Den'!C99+'vs Cle'!C99</f>
        <v>8</v>
      </c>
      <c r="D99">
        <f>+'at Cin'!D99+'vs Den'!D99+'at Oak'!D99+'vs KC'!D99+'at SD'!D99+'at Hou'!D99+'vs NYG'!D99+'at NYJ'!D99+'at GB'!D99+'vs Pit'!D99+'vs SD'!D99+'at KC'!D99+'vs Oak'!D99+'vs NYJ'!D99+'at Den'!D99+'vs Cle'!D99</f>
        <v>59</v>
      </c>
      <c r="E99" s="12">
        <f t="shared" si="2"/>
        <v>7.375</v>
      </c>
      <c r="F99">
        <f>MAX('at Cin'!F99,'vs Den'!F99,'at Oak'!F99,'vs KC'!F99,'at SD'!F99,'at Hou'!F99,'vs NYG'!F99,'at NYJ'!F99,'at GB'!F99,'vs Pit'!F99,'vs SD'!F99,'at KC'!F99,'vs Oak'!F99,'vs NYJ'!F99,'at Den'!F99,'vs Cle'!F99)</f>
        <v>33</v>
      </c>
      <c r="G99">
        <f>+'at Cin'!G99+'vs Den'!G99+'at Oak'!G99+'vs KC'!G99+'at SD'!G99+'at Hou'!G99+'vs NYG'!G99+'at NYJ'!G99+'at GB'!G99+'vs Pit'!G99+'vs SD'!G99+'at KC'!G99+'vs Oak'!G99+'vs NYJ'!G99+'at Den'!G99+'vs Cle'!G99</f>
        <v>0</v>
      </c>
      <c r="H99">
        <f>+'at Cin'!H99+'vs Den'!H99+'at Oak'!H99+'vs KC'!H99+'at SD'!H99+'at Hou'!H99+'vs NYG'!H99+'at NYJ'!H99+'at GB'!H99+'vs Pit'!H99+'vs SD'!H99+'at KC'!H99+'vs Oak'!H99+'vs NYJ'!H99+'at Den'!H99+'vs Cle'!H99</f>
        <v>0</v>
      </c>
      <c r="K99">
        <v>7</v>
      </c>
      <c r="L99">
        <v>58</v>
      </c>
      <c r="M99" s="12">
        <f t="shared" si="3"/>
        <v>8.285714285714286</v>
      </c>
      <c r="N99">
        <v>22</v>
      </c>
      <c r="P99" s="19"/>
      <c r="Q99" s="19"/>
    </row>
    <row r="100" spans="1:17" ht="12">
      <c r="A100" t="s">
        <v>120</v>
      </c>
      <c r="B100" t="s">
        <v>167</v>
      </c>
      <c r="C100">
        <f>+'at Cin'!C100+'vs Den'!C100+'at Oak'!C100+'vs KC'!C100+'at SD'!C100+'at Hou'!C100+'vs NYG'!C100+'at NYJ'!C100+'at GB'!C100+'vs Pit'!C100+'vs SD'!C100+'at KC'!C100+'vs Oak'!C100+'vs NYJ'!C100+'at Den'!C100+'vs Cle'!C100</f>
        <v>84</v>
      </c>
      <c r="D100">
        <f>+'at Cin'!D100+'vs Den'!D100+'at Oak'!D100+'vs KC'!D100+'at SD'!D100+'at Hou'!D100+'vs NYG'!D100+'at NYJ'!D100+'at GB'!D100+'vs Pit'!D100+'vs SD'!D100+'at KC'!D100+'vs Oak'!D100+'vs NYJ'!D100+'at Den'!D100+'vs Cle'!D100</f>
        <v>1316</v>
      </c>
      <c r="E100" s="12">
        <f t="shared" si="2"/>
        <v>15.666666666666666</v>
      </c>
      <c r="F100">
        <f>MAX('at Cin'!F100,'vs Den'!F100,'at Oak'!F100,'vs KC'!F100,'at SD'!F100,'at Hou'!F100,'vs NYG'!F100,'at NYJ'!F100,'at GB'!F100,'vs Pit'!F100,'vs SD'!F100,'at KC'!F100,'vs Oak'!F100,'vs NYJ'!F100,'at Den'!F100,'vs Cle'!F100)</f>
        <v>49</v>
      </c>
      <c r="G100">
        <f>+'at Cin'!G100+'vs Den'!G100+'at Oak'!G100+'vs KC'!G100+'at SD'!G100+'at Hou'!G100+'vs NYG'!G100+'at NYJ'!G100+'at GB'!G100+'vs Pit'!G100+'vs SD'!G100+'at KC'!G100+'vs Oak'!G100+'vs NYJ'!G100+'at Den'!G100+'vs Cle'!G100</f>
        <v>4</v>
      </c>
      <c r="H100">
        <f>+'at Cin'!H100+'vs Den'!H100+'at Oak'!H100+'vs KC'!H100+'at SD'!H100+'at Hou'!H100+'vs NYG'!H100+'at NYJ'!H100+'at GB'!H100+'vs Pit'!H100+'vs SD'!H100+'at KC'!H100+'vs Oak'!H100+'vs NYJ'!H100+'at Den'!H100+'vs Cle'!H100</f>
        <v>2</v>
      </c>
      <c r="K100">
        <v>75</v>
      </c>
      <c r="L100">
        <v>1224</v>
      </c>
      <c r="M100" s="12">
        <f t="shared" si="3"/>
        <v>16.32</v>
      </c>
      <c r="N100">
        <v>57</v>
      </c>
      <c r="P100" s="19"/>
      <c r="Q100" s="19"/>
    </row>
    <row r="101" spans="1:17" ht="12">
      <c r="A101" t="s">
        <v>129</v>
      </c>
      <c r="B101" t="s">
        <v>167</v>
      </c>
      <c r="C101">
        <f>+'at Cin'!C101+'vs Den'!C101+'at Oak'!C101+'vs KC'!C101+'at SD'!C101+'at Hou'!C101+'vs NYG'!C101+'at NYJ'!C101+'at GB'!C101+'vs Pit'!C101+'vs SD'!C101+'at KC'!C101+'vs Oak'!C101+'vs NYJ'!C101+'at Den'!C101+'vs Cle'!C101</f>
        <v>39</v>
      </c>
      <c r="D101">
        <f>+'at Cin'!D101+'vs Den'!D101+'at Oak'!D101+'vs KC'!D101+'at SD'!D101+'at Hou'!D101+'vs NYG'!D101+'at NYJ'!D101+'at GB'!D101+'vs Pit'!D101+'vs SD'!D101+'at KC'!D101+'vs Oak'!D101+'vs NYJ'!D101+'at Den'!D101+'vs Cle'!D101</f>
        <v>423</v>
      </c>
      <c r="E101" s="12">
        <f t="shared" si="2"/>
        <v>10.846153846153847</v>
      </c>
      <c r="F101">
        <f>MAX('at Cin'!F101,'vs Den'!F101,'at Oak'!F101,'vs KC'!F101,'at SD'!F101,'at Hou'!F101,'vs NYG'!F101,'at NYJ'!F101,'at GB'!F101,'vs Pit'!F101,'vs SD'!F101,'at KC'!F101,'vs Oak'!F101,'vs NYJ'!F101,'at Den'!F101,'vs Cle'!F101)</f>
        <v>24</v>
      </c>
      <c r="G101">
        <f>+'at Cin'!G101+'vs Den'!G101+'at Oak'!G101+'vs KC'!G101+'at SD'!G101+'at Hou'!G101+'vs NYG'!G101+'at NYJ'!G101+'at GB'!G101+'vs Pit'!G101+'vs SD'!G101+'at KC'!G101+'vs Oak'!G101+'vs NYJ'!G101+'at Den'!G101+'vs Cle'!G101</f>
        <v>2</v>
      </c>
      <c r="H101">
        <f>+'at Cin'!H101+'vs Den'!H101+'at Oak'!H101+'vs KC'!H101+'at SD'!H101+'at Hou'!H101+'vs NYG'!H101+'at NYJ'!H101+'at GB'!H101+'vs Pit'!H101+'vs SD'!H101+'at KC'!H101+'vs Oak'!H101+'vs NYJ'!H101+'at Den'!H101+'vs Cle'!H101</f>
        <v>1</v>
      </c>
      <c r="K101">
        <v>46</v>
      </c>
      <c r="L101">
        <v>567</v>
      </c>
      <c r="M101" s="12">
        <f t="shared" si="3"/>
        <v>12.326086956521738</v>
      </c>
      <c r="N101">
        <v>36</v>
      </c>
      <c r="P101" s="19"/>
      <c r="Q101" s="19"/>
    </row>
    <row r="102" spans="1:14" ht="12">
      <c r="A102" t="s">
        <v>130</v>
      </c>
      <c r="B102" t="s">
        <v>167</v>
      </c>
      <c r="C102">
        <f>+'at Cin'!C102+'vs Den'!C102+'at Oak'!C102+'vs KC'!C102+'at SD'!C102+'at Hou'!C102+'vs NYG'!C102+'at NYJ'!C102+'at GB'!C102+'vs Pit'!C102+'vs SD'!C102+'at KC'!C102+'vs Oak'!C102+'vs NYJ'!C102+'at Den'!C102+'vs Cle'!C102</f>
        <v>3</v>
      </c>
      <c r="D102">
        <f>+'at Cin'!D102+'vs Den'!D102+'at Oak'!D102+'vs KC'!D102+'at SD'!D102+'at Hou'!D102+'vs NYG'!D102+'at NYJ'!D102+'at GB'!D102+'vs Pit'!D102+'vs SD'!D102+'at KC'!D102+'vs Oak'!D102+'vs NYJ'!D102+'at Den'!D102+'vs Cle'!D102</f>
        <v>31</v>
      </c>
      <c r="E102" s="12">
        <f t="shared" si="2"/>
        <v>10.333333333333334</v>
      </c>
      <c r="F102">
        <f>MAX('at Cin'!F102,'vs Den'!F102,'at Oak'!F102,'vs KC'!F102,'at SD'!F102,'at Hou'!F102,'vs NYG'!F102,'at NYJ'!F102,'at GB'!F102,'vs Pit'!F102,'vs SD'!F102,'at KC'!F102,'vs Oak'!F102,'vs NYJ'!F102,'at Den'!F102,'vs Cle'!F102)</f>
        <v>21</v>
      </c>
      <c r="G102">
        <f>+'at Cin'!G102+'vs Den'!G102+'at Oak'!G102+'vs KC'!G102+'at SD'!G102+'at Hou'!G102+'vs NYG'!G102+'at NYJ'!G102+'at GB'!G102+'vs Pit'!G102+'vs SD'!G102+'at KC'!G102+'vs Oak'!G102+'vs NYJ'!G102+'at Den'!G102+'vs Cle'!G102</f>
        <v>0</v>
      </c>
      <c r="H102">
        <f>+'at Cin'!H102+'vs Den'!H102+'at Oak'!H102+'vs KC'!H102+'at SD'!H102+'at Hou'!H102+'vs NYG'!H102+'at NYJ'!H102+'at GB'!H102+'vs Pit'!H102+'vs SD'!H102+'at KC'!H102+'vs Oak'!H102+'vs NYJ'!H102+'at Den'!H102+'vs Cle'!H102</f>
        <v>0</v>
      </c>
      <c r="K102">
        <v>4</v>
      </c>
      <c r="L102">
        <v>47</v>
      </c>
      <c r="M102" s="12">
        <f t="shared" si="3"/>
        <v>11.75</v>
      </c>
      <c r="N102">
        <v>16</v>
      </c>
    </row>
    <row r="103" spans="1:14" ht="12">
      <c r="A103" t="s">
        <v>122</v>
      </c>
      <c r="B103" t="s">
        <v>167</v>
      </c>
      <c r="C103">
        <f>+'at Cin'!C103+'vs Den'!C103+'at Oak'!C103+'vs KC'!C103+'at SD'!C103+'at Hou'!C103+'vs NYG'!C103+'at NYJ'!C103+'at GB'!C103+'vs Pit'!C103+'vs SD'!C103+'at KC'!C103+'vs Oak'!C103+'vs NYJ'!C103+'at Den'!C103+'vs Cle'!C103</f>
        <v>4</v>
      </c>
      <c r="D103">
        <f>+'at Cin'!D103+'vs Den'!D103+'at Oak'!D103+'vs KC'!D103+'at SD'!D103+'at Hou'!D103+'vs NYG'!D103+'at NYJ'!D103+'at GB'!D103+'vs Pit'!D103+'vs SD'!D103+'at KC'!D103+'vs Oak'!D103+'vs NYJ'!D103+'at Den'!D103+'vs Cle'!D103</f>
        <v>36</v>
      </c>
      <c r="E103" s="12">
        <f t="shared" si="2"/>
        <v>9</v>
      </c>
      <c r="F103">
        <f>MAX('at Cin'!F103,'vs Den'!F103,'at Oak'!F103,'vs KC'!F103,'at SD'!F103,'at Hou'!F103,'vs NYG'!F103,'at NYJ'!F103,'at GB'!F103,'vs Pit'!F103,'vs SD'!F103,'at KC'!F103,'vs Oak'!F103,'vs NYJ'!F103,'at Den'!F103,'vs Cle'!F103)</f>
        <v>11</v>
      </c>
      <c r="G103">
        <f>+'at Cin'!G103+'vs Den'!G103+'at Oak'!G103+'vs KC'!G103+'at SD'!G103+'at Hou'!G103+'vs NYG'!G103+'at NYJ'!G103+'at GB'!G103+'vs Pit'!G103+'vs SD'!G103+'at KC'!G103+'vs Oak'!G103+'vs NYJ'!G103+'at Den'!G103+'vs Cle'!G103</f>
        <v>0</v>
      </c>
      <c r="H103">
        <f>+'at Cin'!H103+'vs Den'!H103+'at Oak'!H103+'vs KC'!H103+'at SD'!H103+'at Hou'!H103+'vs NYG'!H103+'at NYJ'!H103+'at GB'!H103+'vs Pit'!H103+'vs SD'!H103+'at KC'!H103+'vs Oak'!H103+'vs NYJ'!H103+'at Den'!H103+'vs Cle'!H103</f>
        <v>0</v>
      </c>
      <c r="K103">
        <v>3</v>
      </c>
      <c r="L103">
        <v>18</v>
      </c>
      <c r="M103" s="12">
        <f t="shared" si="3"/>
        <v>6</v>
      </c>
      <c r="N103">
        <v>10</v>
      </c>
    </row>
    <row r="104" spans="1:14" ht="12">
      <c r="A104" t="s">
        <v>131</v>
      </c>
      <c r="B104" t="s">
        <v>167</v>
      </c>
      <c r="C104">
        <f>+'at Cin'!C104+'vs Den'!C104+'at Oak'!C104+'vs KC'!C104+'at SD'!C104+'at Hou'!C104+'vs NYG'!C104+'at NYJ'!C104+'at GB'!C104+'vs Pit'!C104+'vs SD'!C104+'at KC'!C104+'vs Oak'!C104+'vs NYJ'!C104+'at Den'!C104+'vs Cle'!C104</f>
        <v>2</v>
      </c>
      <c r="D104">
        <f>+'at Cin'!D104+'vs Den'!D104+'at Oak'!D104+'vs KC'!D104+'at SD'!D104+'at Hou'!D104+'vs NYG'!D104+'at NYJ'!D104+'at GB'!D104+'vs Pit'!D104+'vs SD'!D104+'at KC'!D104+'vs Oak'!D104+'vs NYJ'!D104+'at Den'!D104+'vs Cle'!D104</f>
        <v>11</v>
      </c>
      <c r="E104" s="12">
        <f t="shared" si="2"/>
        <v>5.5</v>
      </c>
      <c r="F104">
        <f>MAX('at Cin'!F104,'vs Den'!F104,'at Oak'!F104,'vs KC'!F104,'at SD'!F104,'at Hou'!F104,'vs NYG'!F104,'at NYJ'!F104,'at GB'!F104,'vs Pit'!F104,'vs SD'!F104,'at KC'!F104,'vs Oak'!F104,'vs NYJ'!F104,'at Den'!F104,'vs Cle'!F104)</f>
        <v>10</v>
      </c>
      <c r="G104">
        <f>+'at Cin'!G104+'vs Den'!G104+'at Oak'!G104+'vs KC'!G104+'at SD'!G104+'at Hou'!G104+'vs NYG'!G104+'at NYJ'!G104+'at GB'!G104+'vs Pit'!G104+'vs SD'!G104+'at KC'!G104+'vs Oak'!G104+'vs NYJ'!G104+'at Den'!G104+'vs Cle'!G104</f>
        <v>0</v>
      </c>
      <c r="H104">
        <f>+'at Cin'!H104+'vs Den'!H104+'at Oak'!H104+'vs KC'!H104+'at SD'!H104+'at Hou'!H104+'vs NYG'!H104+'at NYJ'!H104+'at GB'!H104+'vs Pit'!H104+'vs SD'!H104+'at KC'!H104+'vs Oak'!H104+'vs NYJ'!H104+'at Den'!H104+'vs Cle'!H104</f>
        <v>0</v>
      </c>
      <c r="K104">
        <v>1</v>
      </c>
      <c r="L104">
        <v>12</v>
      </c>
      <c r="M104" s="12">
        <f t="shared" si="3"/>
        <v>12</v>
      </c>
      <c r="N104">
        <v>12</v>
      </c>
    </row>
    <row r="105" spans="1:14" ht="12">
      <c r="A105" t="s">
        <v>132</v>
      </c>
      <c r="B105" t="s">
        <v>167</v>
      </c>
      <c r="C105">
        <f>+'at Cin'!C105+'vs Den'!C105+'at Oak'!C105+'vs KC'!C105+'at SD'!C105+'at Hou'!C105+'vs NYG'!C105+'at NYJ'!C105+'at GB'!C105+'vs Pit'!C105+'vs SD'!C105+'at KC'!C105+'vs Oak'!C105+'vs NYJ'!C105+'at Den'!C105+'vs Cle'!C105</f>
        <v>13</v>
      </c>
      <c r="D105">
        <f>+'at Cin'!D105+'vs Den'!D105+'at Oak'!D105+'vs KC'!D105+'at SD'!D105+'at Hou'!D105+'vs NYG'!D105+'at NYJ'!D105+'at GB'!D105+'vs Pit'!D105+'vs SD'!D105+'at KC'!D105+'vs Oak'!D105+'vs NYJ'!D105+'at Den'!D105+'vs Cle'!D105</f>
        <v>149</v>
      </c>
      <c r="E105" s="12">
        <f t="shared" si="2"/>
        <v>11.461538461538462</v>
      </c>
      <c r="F105">
        <f>MAX('at Cin'!F105,'vs Den'!F105,'at Oak'!F105,'vs KC'!F105,'at SD'!F105,'at Hou'!F105,'vs NYG'!F105,'at NYJ'!F105,'at GB'!F105,'vs Pit'!F105,'vs SD'!F105,'at KC'!F105,'vs Oak'!F105,'vs NYJ'!F105,'at Den'!F105,'vs Cle'!F105)</f>
        <v>30</v>
      </c>
      <c r="G105">
        <f>+'at Cin'!G105+'vs Den'!G105+'at Oak'!G105+'vs KC'!G105+'at SD'!G105+'at Hou'!G105+'vs NYG'!G105+'at NYJ'!G105+'at GB'!G105+'vs Pit'!G105+'vs SD'!G105+'at KC'!G105+'vs Oak'!G105+'vs NYJ'!G105+'at Den'!G105+'vs Cle'!G105</f>
        <v>1</v>
      </c>
      <c r="H105">
        <f>+'at Cin'!H105+'vs Den'!H105+'at Oak'!H105+'vs KC'!H105+'at SD'!H105+'at Hou'!H105+'vs NYG'!H105+'at NYJ'!H105+'at GB'!H105+'vs Pit'!H105+'vs SD'!H105+'at KC'!H105+'vs Oak'!H105+'vs NYJ'!H105+'at Den'!H105+'vs Cle'!H105</f>
        <v>0</v>
      </c>
      <c r="K105">
        <v>21</v>
      </c>
      <c r="L105">
        <v>272</v>
      </c>
      <c r="M105" s="12">
        <f t="shared" si="3"/>
        <v>12.952380952380953</v>
      </c>
      <c r="N105">
        <v>30</v>
      </c>
    </row>
    <row r="106" spans="1:14" ht="12">
      <c r="A106" t="s">
        <v>123</v>
      </c>
      <c r="B106" t="s">
        <v>167</v>
      </c>
      <c r="C106">
        <f>+'at Cin'!C106+'vs Den'!C106+'at Oak'!C106+'vs KC'!C106+'at SD'!C106+'at Hou'!C106+'vs NYG'!C106+'at NYJ'!C106+'at GB'!C106+'vs Pit'!C106+'vs SD'!C106+'at KC'!C106+'vs Oak'!C106+'vs NYJ'!C106+'at Den'!C106+'vs Cle'!C106</f>
        <v>53</v>
      </c>
      <c r="D106">
        <f>+'at Cin'!D106+'vs Den'!D106+'at Oak'!D106+'vs KC'!D106+'at SD'!D106+'at Hou'!D106+'vs NYG'!D106+'at NYJ'!D106+'at GB'!D106+'vs Pit'!D106+'vs SD'!D106+'at KC'!D106+'vs Oak'!D106+'vs NYJ'!D106+'at Den'!D106+'vs Cle'!D106</f>
        <v>482</v>
      </c>
      <c r="E106" s="12">
        <f>IF(C106=0,0,+D106/C106)</f>
        <v>9.09433962264151</v>
      </c>
      <c r="F106">
        <f>MAX('at Cin'!F106,'vs Den'!F106,'at Oak'!F106,'vs KC'!F106,'at SD'!F106,'at Hou'!F106,'vs NYG'!F106,'at NYJ'!F106,'at GB'!F106,'vs Pit'!F106,'vs SD'!F106,'at KC'!F106,'vs Oak'!F106,'vs NYJ'!F106,'at Den'!F106,'vs Cle'!F106)</f>
        <v>34</v>
      </c>
      <c r="G106">
        <f>+'at Cin'!G106+'vs Den'!G106+'at Oak'!G106+'vs KC'!G106+'at SD'!G106+'at Hou'!G106+'vs NYG'!G106+'at NYJ'!G106+'at GB'!G106+'vs Pit'!G106+'vs SD'!G106+'at KC'!G106+'vs Oak'!G106+'vs NYJ'!G106+'at Den'!G106+'vs Cle'!G106</f>
        <v>3</v>
      </c>
      <c r="H106">
        <f>+'at Cin'!H106+'vs Den'!H106+'at Oak'!H106+'vs KC'!H106+'at SD'!H106+'at Hou'!H106+'vs NYG'!H106+'at NYJ'!H106+'at GB'!H106+'vs Pit'!H106+'vs SD'!H106+'at KC'!H106+'vs Oak'!H106+'vs NYJ'!H106+'at Den'!H106+'vs Cle'!H106</f>
        <v>4</v>
      </c>
      <c r="K106">
        <v>44</v>
      </c>
      <c r="L106">
        <v>406</v>
      </c>
      <c r="M106" s="12">
        <f t="shared" si="3"/>
        <v>9.227272727272727</v>
      </c>
      <c r="N106">
        <v>28</v>
      </c>
    </row>
    <row r="107" spans="1:14" ht="12">
      <c r="A107" t="s">
        <v>133</v>
      </c>
      <c r="B107" t="s">
        <v>167</v>
      </c>
      <c r="C107">
        <f>+'at Cin'!C107+'vs Den'!C107+'at Oak'!C107+'vs KC'!C107+'at SD'!C107+'at Hou'!C107+'vs NYG'!C107+'at NYJ'!C107+'at GB'!C107+'vs Pit'!C107+'vs SD'!C107+'at KC'!C107+'vs Oak'!C107+'vs NYJ'!C107+'at Den'!C107+'vs Cle'!C107</f>
        <v>3</v>
      </c>
      <c r="D107">
        <f>+'at Cin'!D107+'vs Den'!D107+'at Oak'!D107+'vs KC'!D107+'at SD'!D107+'at Hou'!D107+'vs NYG'!D107+'at NYJ'!D107+'at GB'!D107+'vs Pit'!D107+'vs SD'!D107+'at KC'!D107+'vs Oak'!D107+'vs NYJ'!D107+'at Den'!D107+'vs Cle'!D107</f>
        <v>18</v>
      </c>
      <c r="E107" s="12">
        <f>IF(C107=0,0,+D107/C107)</f>
        <v>6</v>
      </c>
      <c r="F107">
        <f>MAX('at Cin'!F107,'vs Den'!F107,'at Oak'!F107,'vs KC'!F107,'at SD'!F107,'at Hou'!F107,'vs NYG'!F107,'at NYJ'!F107,'at GB'!F107,'vs Pit'!F107,'vs SD'!F107,'at KC'!F107,'vs Oak'!F107,'vs NYJ'!F107,'at Den'!F107,'vs Cle'!F107)</f>
        <v>9</v>
      </c>
      <c r="G107">
        <f>+'at Cin'!G107+'vs Den'!G107+'at Oak'!G107+'vs KC'!G107+'at SD'!G107+'at Hou'!G107+'vs NYG'!G107+'at NYJ'!G107+'at GB'!G107+'vs Pit'!G107+'vs SD'!G107+'at KC'!G107+'vs Oak'!G107+'vs NYJ'!G107+'at Den'!G107+'vs Cle'!G107</f>
        <v>0</v>
      </c>
      <c r="H107">
        <f>+'at Cin'!H107+'vs Den'!H107+'at Oak'!H107+'vs KC'!H107+'at SD'!H107+'at Hou'!H107+'vs NYG'!H107+'at NYJ'!H107+'at GB'!H107+'vs Pit'!H107+'vs SD'!H107+'at KC'!H107+'vs Oak'!H107+'vs NYJ'!H107+'at Den'!H107+'vs Cle'!H107</f>
        <v>0</v>
      </c>
      <c r="K107">
        <v>5</v>
      </c>
      <c r="L107">
        <v>47</v>
      </c>
      <c r="M107" s="12">
        <f t="shared" si="3"/>
        <v>9.4</v>
      </c>
      <c r="N107">
        <v>14</v>
      </c>
    </row>
    <row r="108" ht="12">
      <c r="E108" s="12"/>
    </row>
    <row r="109" ht="12">
      <c r="E109" s="12"/>
    </row>
    <row r="110" ht="12">
      <c r="E110" s="8"/>
    </row>
    <row r="111" spans="1:17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  <c r="Q111" s="3" t="s">
        <v>108</v>
      </c>
    </row>
    <row r="112" spans="1:17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  <c r="P112" s="3" t="s">
        <v>106</v>
      </c>
      <c r="Q112" s="3" t="s">
        <v>61</v>
      </c>
    </row>
    <row r="113" spans="1:25" ht="12">
      <c r="A113" t="s">
        <v>112</v>
      </c>
      <c r="B113" t="s">
        <v>167</v>
      </c>
      <c r="C113">
        <f>+'at Cin'!C113+'vs Den'!C113+'at Oak'!C113+'vs KC'!C113+'at SD'!C113+'at Hou'!C113+'vs NYG'!C113+'at NYJ'!C113+'at GB'!C113+'vs Pit'!C113+'vs SD'!C113+'at KC'!C113+'vs Oak'!C113+'vs NYJ'!C113+'at Den'!C113+'vs Cle'!C113</f>
        <v>9</v>
      </c>
      <c r="D113">
        <f>+'at Cin'!D113+'vs Den'!D113+'at Oak'!D113+'vs KC'!D113+'at SD'!D113+'at Hou'!D113+'vs NYG'!D113+'at NYJ'!D113+'at GB'!D113+'vs Pit'!D113+'vs SD'!D113+'at KC'!D113+'vs Oak'!D113+'vs NYJ'!D113+'at Den'!D113+'vs Cle'!D113</f>
        <v>7</v>
      </c>
      <c r="E113" s="12">
        <f aca="true" t="shared" si="4" ref="E113:E118">IF(C113=0,0,+D113/C113*100)</f>
        <v>77.77777777777779</v>
      </c>
      <c r="F113">
        <f>+'at Cin'!F113+'vs Den'!F113+'at Oak'!F113+'vs KC'!F113+'at SD'!F113+'at Hou'!F113+'vs NYG'!F113+'at NYJ'!F113+'at GB'!F113+'vs Pit'!F113+'vs SD'!F113+'at KC'!F113+'vs Oak'!F113+'vs NYJ'!F113+'at Den'!F113+'vs Cle'!F113</f>
        <v>147</v>
      </c>
      <c r="G113">
        <f>+'at Cin'!G113+'vs Den'!G113+'at Oak'!G113+'vs KC'!G113+'at SD'!G113+'at Hou'!G113+'vs NYG'!G113+'at NYJ'!G113+'at GB'!G113+'vs Pit'!G113+'vs SD'!G113+'at KC'!G113+'vs Oak'!G113+'vs NYJ'!G113+'at Den'!G113+'vs Cle'!G113</f>
        <v>1</v>
      </c>
      <c r="H113">
        <f>MAX('at Cin'!H113,'vs Den'!H113,'at Oak'!H113,'vs KC'!H113,'at SD'!H113,'at Hou'!H113,'vs NYG'!H113,'at NYJ'!H113,'at GB'!H113,'vs Pit'!H113,'vs SD'!H113,'at KC'!H113,'vs Oak'!H113,'vs NYJ'!H113,'at Den'!H113,'vs Cle'!H113)</f>
        <v>42</v>
      </c>
      <c r="I113">
        <f>+'at Cin'!I113+'vs Den'!I113+'at Oak'!I113+'vs KC'!I113+'at SD'!I113+'at Hou'!I113+'vs NYG'!I113+'at NYJ'!I113+'at GB'!I113+'vs Pit'!I113+'vs SD'!I113+'at KC'!I113+'vs Oak'!I113+'vs NYJ'!I113+'at Den'!I113+'vs Cle'!I113</f>
        <v>0</v>
      </c>
      <c r="J113" s="8">
        <f aca="true" t="shared" si="5" ref="J113:J118">IF($C113=0,0,+G113/C113*100)</f>
        <v>11.11111111111111</v>
      </c>
      <c r="K113" s="12">
        <f aca="true" t="shared" si="6" ref="K113:K118">IF(C113=0,0,+I113/C113*100)</f>
        <v>0</v>
      </c>
      <c r="L113" s="12">
        <f aca="true" t="shared" si="7" ref="L113:L118">IF(C113=0,0,+F113/C113)</f>
        <v>16.333333333333332</v>
      </c>
      <c r="M113" s="12">
        <f aca="true" t="shared" si="8" ref="M113:M118">IF(C113=0,0,100*(S113+U113+W113+Y113)/6)</f>
        <v>155.78703703703704</v>
      </c>
      <c r="N113">
        <f>+'at Cin'!N113+'vs Den'!N113+'at Oak'!N113+'vs KC'!N113+'at SD'!N113+'at Hou'!N113+'vs NYG'!N113+'at NYJ'!N113+'at GB'!N113+'vs Pit'!N113+'vs SD'!N113+'at KC'!N113+'vs Oak'!N113+'vs NYJ'!N113+'at Den'!N113+'vs Cle'!N113</f>
        <v>0</v>
      </c>
      <c r="O113">
        <f>+'at Cin'!O113+'vs Den'!O113+'at Oak'!O113+'vs KC'!O113+'at SD'!O113+'at Hou'!O113+'vs NYG'!O113+'at NYJ'!O113+'at GB'!O113+'vs Pit'!O113+'vs SD'!O113+'at KC'!O113+'vs Oak'!O113+'vs NYJ'!O113+'at Den'!O113+'vs Cle'!O113</f>
        <v>1</v>
      </c>
      <c r="P113" s="15">
        <f aca="true" t="shared" si="9" ref="P113:P118">IF(D113=0,0,F113/D113)</f>
        <v>21</v>
      </c>
      <c r="Q113" s="15">
        <f aca="true" t="shared" si="10" ref="Q113:Q118">IF(C113=0,0,O113/(C113+O113))*100</f>
        <v>10</v>
      </c>
      <c r="R113">
        <f aca="true" t="shared" si="11" ref="R113:R118">+(E113-30)/20</f>
        <v>2.3888888888888893</v>
      </c>
      <c r="S113" s="2">
        <f aca="true" t="shared" si="12" ref="S113:S118">IF(R113&lt;0,0,IF(R113&gt;2.375,2.375,R113))</f>
        <v>2.375</v>
      </c>
      <c r="T113" s="6">
        <f aca="true" t="shared" si="13" ref="T113:T118">+(L113-3)/4</f>
        <v>3.333333333333333</v>
      </c>
      <c r="U113" s="2">
        <f aca="true" t="shared" si="14" ref="U113:U118">IF(T113&lt;0,0,IF(T113&gt;2.375,2.375,T113))</f>
        <v>2.375</v>
      </c>
      <c r="V113">
        <f aca="true" t="shared" si="15" ref="V113:V118">+J113/5</f>
        <v>2.2222222222222223</v>
      </c>
      <c r="W113" s="2">
        <f aca="true" t="shared" si="16" ref="W113:W118">IF(V113&lt;0,0,IF(V113&gt;2.375,2.375,V113))</f>
        <v>2.2222222222222223</v>
      </c>
      <c r="X113">
        <f aca="true" t="shared" si="17" ref="X113:X118">(9.5-K113)/4</f>
        <v>2.375</v>
      </c>
      <c r="Y113" s="2">
        <f aca="true" t="shared" si="18" ref="Y113:Y118">IF(X113&lt;0,0,X113)</f>
        <v>2.375</v>
      </c>
    </row>
    <row r="114" spans="1:25" ht="12">
      <c r="A114" t="s">
        <v>118</v>
      </c>
      <c r="B114" t="s">
        <v>167</v>
      </c>
      <c r="C114">
        <f>+'at Cin'!C114+'vs Den'!C114+'at Oak'!C114+'vs KC'!C114+'at SD'!C114+'at Hou'!C114+'vs NYG'!C114+'at NYJ'!C114+'at GB'!C114+'vs Pit'!C114+'vs SD'!C114+'at KC'!C114+'vs Oak'!C114+'vs NYJ'!C114+'at Den'!C114+'vs Cle'!C114</f>
        <v>96</v>
      </c>
      <c r="D114">
        <f>+'at Cin'!D114+'vs Den'!D114+'at Oak'!D114+'vs KC'!D114+'at SD'!D114+'at Hou'!D114+'vs NYG'!D114+'at NYJ'!D114+'at GB'!D114+'vs Pit'!D114+'vs SD'!D114+'at KC'!D114+'vs Oak'!D114+'vs NYJ'!D114+'at Den'!D114+'vs Cle'!D114</f>
        <v>55</v>
      </c>
      <c r="E114" s="12">
        <f t="shared" si="4"/>
        <v>57.291666666666664</v>
      </c>
      <c r="F114">
        <f>+'at Cin'!F114+'vs Den'!F114+'at Oak'!F114+'vs KC'!F114+'at SD'!F114+'at Hou'!F114+'vs NYG'!F114+'at NYJ'!F114+'at GB'!F114+'vs Pit'!F114+'vs SD'!F114+'at KC'!F114+'vs Oak'!F114+'vs NYJ'!F114+'at Den'!F114+'vs Cle'!F114</f>
        <v>695</v>
      </c>
      <c r="G114">
        <f>+'at Cin'!G114+'vs Den'!G114+'at Oak'!G114+'vs KC'!G114+'at SD'!G114+'at Hou'!G114+'vs NYG'!G114+'at NYJ'!G114+'at GB'!G114+'vs Pit'!G114+'vs SD'!G114+'at KC'!G114+'vs Oak'!G114+'vs NYJ'!G114+'at Den'!G114+'vs Cle'!G114</f>
        <v>4</v>
      </c>
      <c r="H114">
        <f>MAX('at Cin'!H114,'vs Den'!H114,'at Oak'!H114,'vs KC'!H114,'at SD'!H114,'at Hou'!H114,'vs NYG'!H114,'at NYJ'!H114,'at GB'!H114,'vs Pit'!H114,'vs SD'!H114,'at KC'!H114,'vs Oak'!H114,'vs NYJ'!H114,'at Den'!H114,'vs Cle'!H114)</f>
        <v>50</v>
      </c>
      <c r="I114">
        <f>+'at Cin'!I114+'vs Den'!I114+'at Oak'!I114+'vs KC'!I114+'at SD'!I114+'at Hou'!I114+'vs NYG'!I114+'at NYJ'!I114+'at GB'!I114+'vs Pit'!I114+'vs SD'!I114+'at KC'!I114+'vs Oak'!I114+'vs NYJ'!I114+'at Den'!I114+'vs Cle'!I114</f>
        <v>6</v>
      </c>
      <c r="J114" s="8">
        <f t="shared" si="5"/>
        <v>4.166666666666666</v>
      </c>
      <c r="K114" s="12">
        <f t="shared" si="6"/>
        <v>6.25</v>
      </c>
      <c r="L114" s="12">
        <f t="shared" si="7"/>
        <v>7.239583333333333</v>
      </c>
      <c r="M114" s="12">
        <f t="shared" si="8"/>
        <v>67.83854166666667</v>
      </c>
      <c r="N114">
        <f>+'at Cin'!N114+'vs Den'!N114+'at Oak'!N114+'vs KC'!N114+'at SD'!N114+'at Hou'!N114+'vs NYG'!N114+'at NYJ'!N114+'at GB'!N114+'vs Pit'!N114+'vs SD'!N114+'at KC'!N114+'vs Oak'!N114+'vs NYJ'!N114+'at Den'!N114+'vs Cle'!N114</f>
        <v>3</v>
      </c>
      <c r="O114">
        <f>+'at Cin'!O114+'vs Den'!O114+'at Oak'!O114+'vs KC'!O114+'at SD'!O114+'at Hou'!O114+'vs NYG'!O114+'at NYJ'!O114+'at GB'!O114+'vs Pit'!O114+'vs SD'!O114+'at KC'!O114+'vs Oak'!O114+'vs NYJ'!O114+'at Den'!O114+'vs Cle'!O114</f>
        <v>14</v>
      </c>
      <c r="P114" s="15">
        <f t="shared" si="9"/>
        <v>12.636363636363637</v>
      </c>
      <c r="Q114" s="15">
        <f t="shared" si="10"/>
        <v>12.727272727272727</v>
      </c>
      <c r="R114">
        <f t="shared" si="11"/>
        <v>1.3645833333333333</v>
      </c>
      <c r="S114" s="2">
        <f t="shared" si="12"/>
        <v>1.3645833333333333</v>
      </c>
      <c r="T114" s="6">
        <f t="shared" si="13"/>
        <v>1.0598958333333333</v>
      </c>
      <c r="U114" s="2">
        <f t="shared" si="14"/>
        <v>1.0598958333333333</v>
      </c>
      <c r="V114">
        <f t="shared" si="15"/>
        <v>0.8333333333333333</v>
      </c>
      <c r="W114" s="2">
        <f t="shared" si="16"/>
        <v>0.8333333333333333</v>
      </c>
      <c r="X114">
        <f t="shared" si="17"/>
        <v>0.8125</v>
      </c>
      <c r="Y114" s="2">
        <f t="shared" si="18"/>
        <v>0.8125</v>
      </c>
    </row>
    <row r="115" spans="1:25" ht="12">
      <c r="A115" t="s">
        <v>120</v>
      </c>
      <c r="B115" t="s">
        <v>167</v>
      </c>
      <c r="C115">
        <f>+'at Cin'!C115+'vs Den'!C115+'at Oak'!C115+'vs KC'!C115+'at SD'!C115+'at Hou'!C115+'vs NYG'!C115+'at NYJ'!C115+'at GB'!C115+'vs Pit'!C115+'vs SD'!C115+'at KC'!C115+'vs Oak'!C115+'vs NYJ'!C115+'at Den'!C115+'vs Cle'!C115</f>
        <v>1</v>
      </c>
      <c r="D115">
        <f>+'at Cin'!D115+'vs Den'!D115+'at Oak'!D115+'vs KC'!D115+'at SD'!D115+'at Hou'!D115+'vs NYG'!D115+'at NYJ'!D115+'at GB'!D115+'vs Pit'!D115+'vs SD'!D115+'at KC'!D115+'vs Oak'!D115+'vs NYJ'!D115+'at Den'!D115+'vs Cle'!D115</f>
        <v>0</v>
      </c>
      <c r="E115" s="12">
        <f t="shared" si="4"/>
        <v>0</v>
      </c>
      <c r="F115">
        <f>+'at Cin'!F115+'vs Den'!F115+'at Oak'!F115+'vs KC'!F115+'at SD'!F115+'at Hou'!F115+'vs NYG'!F115+'at NYJ'!F115+'at GB'!F115+'vs Pit'!F115+'vs SD'!F115+'at KC'!F115+'vs Oak'!F115+'vs NYJ'!F115+'at Den'!F115+'vs Cle'!F115</f>
        <v>0</v>
      </c>
      <c r="G115">
        <f>+'at Cin'!G115+'vs Den'!G115+'at Oak'!G115+'vs KC'!G115+'at SD'!G115+'at Hou'!G115+'vs NYG'!G115+'at NYJ'!G115+'at GB'!G115+'vs Pit'!G115+'vs SD'!G115+'at KC'!G115+'vs Oak'!G115+'vs NYJ'!G115+'at Den'!G115+'vs Cle'!G115</f>
        <v>0</v>
      </c>
      <c r="H115">
        <f>MAX('at Cin'!H115,'vs Den'!H115,'at Oak'!H115,'vs KC'!H115,'at SD'!H115,'at Hou'!H115,'vs NYG'!H115,'at NYJ'!H115,'at GB'!H115,'vs Pit'!H115,'vs SD'!H115,'at KC'!H115,'vs Oak'!H115,'vs NYJ'!H115,'at Den'!H115,'vs Cle'!H115)</f>
        <v>0</v>
      </c>
      <c r="I115">
        <f>+'at Cin'!I115+'vs Den'!I115+'at Oak'!I115+'vs KC'!I115+'at SD'!I115+'at Hou'!I115+'vs NYG'!I115+'at NYJ'!I115+'at GB'!I115+'vs Pit'!I115+'vs SD'!I115+'at KC'!I115+'vs Oak'!I115+'vs NYJ'!I115+'at Den'!I115+'vs Cle'!I115</f>
        <v>0</v>
      </c>
      <c r="J115" s="8">
        <f t="shared" si="5"/>
        <v>0</v>
      </c>
      <c r="K115" s="12">
        <f t="shared" si="6"/>
        <v>0</v>
      </c>
      <c r="L115" s="12">
        <f t="shared" si="7"/>
        <v>0</v>
      </c>
      <c r="M115" s="12">
        <f t="shared" si="8"/>
        <v>39.583333333333336</v>
      </c>
      <c r="N115">
        <f>+'at Cin'!N115+'vs Den'!N115+'at Oak'!N115+'vs KC'!N115+'at SD'!N115+'at Hou'!N115+'vs NYG'!N115+'at NYJ'!N115+'at GB'!N115+'vs Pit'!N115+'vs SD'!N115+'at KC'!N115+'vs Oak'!N115+'vs NYJ'!N115+'at Den'!N115+'vs Cle'!N115</f>
        <v>0</v>
      </c>
      <c r="O115">
        <f>+'at Cin'!O115+'vs Den'!O115+'at Oak'!O115+'vs KC'!O115+'at SD'!O115+'at Hou'!O115+'vs NYG'!O115+'at NYJ'!O115+'at GB'!O115+'vs Pit'!O115+'vs SD'!O115+'at KC'!O115+'vs Oak'!O115+'vs NYJ'!O115+'at Den'!O115+'vs Cle'!O115</f>
        <v>0</v>
      </c>
      <c r="P115" s="15">
        <f t="shared" si="9"/>
        <v>0</v>
      </c>
      <c r="Q115" s="15">
        <f t="shared" si="10"/>
        <v>0</v>
      </c>
      <c r="R115">
        <f t="shared" si="11"/>
        <v>-1.5</v>
      </c>
      <c r="S115" s="2">
        <f t="shared" si="12"/>
        <v>0</v>
      </c>
      <c r="T115" s="6">
        <f t="shared" si="13"/>
        <v>-0.75</v>
      </c>
      <c r="U115" s="2">
        <f t="shared" si="14"/>
        <v>0</v>
      </c>
      <c r="V115">
        <f t="shared" si="15"/>
        <v>0</v>
      </c>
      <c r="W115" s="2">
        <f t="shared" si="16"/>
        <v>0</v>
      </c>
      <c r="X115">
        <f t="shared" si="17"/>
        <v>2.375</v>
      </c>
      <c r="Y115" s="2">
        <f t="shared" si="18"/>
        <v>2.375</v>
      </c>
    </row>
    <row r="116" spans="1:25" ht="12">
      <c r="A116" t="s">
        <v>124</v>
      </c>
      <c r="B116" t="s">
        <v>167</v>
      </c>
      <c r="C116">
        <f>+'at Cin'!C116+'vs Den'!C116+'at Oak'!C116+'vs KC'!C116+'at SD'!C116+'at Hou'!C116+'vs NYG'!C116+'at NYJ'!C116+'at GB'!C116+'vs Pit'!C116+'vs SD'!C116+'at KC'!C116+'vs Oak'!C116+'vs NYJ'!C116+'at Den'!C116+'vs Cle'!C116</f>
        <v>1</v>
      </c>
      <c r="D116">
        <f>+'at Cin'!D116+'vs Den'!D116+'at Oak'!D116+'vs KC'!D116+'at SD'!D116+'at Hou'!D116+'vs NYG'!D116+'at NYJ'!D116+'at GB'!D116+'vs Pit'!D116+'vs SD'!D116+'at KC'!D116+'vs Oak'!D116+'vs NYJ'!D116+'at Den'!D116+'vs Cle'!D116</f>
        <v>1</v>
      </c>
      <c r="E116" s="12">
        <f t="shared" si="4"/>
        <v>100</v>
      </c>
      <c r="F116">
        <f>+'at Cin'!F116+'vs Den'!F116+'at Oak'!F116+'vs KC'!F116+'at SD'!F116+'at Hou'!F116+'vs NYG'!F116+'at NYJ'!F116+'at GB'!F116+'vs Pit'!F116+'vs SD'!F116+'at KC'!F116+'vs Oak'!F116+'vs NYJ'!F116+'at Den'!F116+'vs Cle'!F116</f>
        <v>2</v>
      </c>
      <c r="G116">
        <f>+'at Cin'!G116+'vs Den'!G116+'at Oak'!G116+'vs KC'!G116+'at SD'!G116+'at Hou'!G116+'vs NYG'!G116+'at NYJ'!G116+'at GB'!G116+'vs Pit'!G116+'vs SD'!G116+'at KC'!G116+'vs Oak'!G116+'vs NYJ'!G116+'at Den'!G116+'vs Cle'!G116</f>
        <v>0</v>
      </c>
      <c r="H116">
        <f>MAX('at Cin'!H116,'vs Den'!H116,'at Oak'!H116,'vs KC'!H116,'at SD'!H116,'at Hou'!H116,'vs NYG'!H116,'at NYJ'!H116,'at GB'!H116,'vs Pit'!H116,'vs SD'!H116,'at KC'!H116,'vs Oak'!H116,'vs NYJ'!H116,'at Den'!H116,'vs Cle'!H116)</f>
        <v>2</v>
      </c>
      <c r="I116">
        <f>+'at Cin'!I116+'vs Den'!I116+'at Oak'!I116+'vs KC'!I116+'at SD'!I116+'at Hou'!I116+'vs NYG'!I116+'at NYJ'!I116+'at GB'!I116+'vs Pit'!I116+'vs SD'!I116+'at KC'!I116+'vs Oak'!I116+'vs NYJ'!I116+'at Den'!I116+'vs Cle'!I116</f>
        <v>0</v>
      </c>
      <c r="J116" s="8">
        <f t="shared" si="5"/>
        <v>0</v>
      </c>
      <c r="K116" s="12">
        <f t="shared" si="6"/>
        <v>0</v>
      </c>
      <c r="L116" s="12">
        <f t="shared" si="7"/>
        <v>2</v>
      </c>
      <c r="M116" s="12">
        <f t="shared" si="8"/>
        <v>79.16666666666667</v>
      </c>
      <c r="N116">
        <f>+'at Cin'!N116+'vs Den'!N116+'at Oak'!N116+'vs KC'!N116+'at SD'!N116+'at Hou'!N116+'vs NYG'!N116+'at NYJ'!N116+'at GB'!N116+'vs Pit'!N116+'vs SD'!N116+'at KC'!N116+'vs Oak'!N116+'vs NYJ'!N116+'at Den'!N116+'vs Cle'!N116</f>
        <v>0</v>
      </c>
      <c r="O116">
        <f>+'at Cin'!O116+'vs Den'!O116+'at Oak'!O116+'vs KC'!O116+'at SD'!O116+'at Hou'!O116+'vs NYG'!O116+'at NYJ'!O116+'at GB'!O116+'vs Pit'!O116+'vs SD'!O116+'at KC'!O116+'vs Oak'!O116+'vs NYJ'!O116+'at Den'!O116+'vs Cle'!O116</f>
        <v>0</v>
      </c>
      <c r="P116" s="15">
        <f t="shared" si="9"/>
        <v>2</v>
      </c>
      <c r="Q116" s="15">
        <f t="shared" si="10"/>
        <v>0</v>
      </c>
      <c r="R116">
        <f t="shared" si="11"/>
        <v>3.5</v>
      </c>
      <c r="S116" s="2">
        <f t="shared" si="12"/>
        <v>2.375</v>
      </c>
      <c r="T116" s="6">
        <f t="shared" si="13"/>
        <v>-0.25</v>
      </c>
      <c r="U116" s="2">
        <f t="shared" si="14"/>
        <v>0</v>
      </c>
      <c r="V116">
        <f t="shared" si="15"/>
        <v>0</v>
      </c>
      <c r="W116" s="2">
        <f t="shared" si="16"/>
        <v>0</v>
      </c>
      <c r="X116">
        <f t="shared" si="17"/>
        <v>2.375</v>
      </c>
      <c r="Y116" s="2">
        <f t="shared" si="18"/>
        <v>2.375</v>
      </c>
    </row>
    <row r="117" spans="1:25" ht="12">
      <c r="A117" t="s">
        <v>125</v>
      </c>
      <c r="B117" t="s">
        <v>167</v>
      </c>
      <c r="C117">
        <f>+'at Cin'!C117+'vs Den'!C117+'at Oak'!C117+'vs KC'!C117+'at SD'!C117+'at Hou'!C117+'vs NYG'!C117+'at NYJ'!C117+'at GB'!C117+'vs Pit'!C117+'vs SD'!C117+'at KC'!C117+'vs Oak'!C117+'vs NYJ'!C117+'at Den'!C117+'vs Cle'!C117</f>
        <v>411</v>
      </c>
      <c r="D117">
        <f>+'at Cin'!D117+'vs Den'!D117+'at Oak'!D117+'vs KC'!D117+'at SD'!D117+'at Hou'!D117+'vs NYG'!D117+'at NYJ'!D117+'at GB'!D117+'vs Pit'!D117+'vs SD'!D117+'at KC'!D117+'vs Oak'!D117+'vs NYJ'!D117+'at Den'!D117+'vs Cle'!D117</f>
        <v>230</v>
      </c>
      <c r="E117" s="12">
        <f t="shared" si="4"/>
        <v>55.961070559610704</v>
      </c>
      <c r="F117">
        <f>+'at Cin'!F117+'vs Den'!F117+'at Oak'!F117+'vs KC'!F117+'at SD'!F117+'at Hou'!F117+'vs NYG'!F117+'at NYJ'!F117+'at GB'!F117+'vs Pit'!F117+'vs SD'!F117+'at KC'!F117+'vs Oak'!F117+'vs NYJ'!F117+'at Den'!F117+'vs Cle'!F117</f>
        <v>2503</v>
      </c>
      <c r="G117">
        <f>+'at Cin'!G117+'vs Den'!G117+'at Oak'!G117+'vs KC'!G117+'at SD'!G117+'at Hou'!G117+'vs NYG'!G117+'at NYJ'!G117+'at GB'!G117+'vs Pit'!G117+'vs SD'!G117+'at KC'!G117+'vs Oak'!G117+'vs NYJ'!G117+'at Den'!G117+'vs Cle'!G117</f>
        <v>12</v>
      </c>
      <c r="H117">
        <f>MAX('at Cin'!H117,'vs Den'!H117,'at Oak'!H117,'vs KC'!H117,'at SD'!H117,'at Hou'!H117,'vs NYG'!H117,'at NYJ'!H117,'at GB'!H117,'vs Pit'!H117,'vs SD'!H117,'at KC'!H117,'vs Oak'!H117,'vs NYJ'!H117,'at Den'!H117,'vs Cle'!H117)</f>
        <v>43</v>
      </c>
      <c r="I117">
        <f>+'at Cin'!I117+'vs Den'!I117+'at Oak'!I117+'vs KC'!I117+'at SD'!I117+'at Hou'!I117+'vs NYG'!I117+'at NYJ'!I117+'at GB'!I117+'vs Pit'!I117+'vs SD'!I117+'at KC'!I117+'vs Oak'!I117+'vs NYJ'!I117+'at Den'!I117+'vs Cle'!I117</f>
        <v>9</v>
      </c>
      <c r="J117" s="8">
        <f t="shared" si="5"/>
        <v>2.9197080291970803</v>
      </c>
      <c r="K117" s="12">
        <f t="shared" si="6"/>
        <v>2.18978102189781</v>
      </c>
      <c r="L117" s="12">
        <f t="shared" si="7"/>
        <v>6.090024330900243</v>
      </c>
      <c r="M117" s="12">
        <f t="shared" si="8"/>
        <v>74.70093268450931</v>
      </c>
      <c r="N117">
        <f>+'at Cin'!N117+'vs Den'!N117+'at Oak'!N117+'vs KC'!N117+'at SD'!N117+'at Hou'!N117+'vs NYG'!N117+'at NYJ'!N117+'at GB'!N117+'vs Pit'!N117+'vs SD'!N117+'at KC'!N117+'vs Oak'!N117+'vs NYJ'!N117+'at Den'!N117+'vs Cle'!N117</f>
        <v>3</v>
      </c>
      <c r="O117">
        <f>+'at Cin'!O117+'vs Den'!O117+'at Oak'!O117+'vs KC'!O117+'at SD'!O117+'at Hou'!O117+'vs NYG'!O117+'at NYJ'!O117+'at GB'!O117+'vs Pit'!O117+'vs SD'!O117+'at KC'!O117+'vs Oak'!O117+'vs NYJ'!O117+'at Den'!O117+'vs Cle'!O117</f>
        <v>28</v>
      </c>
      <c r="P117" s="15">
        <f t="shared" si="9"/>
        <v>10.882608695652173</v>
      </c>
      <c r="Q117" s="15">
        <f t="shared" si="10"/>
        <v>6.378132118451026</v>
      </c>
      <c r="R117">
        <f t="shared" si="11"/>
        <v>1.2980535279805352</v>
      </c>
      <c r="S117" s="2">
        <f t="shared" si="12"/>
        <v>1.2980535279805352</v>
      </c>
      <c r="T117" s="6">
        <f t="shared" si="13"/>
        <v>0.7725060827250607</v>
      </c>
      <c r="U117" s="2">
        <f t="shared" si="14"/>
        <v>0.7725060827250607</v>
      </c>
      <c r="V117">
        <f t="shared" si="15"/>
        <v>0.583941605839416</v>
      </c>
      <c r="W117" s="2">
        <f t="shared" si="16"/>
        <v>0.583941605839416</v>
      </c>
      <c r="X117">
        <f t="shared" si="17"/>
        <v>1.8275547445255476</v>
      </c>
      <c r="Y117" s="2">
        <f t="shared" si="18"/>
        <v>1.8275547445255476</v>
      </c>
    </row>
    <row r="118" spans="3:25" ht="12">
      <c r="C118">
        <f>+'at Cin'!C118+'vs Den'!C118+'at Oak'!C118+'vs KC'!C118+'at SD'!C118+'at Hou'!C118+'vs NYG'!C118+'at NYJ'!C118+'at GB'!C118+'vs Pit'!C118+'vs SD'!C118+'at KC'!C118+'vs Oak'!C118+'vs NYJ'!C118+'at Den'!C118+'vs Cle'!C118</f>
        <v>0</v>
      </c>
      <c r="D118">
        <f>+'at Cin'!D118+'vs Den'!D118+'at Oak'!D118+'vs KC'!D118+'at SD'!D118+'at Hou'!D118+'vs NYG'!D118+'at NYJ'!D118+'at GB'!D118+'vs Pit'!D118+'vs SD'!D118+'at KC'!D118+'vs Oak'!D118+'vs NYJ'!D118+'at Den'!D118+'vs Cle'!D118</f>
        <v>0</v>
      </c>
      <c r="E118" s="12">
        <f t="shared" si="4"/>
        <v>0</v>
      </c>
      <c r="F118">
        <f>+'at Cin'!F118+'vs Den'!F118+'at Oak'!F118+'vs KC'!F118+'at SD'!F118+'at Hou'!F118+'vs NYG'!F118+'at NYJ'!F118+'at GB'!F118+'vs Pit'!F118+'vs SD'!F118+'at KC'!F118+'vs Oak'!F118+'vs NYJ'!F118+'at Den'!F118+'vs Cle'!F118</f>
        <v>0</v>
      </c>
      <c r="G118">
        <f>+'at Cin'!G118+'vs Den'!G118+'at Oak'!G118+'vs KC'!G118+'at SD'!G118+'at Hou'!G118+'vs NYG'!G118+'at NYJ'!G118+'at GB'!G118+'vs Pit'!G118+'vs SD'!G118+'at KC'!G118+'vs Oak'!G118+'vs NYJ'!G118+'at Den'!G118+'vs Cle'!G118</f>
        <v>0</v>
      </c>
      <c r="H118">
        <f>MAX('at Cin'!H118,'vs Den'!H118,'at Oak'!H118,'vs KC'!H118,'at SD'!H118,'at Hou'!H118,'vs NYG'!H118,'at NYJ'!H118,'at GB'!H118,'vs Pit'!H118,'vs SD'!H118,'at KC'!H118,'vs Oak'!H118,'vs NYJ'!H118,'at Den'!H118,'vs Cle'!H118)</f>
        <v>0</v>
      </c>
      <c r="I118">
        <f>+'at Cin'!I118+'vs Den'!I118+'at Oak'!I118+'vs KC'!I118+'at SD'!I118+'at Hou'!I118+'vs NYG'!I118+'at NYJ'!I118+'at GB'!I118+'vs Pit'!I118+'vs SD'!I118+'at KC'!I118+'vs Oak'!I118+'vs NYJ'!I118+'at Den'!I118+'vs Cle'!I118</f>
        <v>0</v>
      </c>
      <c r="J118" s="8">
        <f t="shared" si="5"/>
        <v>0</v>
      </c>
      <c r="K118" s="12">
        <f t="shared" si="6"/>
        <v>0</v>
      </c>
      <c r="L118" s="12">
        <f t="shared" si="7"/>
        <v>0</v>
      </c>
      <c r="M118" s="12">
        <f t="shared" si="8"/>
        <v>0</v>
      </c>
      <c r="N118">
        <f>+'at Cin'!N118+'vs Den'!N118+'at Oak'!N118+'vs KC'!N118+'at SD'!N118+'at Hou'!N118+'vs NYG'!N118+'at NYJ'!N118+'at GB'!N118+'vs Pit'!N118+'vs SD'!N118+'at KC'!N118+'vs Oak'!N118+'vs NYJ'!N118+'at Den'!N118+'vs Cle'!N118</f>
        <v>0</v>
      </c>
      <c r="O118">
        <f>+'at Cin'!O118+'vs Den'!O118+'at Oak'!O118+'vs KC'!O118+'at SD'!O118+'at Hou'!O118+'vs NYG'!O118+'at NYJ'!O118+'at GB'!O118+'vs Pit'!O118+'vs SD'!O118+'at KC'!O118+'vs Oak'!O118+'vs NYJ'!O118+'at Den'!O118+'vs Cle'!O118</f>
        <v>0</v>
      </c>
      <c r="P118" s="15">
        <f t="shared" si="9"/>
        <v>0</v>
      </c>
      <c r="Q118" s="15">
        <f t="shared" si="10"/>
        <v>0</v>
      </c>
      <c r="R118">
        <f t="shared" si="11"/>
        <v>-1.5</v>
      </c>
      <c r="S118" s="2">
        <f t="shared" si="12"/>
        <v>0</v>
      </c>
      <c r="T118" s="6">
        <f t="shared" si="13"/>
        <v>-0.75</v>
      </c>
      <c r="U118" s="2">
        <f t="shared" si="14"/>
        <v>0</v>
      </c>
      <c r="V118">
        <f t="shared" si="15"/>
        <v>0</v>
      </c>
      <c r="W118" s="2">
        <f t="shared" si="16"/>
        <v>0</v>
      </c>
      <c r="X118">
        <f t="shared" si="17"/>
        <v>2.375</v>
      </c>
      <c r="Y118" s="2">
        <f t="shared" si="18"/>
        <v>2.375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9" ht="12">
      <c r="A121" t="s">
        <v>128</v>
      </c>
      <c r="B121" t="s">
        <v>167</v>
      </c>
      <c r="C121">
        <f>+'at Cin'!C121+'vs Den'!C121+'at Oak'!C121+'vs KC'!C121+'at SD'!C121+'at Hou'!C121+'vs NYG'!C121+'at NYJ'!C121+'at GB'!C121+'vs Pit'!C121+'vs SD'!C121+'at KC'!C121+'vs Oak'!C121+'vs NYJ'!C121+'at Den'!C121+'vs Cle'!C121</f>
        <v>28</v>
      </c>
      <c r="D121">
        <f>+'at Cin'!D121+'vs Den'!D121+'at Oak'!D121+'vs KC'!D121+'at SD'!D121+'at Hou'!D121+'vs NYG'!D121+'at NYJ'!D121+'at GB'!D121+'vs Pit'!D121+'vs SD'!D121+'at KC'!D121+'vs Oak'!D121+'vs NYJ'!D121+'at Den'!D121+'vs Cle'!D121</f>
        <v>7</v>
      </c>
      <c r="E121">
        <f>+'at Cin'!E121+'vs Den'!E121+'at Oak'!E121+'vs KC'!E121+'at SD'!E121+'at Hou'!E121+'vs NYG'!E121+'at NYJ'!E121+'at GB'!E121+'vs Pit'!E121+'vs SD'!E121+'at KC'!E121+'vs Oak'!E121+'vs NYJ'!E121+'at Den'!E121+'vs Cle'!E121</f>
        <v>238</v>
      </c>
      <c r="F121" s="12">
        <f aca="true" t="shared" si="19" ref="F121:F127">IF(C121=0,0,+E121/C121)</f>
        <v>8.5</v>
      </c>
      <c r="G121">
        <f>MAX('at Cin'!G121,'vs Den'!G121,'at Oak'!G121,'vs KC'!G121,'at SD'!G121,'at Hou'!G121,'vs NYG'!G121,'at NYJ'!G121,'at GB'!G121,'vs Pit'!G121,'vs SD'!G121,'at KC'!G121,'vs Oak'!G121,'vs NYJ'!G121,'at Den'!G121,'vs Cle'!G121)</f>
        <v>31</v>
      </c>
      <c r="H121">
        <f>+'at Cin'!H121+'vs Den'!H121+'at Oak'!H121+'vs KC'!H121+'at SD'!H121+'at Hou'!H121+'vs NYG'!H121+'at NYJ'!H121+'at GB'!H121+'vs Pit'!H121+'vs SD'!H121+'at KC'!H121+'vs Oak'!H121+'vs NYJ'!H121+'at Den'!H121+'vs Cle'!H121</f>
        <v>0</v>
      </c>
      <c r="I121">
        <f>+'at Cin'!I121+'vs Den'!I121+'at Oak'!I121+'vs KC'!I121+'at SD'!I121+'at Hou'!I121+'vs NYG'!I121+'at NYJ'!I121+'at GB'!I121+'vs Pit'!I121+'vs SD'!I121+'at KC'!I121+'vs Oak'!I121+'vs NYJ'!I121+'at Den'!I121+'vs Cle'!I121</f>
        <v>1</v>
      </c>
    </row>
    <row r="122" spans="1:9" ht="12">
      <c r="A122" t="s">
        <v>134</v>
      </c>
      <c r="B122" t="s">
        <v>167</v>
      </c>
      <c r="C122">
        <f>+'at Cin'!C122+'vs Den'!C122+'at Oak'!C122+'vs KC'!C122+'at SD'!C122+'at Hou'!C122+'vs NYG'!C122+'at NYJ'!C122+'at GB'!C122+'vs Pit'!C122+'vs SD'!C122+'at KC'!C122+'vs Oak'!C122+'vs NYJ'!C122+'at Den'!C122+'vs Cle'!C122</f>
        <v>1</v>
      </c>
      <c r="D122">
        <f>+'at Cin'!D122+'vs Den'!D122+'at Oak'!D122+'vs KC'!D122+'at SD'!D122+'at Hou'!D122+'vs NYG'!D122+'at NYJ'!D122+'at GB'!D122+'vs Pit'!D122+'vs SD'!D122+'at KC'!D122+'vs Oak'!D122+'vs NYJ'!D122+'at Den'!D122+'vs Cle'!D122</f>
        <v>0</v>
      </c>
      <c r="E122">
        <f>+'at Cin'!E122+'vs Den'!E122+'at Oak'!E122+'vs KC'!E122+'at SD'!E122+'at Hou'!E122+'vs NYG'!E122+'at NYJ'!E122+'at GB'!E122+'vs Pit'!E122+'vs SD'!E122+'at KC'!E122+'vs Oak'!E122+'vs NYJ'!E122+'at Den'!E122+'vs Cle'!E122</f>
        <v>12</v>
      </c>
      <c r="F122" s="12">
        <f t="shared" si="19"/>
        <v>12</v>
      </c>
      <c r="G122">
        <f>MAX('at Cin'!G122,'vs Den'!G122,'at Oak'!G122,'vs KC'!G122,'at SD'!G122,'at Hou'!G122,'vs NYG'!G122,'at NYJ'!G122,'at GB'!G122,'vs Pit'!G122,'vs SD'!G122,'at KC'!G122,'vs Oak'!G122,'vs NYJ'!G122,'at Den'!G122,'vs Cle'!G122)</f>
        <v>12</v>
      </c>
      <c r="H122">
        <f>+'at Cin'!H122+'vs Den'!H122+'at Oak'!H122+'vs KC'!H122+'at SD'!H122+'at Hou'!H122+'vs NYG'!H122+'at NYJ'!H122+'at GB'!H122+'vs Pit'!H122+'vs SD'!H122+'at KC'!H122+'vs Oak'!H122+'vs NYJ'!H122+'at Den'!H122+'vs Cle'!H122</f>
        <v>0</v>
      </c>
      <c r="I122">
        <f>+'at Cin'!I122+'vs Den'!I122+'at Oak'!I122+'vs KC'!I122+'at SD'!I122+'at Hou'!I122+'vs NYG'!I122+'at NYJ'!I122+'at GB'!I122+'vs Pit'!I122+'vs SD'!I122+'at KC'!I122+'vs Oak'!I122+'vs NYJ'!I122+'at Den'!I122+'vs Cle'!I122</f>
        <v>0</v>
      </c>
    </row>
    <row r="123" spans="1:9" ht="12">
      <c r="A123" t="s">
        <v>135</v>
      </c>
      <c r="B123" t="s">
        <v>167</v>
      </c>
      <c r="C123">
        <f>+'at Cin'!C123+'vs Den'!C123+'at Oak'!C123+'vs KC'!C123+'at SD'!C123+'at Hou'!C123+'vs NYG'!C123+'at NYJ'!C123+'at GB'!C123+'vs Pit'!C123+'vs SD'!C123+'at KC'!C123+'vs Oak'!C123+'vs NYJ'!C123+'at Den'!C123+'vs Cle'!C123</f>
        <v>23</v>
      </c>
      <c r="D123">
        <f>+'at Cin'!D123+'vs Den'!D123+'at Oak'!D123+'vs KC'!D123+'at SD'!D123+'at Hou'!D123+'vs NYG'!D123+'at NYJ'!D123+'at GB'!D123+'vs Pit'!D123+'vs SD'!D123+'at KC'!D123+'vs Oak'!D123+'vs NYJ'!D123+'at Den'!D123+'vs Cle'!D123</f>
        <v>3</v>
      </c>
      <c r="E123">
        <f>+'at Cin'!E123+'vs Den'!E123+'at Oak'!E123+'vs KC'!E123+'at SD'!E123+'at Hou'!E123+'vs NYG'!E123+'at NYJ'!E123+'at GB'!E123+'vs Pit'!E123+'vs SD'!E123+'at KC'!E123+'vs Oak'!E123+'vs NYJ'!E123+'at Den'!E123+'vs Cle'!E123</f>
        <v>158</v>
      </c>
      <c r="F123" s="12">
        <f t="shared" si="19"/>
        <v>6.869565217391305</v>
      </c>
      <c r="G123">
        <f>MAX('at Cin'!G123,'vs Den'!G123,'at Oak'!G123,'vs KC'!G123,'at SD'!G123,'at Hou'!G123,'vs NYG'!G123,'at NYJ'!G123,'at GB'!G123,'vs Pit'!G123,'vs SD'!G123,'at KC'!G123,'vs Oak'!G123,'vs NYJ'!G123,'at Den'!G123,'vs Cle'!G123)</f>
        <v>54</v>
      </c>
      <c r="H123">
        <f>+'at Cin'!H123+'vs Den'!H123+'at Oak'!H123+'vs KC'!H123+'at SD'!H123+'at Hou'!H123+'vs NYG'!H123+'at NYJ'!H123+'at GB'!H123+'vs Pit'!H123+'vs SD'!H123+'at KC'!H123+'vs Oak'!H123+'vs NYJ'!H123+'at Den'!H123+'vs Cle'!H123</f>
        <v>0</v>
      </c>
      <c r="I123">
        <f>+'at Cin'!I123+'vs Den'!I123+'at Oak'!I123+'vs KC'!I123+'at SD'!I123+'at Hou'!I123+'vs NYG'!I123+'at NYJ'!I123+'at GB'!I123+'vs Pit'!I123+'vs SD'!I123+'at KC'!I123+'vs Oak'!I123+'vs NYJ'!I123+'at Den'!I123+'vs Cle'!I123</f>
        <v>5</v>
      </c>
    </row>
    <row r="124" spans="3:9" ht="12">
      <c r="C124">
        <f>+'at Cin'!C124+'vs Den'!C124+'at Oak'!C124+'vs KC'!C124+'at SD'!C124+'at Hou'!C124+'vs NYG'!C124+'at NYJ'!C124+'at GB'!C124+'vs Pit'!C124+'vs SD'!C124+'at KC'!C124+'vs Oak'!C124+'vs NYJ'!C124+'at Den'!C124+'vs Cle'!C124</f>
        <v>0</v>
      </c>
      <c r="D124">
        <f>+'at Cin'!D124+'vs Den'!D124+'at Oak'!D124+'vs KC'!D124+'at SD'!D124+'at Hou'!D124+'vs NYG'!D124+'at NYJ'!D124+'at GB'!D124+'vs Pit'!D124+'vs SD'!D124+'at KC'!D124+'vs Oak'!D124+'vs NYJ'!D124+'at Den'!D124+'vs Cle'!D124</f>
        <v>0</v>
      </c>
      <c r="E124">
        <f>+'at Cin'!E124+'vs Den'!E124+'at Oak'!E124+'vs KC'!E124+'at SD'!E124+'at Hou'!E124+'vs NYG'!E124+'at NYJ'!E124+'at GB'!E124+'vs Pit'!E124+'vs SD'!E124+'at KC'!E124+'vs Oak'!E124+'vs NYJ'!E124+'at Den'!E124+'vs Cle'!E124</f>
        <v>0</v>
      </c>
      <c r="F124" s="12">
        <f t="shared" si="19"/>
        <v>0</v>
      </c>
      <c r="G124">
        <f>MAX('at Cin'!G124,'vs Den'!G124,'at Oak'!G124,'vs KC'!G124,'at SD'!G124,'at Hou'!G124,'vs NYG'!G124,'at NYJ'!G124,'at GB'!G124,'vs Pit'!G124,'vs SD'!G124,'at KC'!G124,'vs Oak'!G124,'vs NYJ'!G124,'at Den'!G124,'vs Cle'!G124)</f>
        <v>0</v>
      </c>
      <c r="H124">
        <f>+'at Cin'!H124+'vs Den'!H124+'at Oak'!H124+'vs KC'!H124+'at SD'!H124+'at Hou'!H124+'vs NYG'!H124+'at NYJ'!H124+'at GB'!H124+'vs Pit'!H124+'vs SD'!H124+'at KC'!H124+'vs Oak'!H124+'vs NYJ'!H124+'at Den'!H124+'vs Cle'!H124</f>
        <v>0</v>
      </c>
      <c r="I124">
        <f>+'at Cin'!I124+'vs Den'!I124+'at Oak'!I124+'vs KC'!I124+'at SD'!I124+'at Hou'!I124+'vs NYG'!I124+'at NYJ'!I124+'at GB'!I124+'vs Pit'!I124+'vs SD'!I124+'at KC'!I124+'vs Oak'!I124+'vs NYJ'!I124+'at Den'!I124+'vs Cle'!I124</f>
        <v>0</v>
      </c>
    </row>
    <row r="125" spans="3:9" ht="12">
      <c r="C125">
        <f>+'at Cin'!C125+'vs Den'!C125+'at Oak'!C125+'vs KC'!C125+'at SD'!C125+'at Hou'!C125+'vs NYG'!C125+'at NYJ'!C125+'at GB'!C125+'vs Pit'!C125+'vs SD'!C125+'at KC'!C125+'vs Oak'!C125+'vs NYJ'!C125+'at Den'!C125+'vs Cle'!C125</f>
        <v>0</v>
      </c>
      <c r="D125">
        <f>+'at Cin'!D125+'vs Den'!D125+'at Oak'!D125+'vs KC'!D125+'at SD'!D125+'at Hou'!D125+'vs NYG'!D125+'at NYJ'!D125+'at GB'!D125+'vs Pit'!D125+'vs SD'!D125+'at KC'!D125+'vs Oak'!D125+'vs NYJ'!D125+'at Den'!D125+'vs Cle'!D125</f>
        <v>0</v>
      </c>
      <c r="E125">
        <f>+'at Cin'!E125+'vs Den'!E125+'at Oak'!E125+'vs KC'!E125+'at SD'!E125+'at Hou'!E125+'vs NYG'!E125+'at NYJ'!E125+'at GB'!E125+'vs Pit'!E125+'vs SD'!E125+'at KC'!E125+'vs Oak'!E125+'vs NYJ'!E125+'at Den'!E125+'vs Cle'!E125</f>
        <v>0</v>
      </c>
      <c r="F125" s="12">
        <f t="shared" si="19"/>
        <v>0</v>
      </c>
      <c r="G125">
        <f>MAX('at Cin'!G125,'vs Den'!G125,'at Oak'!G125,'vs KC'!G125,'at SD'!G125,'at Hou'!G125,'vs NYG'!G125,'at NYJ'!G125,'at GB'!G125,'vs Pit'!G125,'vs SD'!G125,'at KC'!G125,'vs Oak'!G125,'vs NYJ'!G125,'at Den'!G125,'vs Cle'!G125)</f>
        <v>0</v>
      </c>
      <c r="H125">
        <f>+'at Cin'!H125+'vs Den'!H125+'at Oak'!H125+'vs KC'!H125+'at SD'!H125+'at Hou'!H125+'vs NYG'!H125+'at NYJ'!H125+'at GB'!H125+'vs Pit'!H125+'vs SD'!H125+'at KC'!H125+'vs Oak'!H125+'vs NYJ'!H125+'at Den'!H125+'vs Cle'!H125</f>
        <v>0</v>
      </c>
      <c r="I125">
        <f>+'at Cin'!I125+'vs Den'!I125+'at Oak'!I125+'vs KC'!I125+'at SD'!I125+'at Hou'!I125+'vs NYG'!I125+'at NYJ'!I125+'at GB'!I125+'vs Pit'!I125+'vs SD'!I125+'at KC'!I125+'vs Oak'!I125+'vs NYJ'!I125+'at Den'!I125+'vs Cle'!I125</f>
        <v>0</v>
      </c>
    </row>
    <row r="126" spans="3:9" ht="12">
      <c r="C126">
        <f>+'at Cin'!C126+'vs Den'!C126+'at Oak'!C126+'vs KC'!C126+'at SD'!C126+'at Hou'!C126+'vs NYG'!C126+'at NYJ'!C126+'at GB'!C126+'vs Pit'!C126+'vs SD'!C126+'at KC'!C126+'vs Oak'!C126+'vs NYJ'!C126+'at Den'!C126+'vs Cle'!C126</f>
        <v>0</v>
      </c>
      <c r="D126">
        <f>+'at Cin'!D126+'vs Den'!D126+'at Oak'!D126+'vs KC'!D126+'at SD'!D126+'at Hou'!D126+'vs NYG'!D126+'at NYJ'!D126+'at GB'!D126+'vs Pit'!D126+'vs SD'!D126+'at KC'!D126+'vs Oak'!D126+'vs NYJ'!D126+'at Den'!D126+'vs Cle'!D126</f>
        <v>0</v>
      </c>
      <c r="E126">
        <f>+'at Cin'!E126+'vs Den'!E126+'at Oak'!E126+'vs KC'!E126+'at SD'!E126+'at Hou'!E126+'vs NYG'!E126+'at NYJ'!E126+'at GB'!E126+'vs Pit'!E126+'vs SD'!E126+'at KC'!E126+'vs Oak'!E126+'vs NYJ'!E126+'at Den'!E126+'vs Cle'!E126</f>
        <v>0</v>
      </c>
      <c r="F126" s="12">
        <f t="shared" si="19"/>
        <v>0</v>
      </c>
      <c r="G126">
        <f>MAX('at Cin'!G126,'vs Den'!G126,'at Oak'!G126,'vs KC'!G126,'at SD'!G126,'at Hou'!G126,'vs NYG'!G126,'at NYJ'!G126,'at GB'!G126,'vs Pit'!G126,'vs SD'!G126,'at KC'!G126,'vs Oak'!G126,'vs NYJ'!G126,'at Den'!G126,'vs Cle'!G126)</f>
        <v>0</v>
      </c>
      <c r="H126">
        <f>+'at Cin'!H126+'vs Den'!H126+'at Oak'!H126+'vs KC'!H126+'at SD'!H126+'at Hou'!H126+'vs NYG'!H126+'at NYJ'!H126+'at GB'!H126+'vs Pit'!H126+'vs SD'!H126+'at KC'!H126+'vs Oak'!H126+'vs NYJ'!H126+'at Den'!H126+'vs Cle'!H126</f>
        <v>0</v>
      </c>
      <c r="I126">
        <f>+'at Cin'!I126+'vs Den'!I126+'at Oak'!I126+'vs KC'!I126+'at SD'!I126+'at Hou'!I126+'vs NYG'!I126+'at NYJ'!I126+'at GB'!I126+'vs Pit'!I126+'vs SD'!I126+'at KC'!I126+'vs Oak'!I126+'vs NYJ'!I126+'at Den'!I126+'vs Cle'!I126</f>
        <v>0</v>
      </c>
    </row>
    <row r="127" spans="3:9" ht="12">
      <c r="C127">
        <f>+'at Cin'!C127+'vs Den'!C127+'at Oak'!C127+'vs KC'!C127+'at SD'!C127+'at Hou'!C127+'vs NYG'!C127+'at NYJ'!C127+'at GB'!C127+'vs Pit'!C127+'vs SD'!C127+'at KC'!C127+'vs Oak'!C127+'vs NYJ'!C127+'at Den'!C127+'vs Cle'!C127</f>
        <v>0</v>
      </c>
      <c r="D127">
        <f>+'at Cin'!D127+'vs Den'!D127+'at Oak'!D127+'vs KC'!D127+'at SD'!D127+'at Hou'!D127+'vs NYG'!D127+'at NYJ'!D127+'at GB'!D127+'vs Pit'!D127+'vs SD'!D127+'at KC'!D127+'vs Oak'!D127+'vs NYJ'!D127+'at Den'!D127+'vs Cle'!D127</f>
        <v>0</v>
      </c>
      <c r="E127">
        <f>+'at Cin'!E127+'vs Den'!E127+'at Oak'!E127+'vs KC'!E127+'at SD'!E127+'at Hou'!E127+'vs NYG'!E127+'at NYJ'!E127+'at GB'!E127+'vs Pit'!E127+'vs SD'!E127+'at KC'!E127+'vs Oak'!E127+'vs NYJ'!E127+'at Den'!E127+'vs Cle'!E127</f>
        <v>0</v>
      </c>
      <c r="F127" s="12">
        <f t="shared" si="19"/>
        <v>0</v>
      </c>
      <c r="G127">
        <f>MAX('at Cin'!G127,'vs Den'!G127,'at Oak'!G127,'vs KC'!G127,'at SD'!G127,'at Hou'!G127,'vs NYG'!G127,'at NYJ'!G127,'at GB'!G127,'vs Pit'!G127,'vs SD'!G127,'at KC'!G127,'vs Oak'!G127,'vs NYJ'!G127,'at Den'!G127,'vs Cle'!G127)</f>
        <v>0</v>
      </c>
      <c r="H127">
        <f>+'at Cin'!H127+'vs Den'!H127+'at Oak'!H127+'vs KC'!H127+'at SD'!H127+'at Hou'!H127+'vs NYG'!H127+'at NYJ'!H127+'at GB'!H127+'vs Pit'!H127+'vs SD'!H127+'at KC'!H127+'vs Oak'!H127+'vs NYJ'!H127+'at Den'!H127+'vs Cle'!H127</f>
        <v>0</v>
      </c>
      <c r="I127">
        <f>+'at Cin'!I127+'vs Den'!I127+'at Oak'!I127+'vs KC'!I127+'at SD'!I127+'at Hou'!I127+'vs NYG'!I127+'at NYJ'!I127+'at GB'!I127+'vs Pit'!I127+'vs SD'!I127+'at KC'!I127+'vs Oak'!I127+'vs NYJ'!I127+'at Den'!I127+'vs Cle'!I127</f>
        <v>0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8" ht="12">
      <c r="A131" t="s">
        <v>136</v>
      </c>
      <c r="B131" t="s">
        <v>167</v>
      </c>
      <c r="C131">
        <f>+'at Cin'!C131+'vs Den'!C131+'at Oak'!C131+'vs KC'!C131+'at SD'!C131+'at Hou'!C131+'vs NYG'!C131+'at NYJ'!C131+'at GB'!C131+'vs Pit'!C131+'vs SD'!C131+'at KC'!C131+'vs Oak'!C131+'vs NYJ'!C131+'at Den'!C131+'vs Cle'!C131</f>
        <v>0</v>
      </c>
      <c r="D131">
        <f>+'at Cin'!D131+'vs Den'!D131+'at Oak'!D131+'vs KC'!D131+'at SD'!D131+'at Hou'!D131+'vs NYG'!D131+'at NYJ'!D131+'at GB'!D131+'vs Pit'!D131+'vs SD'!D131+'at KC'!D131+'vs Oak'!D131+'vs NYJ'!D131+'at Den'!D131+'vs Cle'!D131</f>
        <v>0</v>
      </c>
      <c r="E131" s="12">
        <f aca="true" t="shared" si="20" ref="E131:E139">IF(C131=0,0,+D131/C131)</f>
        <v>0</v>
      </c>
      <c r="F131">
        <f>MAX('at Cin'!F131,'vs Den'!F131,'at Oak'!F131,'vs KC'!F131,'at SD'!F131,'at Hou'!F131,'vs NYG'!F131,'at NYJ'!F131,'at GB'!F131,'vs Pit'!F131,'vs SD'!F131,'at KC'!F131,'vs Oak'!F131,'vs NYJ'!F131,'at Den'!F131,'vs Cle'!F131)</f>
        <v>0</v>
      </c>
      <c r="G131">
        <f>+'at Cin'!G131+'vs Den'!G131+'at Oak'!G131+'vs KC'!G131+'at SD'!G131+'at Hou'!G131+'vs NYG'!G131+'at NYJ'!G131+'at GB'!G131+'vs Pit'!G131+'vs SD'!G131+'at KC'!G131+'vs Oak'!G131+'vs NYJ'!G131+'at Den'!G131+'vs Cle'!G131</f>
        <v>0</v>
      </c>
      <c r="H131">
        <f>+'at Cin'!H131+'vs Den'!H131+'at Oak'!H131+'vs KC'!H131+'at SD'!H131+'at Hou'!H131+'vs NYG'!H131+'at NYJ'!H131+'at GB'!H131+'vs Pit'!H131+'vs SD'!H131+'at KC'!H131+'vs Oak'!H131+'vs NYJ'!H131+'at Den'!H131+'vs Cle'!H131</f>
        <v>0</v>
      </c>
    </row>
    <row r="132" spans="1:8" ht="12">
      <c r="A132" t="s">
        <v>137</v>
      </c>
      <c r="B132" t="s">
        <v>167</v>
      </c>
      <c r="C132">
        <f>+'at Cin'!C132+'vs Den'!C132+'at Oak'!C132+'vs KC'!C132+'at SD'!C132+'at Hou'!C132+'vs NYG'!C132+'at NYJ'!C132+'at GB'!C132+'vs Pit'!C132+'vs SD'!C132+'at KC'!C132+'vs Oak'!C132+'vs NYJ'!C132+'at Den'!C132+'vs Cle'!C132</f>
        <v>4</v>
      </c>
      <c r="D132">
        <f>+'at Cin'!D132+'vs Den'!D132+'at Oak'!D132+'vs KC'!D132+'at SD'!D132+'at Hou'!D132+'vs NYG'!D132+'at NYJ'!D132+'at GB'!D132+'vs Pit'!D132+'vs SD'!D132+'at KC'!D132+'vs Oak'!D132+'vs NYJ'!D132+'at Den'!D132+'vs Cle'!D132</f>
        <v>56</v>
      </c>
      <c r="E132" s="12">
        <f t="shared" si="20"/>
        <v>14</v>
      </c>
      <c r="F132">
        <f>MAX('at Cin'!F132,'vs Den'!F132,'at Oak'!F132,'vs KC'!F132,'at SD'!F132,'at Hou'!F132,'vs NYG'!F132,'at NYJ'!F132,'at GB'!F132,'vs Pit'!F132,'vs SD'!F132,'at KC'!F132,'vs Oak'!F132,'vs NYJ'!F132,'at Den'!F132,'vs Cle'!F132)</f>
        <v>18</v>
      </c>
      <c r="G132">
        <f>+'at Cin'!G132+'vs Den'!G132+'at Oak'!G132+'vs KC'!G132+'at SD'!G132+'at Hou'!G132+'vs NYG'!G132+'at NYJ'!G132+'at GB'!G132+'vs Pit'!G132+'vs SD'!G132+'at KC'!G132+'vs Oak'!G132+'vs NYJ'!G132+'at Den'!G132+'vs Cle'!G132</f>
        <v>0</v>
      </c>
      <c r="H132">
        <f>+'at Cin'!H132+'vs Den'!H132+'at Oak'!H132+'vs KC'!H132+'at SD'!H132+'at Hou'!H132+'vs NYG'!H132+'at NYJ'!H132+'at GB'!H132+'vs Pit'!H132+'vs SD'!H132+'at KC'!H132+'vs Oak'!H132+'vs NYJ'!H132+'at Den'!H132+'vs Cle'!H132</f>
        <v>0</v>
      </c>
    </row>
    <row r="133" spans="1:8" ht="12">
      <c r="A133" t="s">
        <v>116</v>
      </c>
      <c r="B133" t="s">
        <v>167</v>
      </c>
      <c r="C133">
        <f>+'at Cin'!C133+'vs Den'!C133+'at Oak'!C133+'vs KC'!C133+'at SD'!C133+'at Hou'!C133+'vs NYG'!C133+'at NYJ'!C133+'at GB'!C133+'vs Pit'!C133+'vs SD'!C133+'at KC'!C133+'vs Oak'!C133+'vs NYJ'!C133+'at Den'!C133+'vs Cle'!C133</f>
        <v>11</v>
      </c>
      <c r="D133">
        <f>+'at Cin'!D133+'vs Den'!D133+'at Oak'!D133+'vs KC'!D133+'at SD'!D133+'at Hou'!D133+'vs NYG'!D133+'at NYJ'!D133+'at GB'!D133+'vs Pit'!D133+'vs SD'!D133+'at KC'!D133+'vs Oak'!D133+'vs NYJ'!D133+'at Den'!D133+'vs Cle'!D133</f>
        <v>169</v>
      </c>
      <c r="E133" s="12">
        <f t="shared" si="20"/>
        <v>15.363636363636363</v>
      </c>
      <c r="F133">
        <f>MAX('at Cin'!F133,'vs Den'!F133,'at Oak'!F133,'vs KC'!F133,'at SD'!F133,'at Hou'!F133,'vs NYG'!F133,'at NYJ'!F133,'at GB'!F133,'vs Pit'!F133,'vs SD'!F133,'at KC'!F133,'vs Oak'!F133,'vs NYJ'!F133,'at Den'!F133,'vs Cle'!F133)</f>
        <v>30</v>
      </c>
      <c r="G133">
        <f>+'at Cin'!G133+'vs Den'!G133+'at Oak'!G133+'vs KC'!G133+'at SD'!G133+'at Hou'!G133+'vs NYG'!G133+'at NYJ'!G133+'at GB'!G133+'vs Pit'!G133+'vs SD'!G133+'at KC'!G133+'vs Oak'!G133+'vs NYJ'!G133+'at Den'!G133+'vs Cle'!G133</f>
        <v>0</v>
      </c>
      <c r="H133">
        <f>+'at Cin'!H133+'vs Den'!H133+'at Oak'!H133+'vs KC'!H133+'at SD'!H133+'at Hou'!H133+'vs NYG'!H133+'at NYJ'!H133+'at GB'!H133+'vs Pit'!H133+'vs SD'!H133+'at KC'!H133+'vs Oak'!H133+'vs NYJ'!H133+'at Den'!H133+'vs Cle'!H133</f>
        <v>1</v>
      </c>
    </row>
    <row r="134" spans="1:8" ht="12">
      <c r="A134" t="s">
        <v>128</v>
      </c>
      <c r="B134" t="s">
        <v>167</v>
      </c>
      <c r="C134">
        <f>+'at Cin'!C134+'vs Den'!C134+'at Oak'!C134+'vs KC'!C134+'at SD'!C134+'at Hou'!C134+'vs NYG'!C134+'at NYJ'!C134+'at GB'!C134+'vs Pit'!C134+'vs SD'!C134+'at KC'!C134+'vs Oak'!C134+'vs NYJ'!C134+'at Den'!C134+'vs Cle'!C134</f>
        <v>4</v>
      </c>
      <c r="D134">
        <f>+'at Cin'!D134+'vs Den'!D134+'at Oak'!D134+'vs KC'!D134+'at SD'!D134+'at Hou'!D134+'vs NYG'!D134+'at NYJ'!D134+'at GB'!D134+'vs Pit'!D134+'vs SD'!D134+'at KC'!D134+'vs Oak'!D134+'vs NYJ'!D134+'at Den'!D134+'vs Cle'!D134</f>
        <v>65</v>
      </c>
      <c r="E134" s="12">
        <f t="shared" si="20"/>
        <v>16.25</v>
      </c>
      <c r="F134">
        <f>MAX('at Cin'!F134,'vs Den'!F134,'at Oak'!F134,'vs KC'!F134,'at SD'!F134,'at Hou'!F134,'vs NYG'!F134,'at NYJ'!F134,'at GB'!F134,'vs Pit'!F134,'vs SD'!F134,'at KC'!F134,'vs Oak'!F134,'vs NYJ'!F134,'at Den'!F134,'vs Cle'!F134)</f>
        <v>20</v>
      </c>
      <c r="G134">
        <f>+'at Cin'!G134+'vs Den'!G134+'at Oak'!G134+'vs KC'!G134+'at SD'!G134+'at Hou'!G134+'vs NYG'!G134+'at NYJ'!G134+'at GB'!G134+'vs Pit'!G134+'vs SD'!G134+'at KC'!G134+'vs Oak'!G134+'vs NYJ'!G134+'at Den'!G134+'vs Cle'!G134</f>
        <v>0</v>
      </c>
      <c r="H134">
        <f>+'at Cin'!H134+'vs Den'!H134+'at Oak'!H134+'vs KC'!H134+'at SD'!H134+'at Hou'!H134+'vs NYG'!H134+'at NYJ'!H134+'at GB'!H134+'vs Pit'!H134+'vs SD'!H134+'at KC'!H134+'vs Oak'!H134+'vs NYJ'!H134+'at Den'!H134+'vs Cle'!H134</f>
        <v>0</v>
      </c>
    </row>
    <row r="135" spans="1:8" ht="12">
      <c r="A135" t="s">
        <v>134</v>
      </c>
      <c r="B135" t="s">
        <v>167</v>
      </c>
      <c r="C135">
        <f>+'at Cin'!C135+'vs Den'!C135+'at Oak'!C135+'vs KC'!C135+'at SD'!C135+'at Hou'!C135+'vs NYG'!C135+'at NYJ'!C135+'at GB'!C135+'vs Pit'!C135+'vs SD'!C135+'at KC'!C135+'vs Oak'!C135+'vs NYJ'!C135+'at Den'!C135+'vs Cle'!C135</f>
        <v>15</v>
      </c>
      <c r="D135">
        <f>+'at Cin'!D135+'vs Den'!D135+'at Oak'!D135+'vs KC'!D135+'at SD'!D135+'at Hou'!D135+'vs NYG'!D135+'at NYJ'!D135+'at GB'!D135+'vs Pit'!D135+'vs SD'!D135+'at KC'!D135+'vs Oak'!D135+'vs NYJ'!D135+'at Den'!D135+'vs Cle'!D135</f>
        <v>262</v>
      </c>
      <c r="E135" s="12">
        <f t="shared" si="20"/>
        <v>17.466666666666665</v>
      </c>
      <c r="F135">
        <f>MAX('at Cin'!F135,'vs Den'!F135,'at Oak'!F135,'vs KC'!F135,'at SD'!F135,'at Hou'!F135,'vs NYG'!F135,'at NYJ'!F135,'at GB'!F135,'vs Pit'!F135,'vs SD'!F135,'at KC'!F135,'vs Oak'!F135,'vs NYJ'!F135,'at Den'!F135,'vs Cle'!F135)</f>
        <v>67</v>
      </c>
      <c r="G135">
        <f>+'at Cin'!G135+'vs Den'!G135+'at Oak'!G135+'vs KC'!G135+'at SD'!G135+'at Hou'!G135+'vs NYG'!G135+'at NYJ'!G135+'at GB'!G135+'vs Pit'!G135+'vs SD'!G135+'at KC'!G135+'vs Oak'!G135+'vs NYJ'!G135+'at Den'!G135+'vs Cle'!G135</f>
        <v>0</v>
      </c>
      <c r="H135">
        <f>+'at Cin'!H135+'vs Den'!H135+'at Oak'!H135+'vs KC'!H135+'at SD'!H135+'at Hou'!H135+'vs NYG'!H135+'at NYJ'!H135+'at GB'!H135+'vs Pit'!H135+'vs SD'!H135+'at KC'!H135+'vs Oak'!H135+'vs NYJ'!H135+'at Den'!H135+'vs Cle'!H135</f>
        <v>2</v>
      </c>
    </row>
    <row r="136" spans="1:8" ht="12">
      <c r="A136" t="s">
        <v>119</v>
      </c>
      <c r="B136" t="s">
        <v>167</v>
      </c>
      <c r="C136">
        <f>+'at Cin'!C136+'vs Den'!C136+'at Oak'!C136+'vs KC'!C136+'at SD'!C136+'at Hou'!C136+'vs NYG'!C136+'at NYJ'!C136+'at GB'!C136+'vs Pit'!C136+'vs SD'!C136+'at KC'!C136+'vs Oak'!C136+'vs NYJ'!C136+'at Den'!C136+'vs Cle'!C136</f>
        <v>11</v>
      </c>
      <c r="D136">
        <f>+'at Cin'!D136+'vs Den'!D136+'at Oak'!D136+'vs KC'!D136+'at SD'!D136+'at Hou'!D136+'vs NYG'!D136+'at NYJ'!D136+'at GB'!D136+'vs Pit'!D136+'vs SD'!D136+'at KC'!D136+'vs Oak'!D136+'vs NYJ'!D136+'at Den'!D136+'vs Cle'!D136</f>
        <v>212</v>
      </c>
      <c r="E136" s="12">
        <f t="shared" si="20"/>
        <v>19.272727272727273</v>
      </c>
      <c r="F136">
        <f>MAX('at Cin'!F136,'vs Den'!F136,'at Oak'!F136,'vs KC'!F136,'at SD'!F136,'at Hou'!F136,'vs NYG'!F136,'at NYJ'!F136,'at GB'!F136,'vs Pit'!F136,'vs SD'!F136,'at KC'!F136,'vs Oak'!F136,'vs NYJ'!F136,'at Den'!F136,'vs Cle'!F136)</f>
        <v>26</v>
      </c>
      <c r="G136">
        <f>+'at Cin'!G136+'vs Den'!G136+'at Oak'!G136+'vs KC'!G136+'at SD'!G136+'at Hou'!G136+'vs NYG'!G136+'at NYJ'!G136+'at GB'!G136+'vs Pit'!G136+'vs SD'!G136+'at KC'!G136+'vs Oak'!G136+'vs NYJ'!G136+'at Den'!G136+'vs Cle'!G136</f>
        <v>0</v>
      </c>
      <c r="H136">
        <f>+'at Cin'!H136+'vs Den'!H136+'at Oak'!H136+'vs KC'!H136+'at SD'!H136+'at Hou'!H136+'vs NYG'!H136+'at NYJ'!H136+'at GB'!H136+'vs Pit'!H136+'vs SD'!H136+'at KC'!H136+'vs Oak'!H136+'vs NYJ'!H136+'at Den'!H136+'vs Cle'!H136</f>
        <v>1</v>
      </c>
    </row>
    <row r="137" spans="1:8" ht="12">
      <c r="A137" t="s">
        <v>135</v>
      </c>
      <c r="B137" t="s">
        <v>167</v>
      </c>
      <c r="C137">
        <f>+'at Cin'!C137+'vs Den'!C137+'at Oak'!C137+'vs KC'!C137+'at SD'!C137+'at Hou'!C137+'vs NYG'!C137+'at NYJ'!C137+'at GB'!C137+'vs Pit'!C137+'vs SD'!C137+'at KC'!C137+'vs Oak'!C137+'vs NYJ'!C137+'at Den'!C137+'vs Cle'!C137</f>
        <v>18</v>
      </c>
      <c r="D137">
        <f>+'at Cin'!D137+'vs Den'!D137+'at Oak'!D137+'vs KC'!D137+'at SD'!D137+'at Hou'!D137+'vs NYG'!D137+'at NYJ'!D137+'at GB'!D137+'vs Pit'!D137+'vs SD'!D137+'at KC'!D137+'vs Oak'!D137+'vs NYJ'!D137+'at Den'!D137+'vs Cle'!D137</f>
        <v>384</v>
      </c>
      <c r="E137" s="12">
        <f t="shared" si="20"/>
        <v>21.333333333333332</v>
      </c>
      <c r="F137">
        <f>MAX('at Cin'!F137,'vs Den'!F137,'at Oak'!F137,'vs KC'!F137,'at SD'!F137,'at Hou'!F137,'vs NYG'!F137,'at NYJ'!F137,'at GB'!F137,'vs Pit'!F137,'vs SD'!F137,'at KC'!F137,'vs Oak'!F137,'vs NYJ'!F137,'at Den'!F137,'vs Cle'!F137)</f>
        <v>71</v>
      </c>
      <c r="G137">
        <f>+'at Cin'!G137+'vs Den'!G137+'at Oak'!G137+'vs KC'!G137+'at SD'!G137+'at Hou'!G137+'vs NYG'!G137+'at NYJ'!G137+'at GB'!G137+'vs Pit'!G137+'vs SD'!G137+'at KC'!G137+'vs Oak'!G137+'vs NYJ'!G137+'at Den'!G137+'vs Cle'!G137</f>
        <v>0</v>
      </c>
      <c r="H137">
        <f>+'at Cin'!H137+'vs Den'!H137+'at Oak'!H137+'vs KC'!H137+'at SD'!H137+'at Hou'!H137+'vs NYG'!H137+'at NYJ'!H137+'at GB'!H137+'vs Pit'!H137+'vs SD'!H137+'at KC'!H137+'vs Oak'!H137+'vs NYJ'!H137+'at Den'!H137+'vs Cle'!H137</f>
        <v>4</v>
      </c>
    </row>
    <row r="138" spans="1:8" ht="12">
      <c r="A138" t="s">
        <v>132</v>
      </c>
      <c r="B138" t="s">
        <v>167</v>
      </c>
      <c r="C138">
        <f>+'at Cin'!C138+'vs Den'!C138+'at Oak'!C138+'vs KC'!C138+'at SD'!C138+'at Hou'!C138+'vs NYG'!C138+'at NYJ'!C138+'at GB'!C138+'vs Pit'!C138+'vs SD'!C138+'at KC'!C138+'vs Oak'!C138+'vs NYJ'!C138+'at Den'!C138+'vs Cle'!C138</f>
        <v>0</v>
      </c>
      <c r="D138">
        <f>+'at Cin'!D138+'vs Den'!D138+'at Oak'!D138+'vs KC'!D138+'at SD'!D138+'at Hou'!D138+'vs NYG'!D138+'at NYJ'!D138+'at GB'!D138+'vs Pit'!D138+'vs SD'!D138+'at KC'!D138+'vs Oak'!D138+'vs NYJ'!D138+'at Den'!D138+'vs Cle'!D138</f>
        <v>0</v>
      </c>
      <c r="E138" s="12">
        <f t="shared" si="20"/>
        <v>0</v>
      </c>
      <c r="F138">
        <f>MAX('at Cin'!F138,'vs Den'!F138,'at Oak'!F138,'vs KC'!F138,'at SD'!F138,'at Hou'!F138,'vs NYG'!F138,'at NYJ'!F138,'at GB'!F138,'vs Pit'!F138,'vs SD'!F138,'at KC'!F138,'vs Oak'!F138,'vs NYJ'!F138,'at Den'!F138,'vs Cle'!F138)</f>
        <v>0</v>
      </c>
      <c r="G138">
        <f>+'at Cin'!G138+'vs Den'!G138+'at Oak'!G138+'vs KC'!G138+'at SD'!G138+'at Hou'!G138+'vs NYG'!G138+'at NYJ'!G138+'at GB'!G138+'vs Pit'!G138+'vs SD'!G138+'at KC'!G138+'vs Oak'!G138+'vs NYJ'!G138+'at Den'!G138+'vs Cle'!G138</f>
        <v>0</v>
      </c>
      <c r="H138">
        <f>+'at Cin'!H138+'vs Den'!H138+'at Oak'!H138+'vs KC'!H138+'at SD'!H138+'at Hou'!H138+'vs NYG'!H138+'at NYJ'!H138+'at GB'!H138+'vs Pit'!H138+'vs SD'!H138+'at KC'!H138+'vs Oak'!H138+'vs NYJ'!H138+'at Den'!H138+'vs Cle'!H138</f>
        <v>0</v>
      </c>
    </row>
    <row r="139" spans="3:8" ht="12">
      <c r="C139">
        <f>+'at Cin'!C139+'vs Den'!C139+'at Oak'!C139+'vs KC'!C139+'at SD'!C139+'at Hou'!C139+'vs NYG'!C139+'at NYJ'!C139+'at GB'!C139+'vs Pit'!C139+'vs SD'!C139+'at KC'!C139+'vs Oak'!C139+'vs NYJ'!C139+'at Den'!C139+'vs Cle'!C139</f>
        <v>0</v>
      </c>
      <c r="D139">
        <f>+'at Cin'!D139+'vs Den'!D139+'at Oak'!D139+'vs KC'!D139+'at SD'!D139+'at Hou'!D139+'vs NYG'!D139+'at NYJ'!D139+'at GB'!D139+'vs Pit'!D139+'vs SD'!D139+'at KC'!D139+'vs Oak'!D139+'vs NYJ'!D139+'at Den'!D139+'vs Cle'!D139</f>
        <v>0</v>
      </c>
      <c r="E139" s="12">
        <f t="shared" si="20"/>
        <v>0</v>
      </c>
      <c r="F139">
        <f>MAX('at Cin'!F139,'vs Den'!F139,'at Oak'!F139,'vs KC'!F139,'at SD'!F139,'at Hou'!F139,'vs NYG'!F139,'at NYJ'!F139,'at GB'!F139,'vs Pit'!F139,'vs SD'!F139,'at KC'!F139,'vs Oak'!F139,'vs NYJ'!F139,'at Den'!F139,'vs Cle'!F139)</f>
        <v>0</v>
      </c>
      <c r="G139">
        <f>+'at Cin'!G139+'vs Den'!G139+'at Oak'!G139+'vs KC'!G139+'at SD'!G139+'at Hou'!G139+'vs NYG'!G139+'at NYJ'!G139+'at GB'!G139+'vs Pit'!G139+'vs SD'!G139+'at KC'!G139+'vs Oak'!G139+'vs NYJ'!G139+'at Den'!G139+'vs Cle'!G139</f>
        <v>0</v>
      </c>
      <c r="H139">
        <f>+'at Cin'!H139+'vs Den'!H139+'at Oak'!H139+'vs KC'!H139+'at SD'!H139+'at Hou'!H139+'vs NYG'!H139+'at NYJ'!H139+'at GB'!H139+'vs Pit'!H139+'vs SD'!H139+'at KC'!H139+'vs Oak'!H139+'vs NYJ'!H139+'at Den'!H139+'vs Cle'!H139</f>
        <v>0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8" ht="12">
      <c r="A142" t="s">
        <v>138</v>
      </c>
      <c r="B142" t="s">
        <v>167</v>
      </c>
      <c r="C142">
        <f>+'at Cin'!C142+'vs Den'!C142+'at Oak'!C142+'vs KC'!C142+'at SD'!C142+'at Hou'!C142+'vs NYG'!C142+'at NYJ'!C142+'at GB'!C142+'vs Pit'!C142+'vs SD'!C142+'at KC'!C142+'vs Oak'!C142+'vs NYJ'!C142+'at Den'!C142+'vs Cle'!C142</f>
        <v>6</v>
      </c>
      <c r="D142">
        <f>+'at Cin'!D142+'vs Den'!D142+'at Oak'!D142+'vs KC'!D142+'at SD'!D142+'at Hou'!D142+'vs NYG'!D142+'at NYJ'!D142+'at GB'!D142+'vs Pit'!D142+'vs SD'!D142+'at KC'!D142+'vs Oak'!D142+'vs NYJ'!D142+'at Den'!D142+'vs Cle'!D142</f>
        <v>224</v>
      </c>
      <c r="E142" s="12">
        <f>IF(C142=0,0,+D142/C142)</f>
        <v>37.333333333333336</v>
      </c>
      <c r="F142">
        <f>MAX('at Cin'!F142,'vs Den'!F142,'at Oak'!F142,'vs KC'!F142,'at SD'!F142,'at Hou'!F142,'vs NYG'!F142,'at NYJ'!F142,'at GB'!F142,'vs Pit'!F142,'vs SD'!F142,'at KC'!F142,'vs Oak'!F142,'vs NYJ'!F142,'at Den'!F142,'vs Cle'!F142)</f>
        <v>45</v>
      </c>
      <c r="G142">
        <f>+'at Cin'!G142+'vs Den'!G142+'at Oak'!G142+'vs KC'!G142+'at SD'!G142+'at Hou'!G142+'vs NYG'!G142+'at NYJ'!G142+'at GB'!G142+'vs Pit'!G142+'vs SD'!G142+'at KC'!G142+'vs Oak'!G142+'vs NYJ'!G142+'at Den'!G142+'vs Cle'!G142</f>
        <v>0</v>
      </c>
      <c r="H142">
        <f>+'at Cin'!H142+'vs Den'!H142+'at Oak'!H142+'vs KC'!H142+'at SD'!H142+'at Hou'!H142+'vs NYG'!H142+'at NYJ'!H142+'at GB'!H142+'vs Pit'!H142+'vs SD'!H142+'at KC'!H142+'vs Oak'!H142+'vs NYJ'!H142+'at Den'!H142+'vs Cle'!H142</f>
        <v>0</v>
      </c>
    </row>
    <row r="143" spans="1:8" ht="12">
      <c r="A143" t="s">
        <v>124</v>
      </c>
      <c r="B143" t="s">
        <v>167</v>
      </c>
      <c r="C143">
        <f>+'at Cin'!C143+'vs Den'!C143+'at Oak'!C143+'vs KC'!C143+'at SD'!C143+'at Hou'!C143+'vs NYG'!C143+'at NYJ'!C143+'at GB'!C143+'vs Pit'!C143+'vs SD'!C143+'at KC'!C143+'vs Oak'!C143+'vs NYJ'!C143+'at Den'!C143+'vs Cle'!C143</f>
        <v>83</v>
      </c>
      <c r="D143">
        <f>+'at Cin'!D143+'vs Den'!D143+'at Oak'!D143+'vs KC'!D143+'at SD'!D143+'at Hou'!D143+'vs NYG'!D143+'at NYJ'!D143+'at GB'!D143+'vs Pit'!D143+'vs SD'!D143+'at KC'!D143+'vs Oak'!D143+'vs NYJ'!D143+'at Den'!D143+'vs Cle'!D143</f>
        <v>3282</v>
      </c>
      <c r="E143" s="12">
        <f>IF(C143=0,0,+D143/C143)</f>
        <v>39.54216867469879</v>
      </c>
      <c r="F143">
        <f>MAX('at Cin'!F143,'vs Den'!F143,'at Oak'!F143,'vs KC'!F143,'at SD'!F143,'at Hou'!F143,'vs NYG'!F143,'at NYJ'!F143,'at GB'!F143,'vs Pit'!F143,'vs SD'!F143,'at KC'!F143,'vs Oak'!F143,'vs NYJ'!F143,'at Den'!F143,'vs Cle'!F143)</f>
        <v>58</v>
      </c>
      <c r="G143">
        <f>+'at Cin'!G143+'vs Den'!G143+'at Oak'!G143+'vs KC'!G143+'at SD'!G143+'at Hou'!G143+'vs NYG'!G143+'at NYJ'!G143+'at GB'!G143+'vs Pit'!G143+'vs SD'!G143+'at KC'!G143+'vs Oak'!G143+'vs NYJ'!G143+'at Den'!G143+'vs Cle'!G143</f>
        <v>0</v>
      </c>
      <c r="H143">
        <f>+'at Cin'!H143+'vs Den'!H143+'at Oak'!H143+'vs KC'!H143+'at SD'!H143+'at Hou'!H143+'vs NYG'!H143+'at NYJ'!H143+'at GB'!H143+'vs Pit'!H143+'vs SD'!H143+'at KC'!H143+'vs Oak'!H143+'vs NYJ'!H143+'at Den'!H143+'vs Cle'!H143</f>
        <v>0</v>
      </c>
    </row>
    <row r="144" spans="3:8" ht="12">
      <c r="C144">
        <f>+'at Cin'!C144+'vs Den'!C144+'at Oak'!C144+'vs KC'!C144+'at SD'!C144+'at Hou'!C144+'vs NYG'!C144+'at NYJ'!C144+'at GB'!C144+'vs Pit'!C144+'vs SD'!C144+'at KC'!C144+'vs Oak'!C144+'vs NYJ'!C144+'at Den'!C144+'vs Cle'!C144</f>
        <v>0</v>
      </c>
      <c r="D144">
        <f>+'at Cin'!D144+'vs Den'!D144+'at Oak'!D144+'vs KC'!D144+'at SD'!D144+'at Hou'!D144+'vs NYG'!D144+'at NYJ'!D144+'at GB'!D144+'vs Pit'!D144+'vs SD'!D144+'at KC'!D144+'vs Oak'!D144+'vs NYJ'!D144+'at Den'!D144+'vs Cle'!D144</f>
        <v>0</v>
      </c>
      <c r="E144" s="12">
        <f>IF(C144=0,0,+D144/C144)</f>
        <v>0</v>
      </c>
      <c r="F144">
        <f>MAX('at Cin'!F144,'vs Den'!F144,'at Oak'!F144,'vs KC'!F144,'at SD'!F144,'at Hou'!F144,'vs NYG'!F144,'at NYJ'!F144,'at GB'!F144,'vs Pit'!F144,'vs SD'!F144,'at KC'!F144,'vs Oak'!F144,'vs NYJ'!F144,'at Den'!F144,'vs Cle'!F144)</f>
        <v>0</v>
      </c>
      <c r="G144">
        <f>+'at Cin'!G144+'vs Den'!G144+'at Oak'!G144+'vs KC'!G144+'at SD'!G144+'at Hou'!G144+'vs NYG'!G144+'at NYJ'!G144+'at GB'!G144+'vs Pit'!G144+'vs SD'!G144+'at KC'!G144+'vs Oak'!G144+'vs NYJ'!G144+'at Den'!G144+'vs Cle'!G144</f>
        <v>0</v>
      </c>
      <c r="H144">
        <f>+'at Cin'!H144+'vs Den'!H144+'at Oak'!H144+'vs KC'!H144+'at SD'!H144+'at Hou'!H144+'vs NYG'!H144+'at NYJ'!H144+'at GB'!H144+'vs Pit'!H144+'vs SD'!H144+'at KC'!H144+'vs Oak'!H144+'vs NYJ'!H144+'at Den'!H144+'vs Cle'!H144</f>
        <v>0</v>
      </c>
    </row>
    <row r="145" ht="12">
      <c r="E145" s="12"/>
    </row>
    <row r="146" ht="12">
      <c r="E146" s="12"/>
    </row>
    <row r="147" ht="12">
      <c r="E147" s="12"/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3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  <c r="V149" s="3" t="s">
        <v>81</v>
      </c>
      <c r="W149" s="3" t="s">
        <v>82</v>
      </c>
    </row>
    <row r="150" spans="1:23" ht="12">
      <c r="A150" t="s">
        <v>139</v>
      </c>
      <c r="B150" t="s">
        <v>167</v>
      </c>
      <c r="C150">
        <f>+'at Cin'!C150+'vs Den'!C150+'at Oak'!C150+'vs KC'!C150+'at SD'!C150+'at Hou'!C150+'vs NYG'!C150+'at NYJ'!C150+'at GB'!C150+'vs Pit'!C150+'vs SD'!C150+'at KC'!C150+'vs Oak'!C150+'vs NYJ'!C150+'at Den'!C150+'vs Cle'!C150</f>
        <v>12</v>
      </c>
      <c r="D150">
        <f>+'at Cin'!D150+'vs Den'!D150+'at Oak'!D150+'vs KC'!D150+'at SD'!D150+'at Hou'!D150+'vs NYG'!D150+'at NYJ'!D150+'at GB'!D150+'vs Pit'!D150+'vs SD'!D150+'at KC'!D150+'vs Oak'!D150+'vs NYJ'!D150+'at Den'!D150+'vs Cle'!D150</f>
        <v>0</v>
      </c>
      <c r="E150">
        <f>+'at Cin'!E150+'vs Den'!E150+'at Oak'!E150+'vs KC'!E150+'at SD'!E150+'at Hou'!E150+'vs NYG'!E150+'at NYJ'!E150+'at GB'!E150+'vs Pit'!E150+'vs SD'!E150+'at KC'!E150+'vs Oak'!E150+'vs NYJ'!E150+'at Den'!E150+'vs Cle'!E150</f>
        <v>7</v>
      </c>
      <c r="F150">
        <f>+'at Cin'!F150+'vs Den'!F150+'at Oak'!F150+'vs KC'!F150+'at SD'!F150+'at Hou'!F150+'vs NYG'!F150+'at NYJ'!F150+'at GB'!F150+'vs Pit'!F150+'vs SD'!F150+'at KC'!F150+'vs Oak'!F150+'vs NYJ'!F150+'at Den'!F150+'vs Cle'!F150</f>
        <v>6</v>
      </c>
      <c r="G150">
        <f>+'at Cin'!G150+'vs Den'!G150+'at Oak'!G150+'vs KC'!G150+'at SD'!G150+'at Hou'!G150+'vs NYG'!G150+'at NYJ'!G150+'at GB'!G150+'vs Pit'!G150+'vs SD'!G150+'at KC'!G150+'vs Oak'!G150+'vs NYJ'!G150+'at Den'!G150+'vs Cle'!G150</f>
        <v>6</v>
      </c>
      <c r="H150">
        <f>+'at Cin'!H150+'vs Den'!H150+'at Oak'!H150+'vs KC'!H150+'at SD'!H150+'at Hou'!H150+'vs NYG'!H150+'at NYJ'!H150+'at GB'!H150+'vs Pit'!H150+'vs SD'!H150+'at KC'!H150+'vs Oak'!H150+'vs NYJ'!H150+'at Den'!H150+'vs Cle'!H150</f>
        <v>2</v>
      </c>
      <c r="I150" s="12">
        <f>IF(G150=0,0,+H150/G150*100)</f>
        <v>33.33333333333333</v>
      </c>
      <c r="J150">
        <f>MAX('at Cin'!J150,'vs Den'!J150,'at Oak'!J150,'vs KC'!J150,'at SD'!J150,'at Hou'!J150,'vs NYG'!J150,'at NYJ'!J150,'at GB'!J150,'vs Pit'!J150,'vs SD'!J150,'at KC'!J150,'vs Oak'!J150,'vs NYJ'!J150,'at Den'!J150,'vs Cle'!J150)</f>
        <v>28</v>
      </c>
      <c r="L150">
        <f>+'at Cin'!L150+'vs Den'!L150+'at Oak'!L150+'vs KC'!L150+'at SD'!L150+'at Hou'!L150+'vs NYG'!L150+'at NYJ'!L150+'at GB'!L150+'vs Pit'!L150+'vs SD'!L150+'at KC'!L150+'vs Oak'!L150+'vs NYJ'!L150+'at Den'!L150+'vs Cle'!L150</f>
        <v>0</v>
      </c>
      <c r="M150">
        <f>+'at Cin'!M150+'vs Den'!M150+'at Oak'!M150+'vs KC'!M150+'at SD'!M150+'at Hou'!M150+'vs NYG'!M150+'at NYJ'!M150+'at GB'!M150+'vs Pit'!M150+'vs SD'!M150+'at KC'!M150+'vs Oak'!M150+'vs NYJ'!M150+'at Den'!M150+'vs Cle'!M150</f>
        <v>0</v>
      </c>
      <c r="N150">
        <f>+'at Cin'!N150+'vs Den'!N150+'at Oak'!N150+'vs KC'!N150+'at SD'!N150+'at Hou'!N150+'vs NYG'!N150+'at NYJ'!N150+'at GB'!N150+'vs Pit'!N150+'vs SD'!N150+'at KC'!N150+'vs Oak'!N150+'vs NYJ'!N150+'at Den'!N150+'vs Cle'!N150</f>
        <v>3</v>
      </c>
      <c r="O150">
        <f>+'at Cin'!O150+'vs Den'!O150+'at Oak'!O150+'vs KC'!O150+'at SD'!O150+'at Hou'!O150+'vs NYG'!O150+'at NYJ'!O150+'at GB'!O150+'vs Pit'!O150+'vs SD'!O150+'at KC'!O150+'vs Oak'!O150+'vs NYJ'!O150+'at Den'!O150+'vs Cle'!O150</f>
        <v>2</v>
      </c>
      <c r="P150">
        <f>+'at Cin'!P150+'vs Den'!P150+'at Oak'!P150+'vs KC'!P150+'at SD'!P150+'at Hou'!P150+'vs NYG'!P150+'at NYJ'!P150+'at GB'!P150+'vs Pit'!P150+'vs SD'!P150+'at KC'!P150+'vs Oak'!P150+'vs NYJ'!P150+'at Den'!P150+'vs Cle'!P150</f>
        <v>2</v>
      </c>
      <c r="Q150">
        <f>+'at Cin'!Q150+'vs Den'!Q150+'at Oak'!Q150+'vs KC'!Q150+'at SD'!Q150+'at Hou'!Q150+'vs NYG'!Q150+'at NYJ'!Q150+'at GB'!Q150+'vs Pit'!Q150+'vs SD'!Q150+'at KC'!Q150+'vs Oak'!Q150+'vs NYJ'!Q150+'at Den'!Q150+'vs Cle'!Q150</f>
        <v>0</v>
      </c>
      <c r="R150">
        <f>+'at Cin'!R150+'vs Den'!R150+'at Oak'!R150+'vs KC'!R150+'at SD'!R150+'at Hou'!R150+'vs NYG'!R150+'at NYJ'!R150+'at GB'!R150+'vs Pit'!R150+'vs SD'!R150+'at KC'!R150+'vs Oak'!R150+'vs NYJ'!R150+'at Den'!R150+'vs Cle'!R150</f>
        <v>1</v>
      </c>
      <c r="S150">
        <f>+'at Cin'!S150+'vs Den'!S150+'at Oak'!S150+'vs KC'!S150+'at SD'!S150+'at Hou'!S150+'vs NYG'!S150+'at NYJ'!S150+'at GB'!S150+'vs Pit'!S150+'vs SD'!S150+'at KC'!S150+'vs Oak'!S150+'vs NYJ'!S150+'at Den'!S150+'vs Cle'!S150</f>
        <v>0</v>
      </c>
      <c r="T150">
        <f>+'at Cin'!T150+'vs Den'!T150+'at Oak'!T150+'vs KC'!T150+'at SD'!T150+'at Hou'!T150+'vs NYG'!T150+'at NYJ'!T150+'at GB'!T150+'vs Pit'!T150+'vs SD'!T150+'at KC'!T150+'vs Oak'!T150+'vs NYJ'!T150+'at Den'!T150+'vs Cle'!T150</f>
        <v>0</v>
      </c>
      <c r="U150">
        <f>+'at Cin'!U150+'vs Den'!U150+'at Oak'!U150+'vs KC'!U150+'at SD'!U150+'at Hou'!U150+'vs NYG'!U150+'at NYJ'!U150+'at GB'!U150+'vs Pit'!U150+'vs SD'!U150+'at KC'!U150+'vs Oak'!U150+'vs NYJ'!U150+'at Den'!U150+'vs Cle'!U150</f>
        <v>0</v>
      </c>
      <c r="V150" t="str">
        <f aca="true" t="shared" si="21" ref="V150:W152">IF(G150=L150+N150+P150+R150+T150,"ok","ERR")</f>
        <v>ok</v>
      </c>
      <c r="W150" t="str">
        <f t="shared" si="21"/>
        <v>ok</v>
      </c>
    </row>
    <row r="151" spans="1:23" ht="12">
      <c r="A151" t="s">
        <v>140</v>
      </c>
      <c r="B151" t="s">
        <v>167</v>
      </c>
      <c r="C151">
        <f>+'at Cin'!C151+'vs Den'!C151+'at Oak'!C151+'vs KC'!C151+'at SD'!C151+'at Hou'!C151+'vs NYG'!C151+'at NYJ'!C151+'at GB'!C151+'vs Pit'!C151+'vs SD'!C151+'at KC'!C151+'vs Oak'!C151+'vs NYJ'!C151+'at Den'!C151+'vs Cle'!C151</f>
        <v>62</v>
      </c>
      <c r="D151">
        <f>+'at Cin'!D151+'vs Den'!D151+'at Oak'!D151+'vs KC'!D151+'at SD'!D151+'at Hou'!D151+'vs NYG'!D151+'at NYJ'!D151+'at GB'!D151+'vs Pit'!D151+'vs SD'!D151+'at KC'!D151+'vs Oak'!D151+'vs NYJ'!D151+'at Den'!D151+'vs Cle'!D151</f>
        <v>26</v>
      </c>
      <c r="E151">
        <f>+'at Cin'!E151+'vs Den'!E151+'at Oak'!E151+'vs KC'!E151+'at SD'!E151+'at Hou'!E151+'vs NYG'!E151+'at NYJ'!E151+'at GB'!E151+'vs Pit'!E151+'vs SD'!E151+'at KC'!E151+'vs Oak'!E151+'vs NYJ'!E151+'at Den'!E151+'vs Cle'!E151</f>
        <v>26</v>
      </c>
      <c r="F151">
        <f>+'at Cin'!F151+'vs Den'!F151+'at Oak'!F151+'vs KC'!F151+'at SD'!F151+'at Hou'!F151+'vs NYG'!F151+'at NYJ'!F151+'at GB'!F151+'vs Pit'!F151+'vs SD'!F151+'at KC'!F151+'vs Oak'!F151+'vs NYJ'!F151+'at Den'!F151+'vs Cle'!F151</f>
        <v>24</v>
      </c>
      <c r="G151">
        <f>+'at Cin'!G151+'vs Den'!G151+'at Oak'!G151+'vs KC'!G151+'at SD'!G151+'at Hou'!G151+'vs NYG'!G151+'at NYJ'!G151+'at GB'!G151+'vs Pit'!G151+'vs SD'!G151+'at KC'!G151+'vs Oak'!G151+'vs NYJ'!G151+'at Den'!G151+'vs Cle'!G151</f>
        <v>30</v>
      </c>
      <c r="H151">
        <f>+'at Cin'!H151+'vs Den'!H151+'at Oak'!H151+'vs KC'!H151+'at SD'!H151+'at Hou'!H151+'vs NYG'!H151+'at NYJ'!H151+'at GB'!H151+'vs Pit'!H151+'vs SD'!H151+'at KC'!H151+'vs Oak'!H151+'vs NYJ'!H151+'at Den'!H151+'vs Cle'!H151</f>
        <v>25</v>
      </c>
      <c r="I151" s="12">
        <f>IF(G151=0,0,+H151/G151*100)</f>
        <v>83.33333333333334</v>
      </c>
      <c r="J151">
        <f>MAX('at Cin'!J151,'vs Den'!J151,'at Oak'!J151,'vs KC'!J151,'at SD'!J151,'at Hou'!J151,'vs NYG'!J151,'at NYJ'!J151,'at GB'!J151,'vs Pit'!J151,'vs SD'!J151,'at KC'!J151,'vs Oak'!J151,'vs NYJ'!J151,'at Den'!J151,'vs Cle'!J151)</f>
        <v>52</v>
      </c>
      <c r="L151">
        <f>+'at Cin'!L151+'vs Den'!L151+'at Oak'!L151+'vs KC'!L151+'at SD'!L151+'at Hou'!L151+'vs NYG'!L151+'at NYJ'!L151+'at GB'!L151+'vs Pit'!L151+'vs SD'!L151+'at KC'!L151+'vs Oak'!L151+'vs NYJ'!L151+'at Den'!L151+'vs Cle'!L151</f>
        <v>2</v>
      </c>
      <c r="M151">
        <f>+'at Cin'!M151+'vs Den'!M151+'at Oak'!M151+'vs KC'!M151+'at SD'!M151+'at Hou'!M151+'vs NYG'!M151+'at NYJ'!M151+'at GB'!M151+'vs Pit'!M151+'vs SD'!M151+'at KC'!M151+'vs Oak'!M151+'vs NYJ'!M151+'at Den'!M151+'vs Cle'!M151</f>
        <v>2</v>
      </c>
      <c r="N151">
        <f>+'at Cin'!N151+'vs Den'!N151+'at Oak'!N151+'vs KC'!N151+'at SD'!N151+'at Hou'!N151+'vs NYG'!N151+'at NYJ'!N151+'at GB'!N151+'vs Pit'!N151+'vs SD'!N151+'at KC'!N151+'vs Oak'!N151+'vs NYJ'!N151+'at Den'!N151+'vs Cle'!N151</f>
        <v>9</v>
      </c>
      <c r="O151">
        <f>+'at Cin'!O151+'vs Den'!O151+'at Oak'!O151+'vs KC'!O151+'at SD'!O151+'at Hou'!O151+'vs NYG'!O151+'at NYJ'!O151+'at GB'!O151+'vs Pit'!O151+'vs SD'!O151+'at KC'!O151+'vs Oak'!O151+'vs NYJ'!O151+'at Den'!O151+'vs Cle'!O151</f>
        <v>9</v>
      </c>
      <c r="P151">
        <f>+'at Cin'!P151+'vs Den'!P151+'at Oak'!P151+'vs KC'!P151+'at SD'!P151+'at Hou'!P151+'vs NYG'!P151+'at NYJ'!P151+'at GB'!P151+'vs Pit'!P151+'vs SD'!P151+'at KC'!P151+'vs Oak'!P151+'vs NYJ'!P151+'at Den'!P151+'vs Cle'!P151</f>
        <v>5</v>
      </c>
      <c r="Q151">
        <f>+'at Cin'!Q151+'vs Den'!Q151+'at Oak'!Q151+'vs KC'!Q151+'at SD'!Q151+'at Hou'!Q151+'vs NYG'!Q151+'at NYJ'!Q151+'at GB'!Q151+'vs Pit'!Q151+'vs SD'!Q151+'at KC'!Q151+'vs Oak'!Q151+'vs NYJ'!Q151+'at Den'!Q151+'vs Cle'!Q151</f>
        <v>4</v>
      </c>
      <c r="R151">
        <f>+'at Cin'!R151+'vs Den'!R151+'at Oak'!R151+'vs KC'!R151+'at SD'!R151+'at Hou'!R151+'vs NYG'!R151+'at NYJ'!R151+'at GB'!R151+'vs Pit'!R151+'vs SD'!R151+'at KC'!R151+'vs Oak'!R151+'vs NYJ'!R151+'at Den'!R151+'vs Cle'!R151</f>
        <v>12</v>
      </c>
      <c r="S151">
        <f>+'at Cin'!S151+'vs Den'!S151+'at Oak'!S151+'vs KC'!S151+'at SD'!S151+'at Hou'!S151+'vs NYG'!S151+'at NYJ'!S151+'at GB'!S151+'vs Pit'!S151+'vs SD'!S151+'at KC'!S151+'vs Oak'!S151+'vs NYJ'!S151+'at Den'!S151+'vs Cle'!S151</f>
        <v>9</v>
      </c>
      <c r="T151">
        <f>+'at Cin'!T151+'vs Den'!T151+'at Oak'!T151+'vs KC'!T151+'at SD'!T151+'at Hou'!T151+'vs NYG'!T151+'at NYJ'!T151+'at GB'!T151+'vs Pit'!T151+'vs SD'!T151+'at KC'!T151+'vs Oak'!T151+'vs NYJ'!T151+'at Den'!T151+'vs Cle'!T151</f>
        <v>2</v>
      </c>
      <c r="U151">
        <f>+'at Cin'!U151+'vs Den'!U151+'at Oak'!U151+'vs KC'!U151+'at SD'!U151+'at Hou'!U151+'vs NYG'!U151+'at NYJ'!U151+'at GB'!U151+'vs Pit'!U151+'vs SD'!U151+'at KC'!U151+'vs Oak'!U151+'vs NYJ'!U151+'at Den'!U151+'vs Cle'!U151</f>
        <v>1</v>
      </c>
      <c r="V151" t="str">
        <f t="shared" si="21"/>
        <v>ok</v>
      </c>
      <c r="W151" t="str">
        <f t="shared" si="21"/>
        <v>ok</v>
      </c>
    </row>
    <row r="152" spans="3:23" ht="12">
      <c r="C152">
        <f>+'at Cin'!C152+'vs Den'!C152+'at Oak'!C152+'vs KC'!C152+'at SD'!C152+'at Hou'!C152+'vs NYG'!C152+'at NYJ'!C152+'at GB'!C152+'vs Pit'!C152+'vs SD'!C152+'at KC'!C152+'vs Oak'!C152+'vs NYJ'!C152+'at Den'!C152+'vs Cle'!C152</f>
        <v>0</v>
      </c>
      <c r="D152">
        <f>+'at Cin'!D152+'vs Den'!D152+'at Oak'!D152+'vs KC'!D152+'at SD'!D152+'at Hou'!D152+'vs NYG'!D152+'at NYJ'!D152+'at GB'!D152+'vs Pit'!D152+'vs SD'!D152+'at KC'!D152+'vs Oak'!D152+'vs NYJ'!D152+'at Den'!D152+'vs Cle'!D152</f>
        <v>0</v>
      </c>
      <c r="E152">
        <f>+'at Cin'!E152+'vs Den'!E152+'at Oak'!E152+'vs KC'!E152+'at SD'!E152+'at Hou'!E152+'vs NYG'!E152+'at NYJ'!E152+'at GB'!E152+'vs Pit'!E152+'vs SD'!E152+'at KC'!E152+'vs Oak'!E152+'vs NYJ'!E152+'at Den'!E152+'vs Cle'!E152</f>
        <v>0</v>
      </c>
      <c r="F152">
        <f>+'at Cin'!F152+'vs Den'!F152+'at Oak'!F152+'vs KC'!F152+'at SD'!F152+'at Hou'!F152+'vs NYG'!F152+'at NYJ'!F152+'at GB'!F152+'vs Pit'!F152+'vs SD'!F152+'at KC'!F152+'vs Oak'!F152+'vs NYJ'!F152+'at Den'!F152+'vs Cle'!F152</f>
        <v>0</v>
      </c>
      <c r="G152">
        <f>+'at Cin'!G152+'vs Den'!G152+'at Oak'!G152+'vs KC'!G152+'at SD'!G152+'at Hou'!G152+'vs NYG'!G152+'at NYJ'!G152+'at GB'!G152+'vs Pit'!G152+'vs SD'!G152+'at KC'!G152+'vs Oak'!G152+'vs NYJ'!G152+'at Den'!G152+'vs Cle'!G152</f>
        <v>0</v>
      </c>
      <c r="H152">
        <f>+'at Cin'!H152+'vs Den'!H152+'at Oak'!H152+'vs KC'!H152+'at SD'!H152+'at Hou'!H152+'vs NYG'!H152+'at NYJ'!H152+'at GB'!H152+'vs Pit'!H152+'vs SD'!H152+'at KC'!H152+'vs Oak'!H152+'vs NYJ'!H152+'at Den'!H152+'vs Cle'!H152</f>
        <v>0</v>
      </c>
      <c r="I152" s="12">
        <f>IF(G152=0,0,+H152/G152*100)</f>
        <v>0</v>
      </c>
      <c r="J152">
        <f>MAX('at Cin'!J152,'vs Den'!J152,'at Oak'!J152,'vs KC'!J152,'at SD'!J152,'at Hou'!J152,'vs NYG'!J152,'at NYJ'!J152,'at GB'!J152,'vs Pit'!J152,'vs SD'!J152,'at KC'!J152,'vs Oak'!J152,'vs NYJ'!J152,'at Den'!J152,'vs Cle'!J152)</f>
        <v>0</v>
      </c>
      <c r="L152">
        <f>+'at Cin'!L152+'vs Den'!L152+'at Oak'!L152+'vs KC'!L152+'at SD'!L152+'at Hou'!L152+'vs NYG'!L152+'at NYJ'!L152+'at GB'!L152+'vs Pit'!L152+'vs SD'!L152+'at KC'!L152+'vs Oak'!L152+'vs NYJ'!L152+'at Den'!L152+'vs Cle'!L152</f>
        <v>0</v>
      </c>
      <c r="M152">
        <f>+'at Cin'!M152+'vs Den'!M152+'at Oak'!M152+'vs KC'!M152+'at SD'!M152+'at Hou'!M152+'vs NYG'!M152+'at NYJ'!M152+'at GB'!M152+'vs Pit'!M152+'vs SD'!M152+'at KC'!M152+'vs Oak'!M152+'vs NYJ'!M152+'at Den'!M152+'vs Cle'!M152</f>
        <v>0</v>
      </c>
      <c r="N152">
        <f>+'at Cin'!N152+'vs Den'!N152+'at Oak'!N152+'vs KC'!N152+'at SD'!N152+'at Hou'!N152+'vs NYG'!N152+'at NYJ'!N152+'at GB'!N152+'vs Pit'!N152+'vs SD'!N152+'at KC'!N152+'vs Oak'!N152+'vs NYJ'!N152+'at Den'!N152+'vs Cle'!N152</f>
        <v>0</v>
      </c>
      <c r="O152">
        <f>+'at Cin'!O152+'vs Den'!O152+'at Oak'!O152+'vs KC'!O152+'at SD'!O152+'at Hou'!O152+'vs NYG'!O152+'at NYJ'!O152+'at GB'!O152+'vs Pit'!O152+'vs SD'!O152+'at KC'!O152+'vs Oak'!O152+'vs NYJ'!O152+'at Den'!O152+'vs Cle'!O152</f>
        <v>0</v>
      </c>
      <c r="P152">
        <f>+'at Cin'!P152+'vs Den'!P152+'at Oak'!P152+'vs KC'!P152+'at SD'!P152+'at Hou'!P152+'vs NYG'!P152+'at NYJ'!P152+'at GB'!P152+'vs Pit'!P152+'vs SD'!P152+'at KC'!P152+'vs Oak'!P152+'vs NYJ'!P152+'at Den'!P152+'vs Cle'!P152</f>
        <v>0</v>
      </c>
      <c r="Q152">
        <f>+'at Cin'!Q152+'vs Den'!Q152+'at Oak'!Q152+'vs KC'!Q152+'at SD'!Q152+'at Hou'!Q152+'vs NYG'!Q152+'at NYJ'!Q152+'at GB'!Q152+'vs Pit'!Q152+'vs SD'!Q152+'at KC'!Q152+'vs Oak'!Q152+'vs NYJ'!Q152+'at Den'!Q152+'vs Cle'!Q152</f>
        <v>0</v>
      </c>
      <c r="R152">
        <f>+'at Cin'!R152+'vs Den'!R152+'at Oak'!R152+'vs KC'!R152+'at SD'!R152+'at Hou'!R152+'vs NYG'!R152+'at NYJ'!R152+'at GB'!R152+'vs Pit'!R152+'vs SD'!R152+'at KC'!R152+'vs Oak'!R152+'vs NYJ'!R152+'at Den'!R152+'vs Cle'!R152</f>
        <v>0</v>
      </c>
      <c r="S152">
        <f>+'at Cin'!S152+'vs Den'!S152+'at Oak'!S152+'vs KC'!S152+'at SD'!S152+'at Hou'!S152+'vs NYG'!S152+'at NYJ'!S152+'at GB'!S152+'vs Pit'!S152+'vs SD'!S152+'at KC'!S152+'vs Oak'!S152+'vs NYJ'!S152+'at Den'!S152+'vs Cle'!S152</f>
        <v>0</v>
      </c>
      <c r="T152">
        <f>+'at Cin'!T152+'vs Den'!T152+'at Oak'!T152+'vs KC'!T152+'at SD'!T152+'at Hou'!T152+'vs NYG'!T152+'at NYJ'!T152+'at GB'!T152+'vs Pit'!T152+'vs SD'!T152+'at KC'!T152+'vs Oak'!T152+'vs NYJ'!T152+'at Den'!T152+'vs Cle'!T152</f>
        <v>0</v>
      </c>
      <c r="U152">
        <f>+'at Cin'!U152+'vs Den'!U152+'at Oak'!U152+'vs KC'!U152+'at SD'!U152+'at Hou'!U152+'vs NYG'!U152+'at NYJ'!U152+'at GB'!U152+'vs Pit'!U152+'vs SD'!U152+'at KC'!U152+'vs Oak'!U152+'vs NYJ'!U152+'at Den'!U152+'vs Cle'!U152</f>
        <v>0</v>
      </c>
      <c r="V152" t="str">
        <f t="shared" si="21"/>
        <v>ok</v>
      </c>
      <c r="W152" t="str">
        <f t="shared" si="21"/>
        <v>ok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8" ht="12">
      <c r="A156" t="s">
        <v>141</v>
      </c>
      <c r="B156" t="s">
        <v>167</v>
      </c>
      <c r="C156">
        <f>+'at Cin'!C156+'vs Den'!C156+'at Oak'!C156+'vs KC'!C156+'at SD'!C156+'at Hou'!C156+'vs NYG'!C156+'at NYJ'!C156+'at GB'!C156+'vs Pit'!C156+'vs SD'!C156+'at KC'!C156+'vs Oak'!C156+'vs NYJ'!C156+'at Den'!C156+'vs Cle'!C156</f>
        <v>2</v>
      </c>
      <c r="D156">
        <f>+'at Cin'!D156+'vs Den'!D156+'at Oak'!D156+'vs KC'!D156+'at SD'!D156+'at Hou'!D156+'vs NYG'!D156+'at NYJ'!D156+'at GB'!D156+'vs Pit'!D156+'vs SD'!D156+'at KC'!D156+'vs Oak'!D156+'vs NYJ'!D156+'at Den'!D156+'vs Cle'!D156</f>
        <v>36</v>
      </c>
      <c r="E156" s="12">
        <f aca="true" t="shared" si="22" ref="E156:E168">IF(C156=0,0,+D156/C156)</f>
        <v>18</v>
      </c>
      <c r="F156">
        <f>MAX('at Cin'!F156,'vs Den'!F156,'at Oak'!F156,'vs KC'!F156,'at SD'!F156,'at Hou'!F156,'vs NYG'!F156,'at NYJ'!F156,'at GB'!F156,'vs Pit'!F156,'vs SD'!F156,'at KC'!F156,'vs Oak'!F156,'vs NYJ'!F156,'at Den'!F156,'vs Cle'!F156)</f>
        <v>23</v>
      </c>
      <c r="G156">
        <f>+'at Cin'!G156+'vs Den'!G156+'at Oak'!G156+'vs KC'!G156+'at SD'!G156+'at Hou'!G156+'vs NYG'!G156+'at NYJ'!G156+'at GB'!G156+'vs Pit'!G156+'vs SD'!G156+'at KC'!G156+'vs Oak'!G156+'vs NYJ'!G156+'at Den'!G156+'vs Cle'!G156</f>
        <v>0</v>
      </c>
      <c r="H156">
        <f>+'at Cin'!H156+'vs Den'!H156+'at Oak'!H156+'vs KC'!H156+'at SD'!H156+'at Hou'!H156+'vs NYG'!H156+'at NYJ'!H156+'at GB'!H156+'vs Pit'!H156+'vs SD'!H156+'at KC'!H156+'vs Oak'!H156+'vs NYJ'!H156+'at Den'!H156+'vs Cle'!H156</f>
        <v>1</v>
      </c>
    </row>
    <row r="157" spans="1:8" ht="12">
      <c r="A157" t="s">
        <v>142</v>
      </c>
      <c r="B157" t="s">
        <v>167</v>
      </c>
      <c r="C157">
        <f>+'at Cin'!C157+'vs Den'!C157+'at Oak'!C157+'vs KC'!C157+'at SD'!C157+'at Hou'!C157+'vs NYG'!C157+'at NYJ'!C157+'at GB'!C157+'vs Pit'!C157+'vs SD'!C157+'at KC'!C157+'vs Oak'!C157+'vs NYJ'!C157+'at Den'!C157+'vs Cle'!C157</f>
        <v>3</v>
      </c>
      <c r="D157">
        <f>+'at Cin'!D157+'vs Den'!D157+'at Oak'!D157+'vs KC'!D157+'at SD'!D157+'at Hou'!D157+'vs NYG'!D157+'at NYJ'!D157+'at GB'!D157+'vs Pit'!D157+'vs SD'!D157+'at KC'!D157+'vs Oak'!D157+'vs NYJ'!D157+'at Den'!D157+'vs Cle'!D157</f>
        <v>85</v>
      </c>
      <c r="E157" s="12">
        <f t="shared" si="22"/>
        <v>28.333333333333332</v>
      </c>
      <c r="F157">
        <f>MAX('at Cin'!F157,'vs Den'!F157,'at Oak'!F157,'vs KC'!F157,'at SD'!F157,'at Hou'!F157,'vs NYG'!F157,'at NYJ'!F157,'at GB'!F157,'vs Pit'!F157,'vs SD'!F157,'at KC'!F157,'vs Oak'!F157,'vs NYJ'!F157,'at Den'!F157,'vs Cle'!F157)</f>
        <v>78</v>
      </c>
      <c r="G157">
        <f>+'at Cin'!G157+'vs Den'!G157+'at Oak'!G157+'vs KC'!G157+'at SD'!G157+'at Hou'!G157+'vs NYG'!G157+'at NYJ'!G157+'at GB'!G157+'vs Pit'!G157+'vs SD'!G157+'at KC'!G157+'vs Oak'!G157+'vs NYJ'!G157+'at Den'!G157+'vs Cle'!G157</f>
        <v>0</v>
      </c>
      <c r="H157">
        <f>+'at Cin'!H157+'vs Den'!H157+'at Oak'!H157+'vs KC'!H157+'at SD'!H157+'at Hou'!H157+'vs NYG'!H157+'at NYJ'!H157+'at GB'!H157+'vs Pit'!H157+'vs SD'!H157+'at KC'!H157+'vs Oak'!H157+'vs NYJ'!H157+'at Den'!H157+'vs Cle'!H157</f>
        <v>2</v>
      </c>
    </row>
    <row r="158" spans="1:8" ht="12">
      <c r="A158" t="s">
        <v>143</v>
      </c>
      <c r="B158" t="s">
        <v>167</v>
      </c>
      <c r="C158">
        <f>+'at Cin'!C158+'vs Den'!C158+'at Oak'!C158+'vs KC'!C158+'at SD'!C158+'at Hou'!C158+'vs NYG'!C158+'at NYJ'!C158+'at GB'!C158+'vs Pit'!C158+'vs SD'!C158+'at KC'!C158+'vs Oak'!C158+'vs NYJ'!C158+'at Den'!C158+'vs Cle'!C158</f>
        <v>4</v>
      </c>
      <c r="D158">
        <f>+'at Cin'!D158+'vs Den'!D158+'at Oak'!D158+'vs KC'!D158+'at SD'!D158+'at Hou'!D158+'vs NYG'!D158+'at NYJ'!D158+'at GB'!D158+'vs Pit'!D158+'vs SD'!D158+'at KC'!D158+'vs Oak'!D158+'vs NYJ'!D158+'at Den'!D158+'vs Cle'!D158</f>
        <v>193</v>
      </c>
      <c r="E158" s="12">
        <f t="shared" si="22"/>
        <v>48.25</v>
      </c>
      <c r="F158">
        <f>MAX('at Cin'!F158,'vs Den'!F158,'at Oak'!F158,'vs KC'!F158,'at SD'!F158,'at Hou'!F158,'vs NYG'!F158,'at NYJ'!F158,'at GB'!F158,'vs Pit'!F158,'vs SD'!F158,'at KC'!F158,'vs Oak'!F158,'vs NYJ'!F158,'at Den'!F158,'vs Cle'!F158)</f>
        <v>65</v>
      </c>
      <c r="G158">
        <f>+'at Cin'!G158+'vs Den'!G158+'at Oak'!G158+'vs KC'!G158+'at SD'!G158+'at Hou'!G158+'vs NYG'!G158+'at NYJ'!G158+'at GB'!G158+'vs Pit'!G158+'vs SD'!G158+'at KC'!G158+'vs Oak'!G158+'vs NYJ'!G158+'at Den'!G158+'vs Cle'!G158</f>
        <v>2</v>
      </c>
      <c r="H158">
        <f>+'at Cin'!H158+'vs Den'!H158+'at Oak'!H158+'vs KC'!H158+'at SD'!H158+'at Hou'!H158+'vs NYG'!H158+'at NYJ'!H158+'at GB'!H158+'vs Pit'!H158+'vs SD'!H158+'at KC'!H158+'vs Oak'!H158+'vs NYJ'!H158+'at Den'!H158+'vs Cle'!H158</f>
        <v>0</v>
      </c>
    </row>
    <row r="159" spans="1:8" ht="12">
      <c r="A159" t="s">
        <v>144</v>
      </c>
      <c r="B159" t="s">
        <v>167</v>
      </c>
      <c r="C159">
        <f>+'at Cin'!C159+'vs Den'!C159+'at Oak'!C159+'vs KC'!C159+'at SD'!C159+'at Hou'!C159+'vs NYG'!C159+'at NYJ'!C159+'at GB'!C159+'vs Pit'!C159+'vs SD'!C159+'at KC'!C159+'vs Oak'!C159+'vs NYJ'!C159+'at Den'!C159+'vs Cle'!C159</f>
        <v>6</v>
      </c>
      <c r="D159">
        <f>+'at Cin'!D159+'vs Den'!D159+'at Oak'!D159+'vs KC'!D159+'at SD'!D159+'at Hou'!D159+'vs NYG'!D159+'at NYJ'!D159+'at GB'!D159+'vs Pit'!D159+'vs SD'!D159+'at KC'!D159+'vs Oak'!D159+'vs NYJ'!D159+'at Den'!D159+'vs Cle'!D159</f>
        <v>93</v>
      </c>
      <c r="E159" s="12">
        <f t="shared" si="22"/>
        <v>15.5</v>
      </c>
      <c r="F159">
        <f>MAX('at Cin'!F159,'vs Den'!F159,'at Oak'!F159,'vs KC'!F159,'at SD'!F159,'at Hou'!F159,'vs NYG'!F159,'at NYJ'!F159,'at GB'!F159,'vs Pit'!F159,'vs SD'!F159,'at KC'!F159,'vs Oak'!F159,'vs NYJ'!F159,'at Den'!F159,'vs Cle'!F159)</f>
        <v>65</v>
      </c>
      <c r="G159">
        <f>+'at Cin'!G159+'vs Den'!G159+'at Oak'!G159+'vs KC'!G159+'at SD'!G159+'at Hou'!G159+'vs NYG'!G159+'at NYJ'!G159+'at GB'!G159+'vs Pit'!G159+'vs SD'!G159+'at KC'!G159+'vs Oak'!G159+'vs NYJ'!G159+'at Den'!G159+'vs Cle'!G159</f>
        <v>2</v>
      </c>
      <c r="H159">
        <f>+'at Cin'!H159+'vs Den'!H159+'at Oak'!H159+'vs KC'!H159+'at SD'!H159+'at Hou'!H159+'vs NYG'!H159+'at NYJ'!H159+'at GB'!H159+'vs Pit'!H159+'vs SD'!H159+'at KC'!H159+'vs Oak'!H159+'vs NYJ'!H159+'at Den'!H159+'vs Cle'!H159</f>
        <v>0</v>
      </c>
    </row>
    <row r="160" spans="1:8" ht="12">
      <c r="A160" t="s">
        <v>145</v>
      </c>
      <c r="B160" t="s">
        <v>167</v>
      </c>
      <c r="C160">
        <f>+'at Cin'!C160+'vs Den'!C160+'at Oak'!C160+'vs KC'!C160+'at SD'!C160+'at Hou'!C160+'vs NYG'!C160+'at NYJ'!C160+'at GB'!C160+'vs Pit'!C160+'vs SD'!C160+'at KC'!C160+'vs Oak'!C160+'vs NYJ'!C160+'at Den'!C160+'vs Cle'!C160</f>
        <v>0</v>
      </c>
      <c r="D160">
        <f>+'at Cin'!D160+'vs Den'!D160+'at Oak'!D160+'vs KC'!D160+'at SD'!D160+'at Hou'!D160+'vs NYG'!D160+'at NYJ'!D160+'at GB'!D160+'vs Pit'!D160+'vs SD'!D160+'at KC'!D160+'vs Oak'!D160+'vs NYJ'!D160+'at Den'!D160+'vs Cle'!D160</f>
        <v>0</v>
      </c>
      <c r="E160" s="12">
        <f t="shared" si="22"/>
        <v>0</v>
      </c>
      <c r="F160">
        <f>MAX('at Cin'!F160,'vs Den'!F160,'at Oak'!F160,'vs KC'!F160,'at SD'!F160,'at Hou'!F160,'vs NYG'!F160,'at NYJ'!F160,'at GB'!F160,'vs Pit'!F160,'vs SD'!F160,'at KC'!F160,'vs Oak'!F160,'vs NYJ'!F160,'at Den'!F160,'vs Cle'!F160)</f>
        <v>0</v>
      </c>
      <c r="G160">
        <f>+'at Cin'!G160+'vs Den'!G160+'at Oak'!G160+'vs KC'!G160+'at SD'!G160+'at Hou'!G160+'vs NYG'!G160+'at NYJ'!G160+'at GB'!G160+'vs Pit'!G160+'vs SD'!G160+'at KC'!G160+'vs Oak'!G160+'vs NYJ'!G160+'at Den'!G160+'vs Cle'!G160</f>
        <v>0</v>
      </c>
      <c r="H160">
        <f>+'at Cin'!H160+'vs Den'!H160+'at Oak'!H160+'vs KC'!H160+'at SD'!H160+'at Hou'!H160+'vs NYG'!H160+'at NYJ'!H160+'at GB'!H160+'vs Pit'!H160+'vs SD'!H160+'at KC'!H160+'vs Oak'!H160+'vs NYJ'!H160+'at Den'!H160+'vs Cle'!H160</f>
        <v>0</v>
      </c>
    </row>
    <row r="161" spans="1:8" ht="12">
      <c r="A161" t="s">
        <v>146</v>
      </c>
      <c r="B161" t="s">
        <v>167</v>
      </c>
      <c r="C161">
        <f>+'at Cin'!C161+'vs Den'!C161+'at Oak'!C161+'vs KC'!C161+'at SD'!C161+'at Hou'!C161+'vs NYG'!C161+'at NYJ'!C161+'at GB'!C161+'vs Pit'!C161+'vs SD'!C161+'at KC'!C161+'vs Oak'!C161+'vs NYJ'!C161+'at Den'!C161+'vs Cle'!C161</f>
        <v>4</v>
      </c>
      <c r="D161">
        <f>+'at Cin'!D161+'vs Den'!D161+'at Oak'!D161+'vs KC'!D161+'at SD'!D161+'at Hou'!D161+'vs NYG'!D161+'at NYJ'!D161+'at GB'!D161+'vs Pit'!D161+'vs SD'!D161+'at KC'!D161+'vs Oak'!D161+'vs NYJ'!D161+'at Den'!D161+'vs Cle'!D161</f>
        <v>50</v>
      </c>
      <c r="E161" s="12">
        <f t="shared" si="22"/>
        <v>12.5</v>
      </c>
      <c r="F161">
        <f>MAX('at Cin'!F161,'vs Den'!F161,'at Oak'!F161,'vs KC'!F161,'at SD'!F161,'at Hou'!F161,'vs NYG'!F161,'at NYJ'!F161,'at GB'!F161,'vs Pit'!F161,'vs SD'!F161,'at KC'!F161,'vs Oak'!F161,'vs NYJ'!F161,'at Den'!F161,'vs Cle'!F161)</f>
        <v>20</v>
      </c>
      <c r="G161">
        <f>+'at Cin'!G161+'vs Den'!G161+'at Oak'!G161+'vs KC'!G161+'at SD'!G161+'at Hou'!G161+'vs NYG'!G161+'at NYJ'!G161+'at GB'!G161+'vs Pit'!G161+'vs SD'!G161+'at KC'!G161+'vs Oak'!G161+'vs NYJ'!G161+'at Den'!G161+'vs Cle'!G161</f>
        <v>1</v>
      </c>
      <c r="H161">
        <f>+'at Cin'!H161+'vs Den'!H161+'at Oak'!H161+'vs KC'!H161+'at SD'!H161+'at Hou'!H161+'vs NYG'!H161+'at NYJ'!H161+'at GB'!H161+'vs Pit'!H161+'vs SD'!H161+'at KC'!H161+'vs Oak'!H161+'vs NYJ'!H161+'at Den'!H161+'vs Cle'!H161</f>
        <v>0</v>
      </c>
    </row>
    <row r="162" spans="3:8" ht="12">
      <c r="C162">
        <f>+'at Cin'!C162+'vs Den'!C162+'at Oak'!C162+'vs KC'!C162+'at SD'!C162+'at Hou'!C162+'vs NYG'!C162+'at NYJ'!C162+'at GB'!C162+'vs Pit'!C162+'vs SD'!C162+'at KC'!C162+'vs Oak'!C162+'vs NYJ'!C162+'at Den'!C162+'vs Cle'!C162</f>
        <v>0</v>
      </c>
      <c r="D162">
        <f>+'at Cin'!D162+'vs Den'!D162+'at Oak'!D162+'vs KC'!D162+'at SD'!D162+'at Hou'!D162+'vs NYG'!D162+'at NYJ'!D162+'at GB'!D162+'vs Pit'!D162+'vs SD'!D162+'at KC'!D162+'vs Oak'!D162+'vs NYJ'!D162+'at Den'!D162+'vs Cle'!D162</f>
        <v>0</v>
      </c>
      <c r="E162" s="12">
        <f t="shared" si="22"/>
        <v>0</v>
      </c>
      <c r="F162">
        <f>MAX('at Cin'!F162,'vs Den'!F162,'at Oak'!F162,'vs KC'!F162,'at SD'!F162,'at Hou'!F162,'vs NYG'!F162,'at NYJ'!F162,'at GB'!F162,'vs Pit'!F162,'vs SD'!F162,'at KC'!F162,'vs Oak'!F162,'vs NYJ'!F162,'at Den'!F162,'vs Cle'!F162)</f>
        <v>0</v>
      </c>
      <c r="G162">
        <f>+'at Cin'!G162+'vs Den'!G162+'at Oak'!G162+'vs KC'!G162+'at SD'!G162+'at Hou'!G162+'vs NYG'!G162+'at NYJ'!G162+'at GB'!G162+'vs Pit'!G162+'vs SD'!G162+'at KC'!G162+'vs Oak'!G162+'vs NYJ'!G162+'at Den'!G162+'vs Cle'!G162</f>
        <v>0</v>
      </c>
      <c r="H162">
        <f>+'at Cin'!H162+'vs Den'!H162+'at Oak'!H162+'vs KC'!H162+'at SD'!H162+'at Hou'!H162+'vs NYG'!H162+'at NYJ'!H162+'at GB'!H162+'vs Pit'!H162+'vs SD'!H162+'at KC'!H162+'vs Oak'!H162+'vs NYJ'!H162+'at Den'!H162+'vs Cle'!H162</f>
        <v>0</v>
      </c>
    </row>
    <row r="163" spans="3:8" ht="12">
      <c r="C163">
        <f>+'at Cin'!C163+'vs Den'!C163+'at Oak'!C163+'vs KC'!C163+'at SD'!C163+'at Hou'!C163+'vs NYG'!C163+'at NYJ'!C163+'at GB'!C163+'vs Pit'!C163+'vs SD'!C163+'at KC'!C163+'vs Oak'!C163+'vs NYJ'!C163+'at Den'!C163+'vs Cle'!C163</f>
        <v>0</v>
      </c>
      <c r="D163">
        <f>+'at Cin'!D163+'vs Den'!D163+'at Oak'!D163+'vs KC'!D163+'at SD'!D163+'at Hou'!D163+'vs NYG'!D163+'at NYJ'!D163+'at GB'!D163+'vs Pit'!D163+'vs SD'!D163+'at KC'!D163+'vs Oak'!D163+'vs NYJ'!D163+'at Den'!D163+'vs Cle'!D163</f>
        <v>0</v>
      </c>
      <c r="E163" s="12">
        <f t="shared" si="22"/>
        <v>0</v>
      </c>
      <c r="F163">
        <f>MAX('at Cin'!F163,'vs Den'!F163,'at Oak'!F163,'vs KC'!F163,'at SD'!F163,'at Hou'!F163,'vs NYG'!F163,'at NYJ'!F163,'at GB'!F163,'vs Pit'!F163,'vs SD'!F163,'at KC'!F163,'vs Oak'!F163,'vs NYJ'!F163,'at Den'!F163,'vs Cle'!F163)</f>
        <v>0</v>
      </c>
      <c r="G163">
        <f>+'at Cin'!G163+'vs Den'!G163+'at Oak'!G163+'vs KC'!G163+'at SD'!G163+'at Hou'!G163+'vs NYG'!G163+'at NYJ'!G163+'at GB'!G163+'vs Pit'!G163+'vs SD'!G163+'at KC'!G163+'vs Oak'!G163+'vs NYJ'!G163+'at Den'!G163+'vs Cle'!G163</f>
        <v>0</v>
      </c>
      <c r="H163">
        <f>+'at Cin'!H163+'vs Den'!H163+'at Oak'!H163+'vs KC'!H163+'at SD'!H163+'at Hou'!H163+'vs NYG'!H163+'at NYJ'!H163+'at GB'!H163+'vs Pit'!H163+'vs SD'!H163+'at KC'!H163+'vs Oak'!H163+'vs NYJ'!H163+'at Den'!H163+'vs Cle'!H163</f>
        <v>0</v>
      </c>
    </row>
    <row r="164" spans="3:8" ht="12">
      <c r="C164">
        <f>+'at Cin'!C164+'vs Den'!C164+'at Oak'!C164+'vs KC'!C164+'at SD'!C164+'at Hou'!C164+'vs NYG'!C164+'at NYJ'!C164+'at GB'!C164+'vs Pit'!C164+'vs SD'!C164+'at KC'!C164+'vs Oak'!C164+'vs NYJ'!C164+'at Den'!C164+'vs Cle'!C164</f>
        <v>0</v>
      </c>
      <c r="D164">
        <f>+'at Cin'!D164+'vs Den'!D164+'at Oak'!D164+'vs KC'!D164+'at SD'!D164+'at Hou'!D164+'vs NYG'!D164+'at NYJ'!D164+'at GB'!D164+'vs Pit'!D164+'vs SD'!D164+'at KC'!D164+'vs Oak'!D164+'vs NYJ'!D164+'at Den'!D164+'vs Cle'!D164</f>
        <v>0</v>
      </c>
      <c r="E164" s="12">
        <f t="shared" si="22"/>
        <v>0</v>
      </c>
      <c r="F164">
        <f>MAX('at Cin'!F164,'vs Den'!F164,'at Oak'!F164,'vs KC'!F164,'at SD'!F164,'at Hou'!F164,'vs NYG'!F164,'at NYJ'!F164,'at GB'!F164,'vs Pit'!F164,'vs SD'!F164,'at KC'!F164,'vs Oak'!F164,'vs NYJ'!F164,'at Den'!F164,'vs Cle'!F164)</f>
        <v>0</v>
      </c>
      <c r="G164">
        <f>+'at Cin'!G164+'vs Den'!G164+'at Oak'!G164+'vs KC'!G164+'at SD'!G164+'at Hou'!G164+'vs NYG'!G164+'at NYJ'!G164+'at GB'!G164+'vs Pit'!G164+'vs SD'!G164+'at KC'!G164+'vs Oak'!G164+'vs NYJ'!G164+'at Den'!G164+'vs Cle'!G164</f>
        <v>0</v>
      </c>
      <c r="H164">
        <f>+'at Cin'!H164+'vs Den'!H164+'at Oak'!H164+'vs KC'!H164+'at SD'!H164+'at Hou'!H164+'vs NYG'!H164+'at NYJ'!H164+'at GB'!H164+'vs Pit'!H164+'vs SD'!H164+'at KC'!H164+'vs Oak'!H164+'vs NYJ'!H164+'at Den'!H164+'vs Cle'!H164</f>
        <v>0</v>
      </c>
    </row>
    <row r="165" spans="3:8" ht="12">
      <c r="C165">
        <f>+'at Cin'!C165+'vs Den'!C165+'at Oak'!C165+'vs KC'!C165+'at SD'!C165+'at Hou'!C165+'vs NYG'!C165+'at NYJ'!C165+'at GB'!C165+'vs Pit'!C165+'vs SD'!C165+'at KC'!C165+'vs Oak'!C165+'vs NYJ'!C165+'at Den'!C165+'vs Cle'!C165</f>
        <v>0</v>
      </c>
      <c r="D165">
        <f>+'at Cin'!D165+'vs Den'!D165+'at Oak'!D165+'vs KC'!D165+'at SD'!D165+'at Hou'!D165+'vs NYG'!D165+'at NYJ'!D165+'at GB'!D165+'vs Pit'!D165+'vs SD'!D165+'at KC'!D165+'vs Oak'!D165+'vs NYJ'!D165+'at Den'!D165+'vs Cle'!D165</f>
        <v>0</v>
      </c>
      <c r="E165" s="12">
        <f t="shared" si="22"/>
        <v>0</v>
      </c>
      <c r="F165">
        <f>MAX('at Cin'!F165,'vs Den'!F165,'at Oak'!F165,'vs KC'!F165,'at SD'!F165,'at Hou'!F165,'vs NYG'!F165,'at NYJ'!F165,'at GB'!F165,'vs Pit'!F165,'vs SD'!F165,'at KC'!F165,'vs Oak'!F165,'vs NYJ'!F165,'at Den'!F165,'vs Cle'!F165)</f>
        <v>0</v>
      </c>
      <c r="G165">
        <f>+'at Cin'!G165+'vs Den'!G165+'at Oak'!G165+'vs KC'!G165+'at SD'!G165+'at Hou'!G165+'vs NYG'!G165+'at NYJ'!G165+'at GB'!G165+'vs Pit'!G165+'vs SD'!G165+'at KC'!G165+'vs Oak'!G165+'vs NYJ'!G165+'at Den'!G165+'vs Cle'!G165</f>
        <v>0</v>
      </c>
      <c r="H165">
        <f>+'at Cin'!H165+'vs Den'!H165+'at Oak'!H165+'vs KC'!H165+'at SD'!H165+'at Hou'!H165+'vs NYG'!H165+'at NYJ'!H165+'at GB'!H165+'vs Pit'!H165+'vs SD'!H165+'at KC'!H165+'vs Oak'!H165+'vs NYJ'!H165+'at Den'!H165+'vs Cle'!H165</f>
        <v>0</v>
      </c>
    </row>
    <row r="166" spans="3:8" ht="12">
      <c r="C166">
        <f>+'at Cin'!C166+'vs Den'!C166+'at Oak'!C166+'vs KC'!C166+'at SD'!C166+'at Hou'!C166+'vs NYG'!C166+'at NYJ'!C166+'at GB'!C166+'vs Pit'!C166+'vs SD'!C166+'at KC'!C166+'vs Oak'!C166+'vs NYJ'!C166+'at Den'!C166+'vs Cle'!C166</f>
        <v>0</v>
      </c>
      <c r="D166">
        <f>+'at Cin'!D166+'vs Den'!D166+'at Oak'!D166+'vs KC'!D166+'at SD'!D166+'at Hou'!D166+'vs NYG'!D166+'at NYJ'!D166+'at GB'!D166+'vs Pit'!D166+'vs SD'!D166+'at KC'!D166+'vs Oak'!D166+'vs NYJ'!D166+'at Den'!D166+'vs Cle'!D166</f>
        <v>0</v>
      </c>
      <c r="E166" s="12">
        <f t="shared" si="22"/>
        <v>0</v>
      </c>
      <c r="F166">
        <f>MAX('at Cin'!F166,'vs Den'!F166,'at Oak'!F166,'vs KC'!F166,'at SD'!F166,'at Hou'!F166,'vs NYG'!F166,'at NYJ'!F166,'at GB'!F166,'vs Pit'!F166,'vs SD'!F166,'at KC'!F166,'vs Oak'!F166,'vs NYJ'!F166,'at Den'!F166,'vs Cle'!F166)</f>
        <v>0</v>
      </c>
      <c r="G166">
        <f>+'at Cin'!G166+'vs Den'!G166+'at Oak'!G166+'vs KC'!G166+'at SD'!G166+'at Hou'!G166+'vs NYG'!G166+'at NYJ'!G166+'at GB'!G166+'vs Pit'!G166+'vs SD'!G166+'at KC'!G166+'vs Oak'!G166+'vs NYJ'!G166+'at Den'!G166+'vs Cle'!G166</f>
        <v>0</v>
      </c>
      <c r="H166">
        <f>+'at Cin'!H166+'vs Den'!H166+'at Oak'!H166+'vs KC'!H166+'at SD'!H166+'at Hou'!H166+'vs NYG'!H166+'at NYJ'!H166+'at GB'!H166+'vs Pit'!H166+'vs SD'!H166+'at KC'!H166+'vs Oak'!H166+'vs NYJ'!H166+'at Den'!H166+'vs Cle'!H166</f>
        <v>0</v>
      </c>
    </row>
    <row r="167" spans="3:8" ht="12">
      <c r="C167">
        <f>+'at Cin'!C167+'vs Den'!C167+'at Oak'!C167+'vs KC'!C167+'at SD'!C167+'at Hou'!C167+'vs NYG'!C167+'at NYJ'!C167+'at GB'!C167+'vs Pit'!C167+'vs SD'!C167+'at KC'!C167+'vs Oak'!C167+'vs NYJ'!C167+'at Den'!C167+'vs Cle'!C167</f>
        <v>0</v>
      </c>
      <c r="D167">
        <f>+'at Cin'!D167+'vs Den'!D167+'at Oak'!D167+'vs KC'!D167+'at SD'!D167+'at Hou'!D167+'vs NYG'!D167+'at NYJ'!D167+'at GB'!D167+'vs Pit'!D167+'vs SD'!D167+'at KC'!D167+'vs Oak'!D167+'vs NYJ'!D167+'at Den'!D167+'vs Cle'!D167</f>
        <v>0</v>
      </c>
      <c r="E167" s="12">
        <f t="shared" si="22"/>
        <v>0</v>
      </c>
      <c r="F167">
        <f>MAX('at Cin'!F167,'vs Den'!F167,'at Oak'!F167,'vs KC'!F167,'at SD'!F167,'at Hou'!F167,'vs NYG'!F167,'at NYJ'!F167,'at GB'!F167,'vs Pit'!F167,'vs SD'!F167,'at KC'!F167,'vs Oak'!F167,'vs NYJ'!F167,'at Den'!F167,'vs Cle'!F167)</f>
        <v>0</v>
      </c>
      <c r="G167">
        <f>+'at Cin'!G167+'vs Den'!G167+'at Oak'!G167+'vs KC'!G167+'at SD'!G167+'at Hou'!G167+'vs NYG'!G167+'at NYJ'!G167+'at GB'!G167+'vs Pit'!G167+'vs SD'!G167+'at KC'!G167+'vs Oak'!G167+'vs NYJ'!G167+'at Den'!G167+'vs Cle'!G167</f>
        <v>0</v>
      </c>
      <c r="H167">
        <f>+'at Cin'!H167+'vs Den'!H167+'at Oak'!H167+'vs KC'!H167+'at SD'!H167+'at Hou'!H167+'vs NYG'!H167+'at NYJ'!H167+'at GB'!H167+'vs Pit'!H167+'vs SD'!H167+'at KC'!H167+'vs Oak'!H167+'vs NYJ'!H167+'at Den'!H167+'vs Cle'!H167</f>
        <v>0</v>
      </c>
    </row>
    <row r="168" spans="3:8" ht="12">
      <c r="C168">
        <f>+'at Cin'!C168+'vs Den'!C168+'at Oak'!C168+'vs KC'!C168+'at SD'!C168+'at Hou'!C168+'vs NYG'!C168+'at NYJ'!C168+'at GB'!C168+'vs Pit'!C168+'vs SD'!C168+'at KC'!C168+'vs Oak'!C168+'vs NYJ'!C168+'at Den'!C168+'vs Cle'!C168</f>
        <v>0</v>
      </c>
      <c r="D168">
        <f>+'at Cin'!D168+'vs Den'!D168+'at Oak'!D168+'vs KC'!D168+'at SD'!D168+'at Hou'!D168+'vs NYG'!D168+'at NYJ'!D168+'at GB'!D168+'vs Pit'!D168+'vs SD'!D168+'at KC'!D168+'vs Oak'!D168+'vs NYJ'!D168+'at Den'!D168+'vs Cle'!D168</f>
        <v>0</v>
      </c>
      <c r="E168" s="12">
        <f t="shared" si="22"/>
        <v>0</v>
      </c>
      <c r="F168">
        <f>MAX('at Cin'!F168,'vs Den'!F168,'at Oak'!F168,'vs KC'!F168,'at SD'!F168,'at Hou'!F168,'vs NYG'!F168,'at NYJ'!F168,'at GB'!F168,'vs Pit'!F168,'vs SD'!F168,'at KC'!F168,'vs Oak'!F168,'vs NYJ'!F168,'at Den'!F168,'vs Cle'!F168)</f>
        <v>0</v>
      </c>
      <c r="G168">
        <f>+'at Cin'!G168+'vs Den'!G168+'at Oak'!G168+'vs KC'!G168+'at SD'!G168+'at Hou'!G168+'vs NYG'!G168+'at NYJ'!G168+'at GB'!G168+'vs Pit'!G168+'vs SD'!G168+'at KC'!G168+'vs Oak'!G168+'vs NYJ'!G168+'at Den'!G168+'vs Cle'!G168</f>
        <v>0</v>
      </c>
      <c r="H168">
        <f>+'at Cin'!H168+'vs Den'!H168+'at Oak'!H168+'vs KC'!H168+'at SD'!H168+'at Hou'!H168+'vs NYG'!H168+'at NYJ'!H168+'at GB'!H168+'vs Pit'!H168+'vs SD'!H168+'at KC'!H168+'vs Oak'!H168+'vs NYJ'!H168+'at Den'!H168+'vs Cle'!H168</f>
        <v>0</v>
      </c>
    </row>
    <row r="169" ht="12"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6" ht="12">
      <c r="A171" t="s">
        <v>142</v>
      </c>
      <c r="B171" t="s">
        <v>167</v>
      </c>
      <c r="C171">
        <f>+'at Cin'!C171+'vs Den'!C171+'at Oak'!C171+'vs KC'!C171+'at SD'!C171+'at Hou'!C171+'vs NYG'!C171+'at NYJ'!C171+'at GB'!C171+'vs Pit'!C171+'vs SD'!C171+'at KC'!C171+'vs Oak'!C171+'vs NYJ'!C171+'at Den'!C171+'vs Cle'!C171</f>
        <v>1.5</v>
      </c>
      <c r="D171">
        <f>+'at Cin'!D171+'vs Den'!D171+'at Oak'!D171+'vs KC'!D171+'at SD'!D171+'at Hou'!D171+'vs NYG'!D171+'at NYJ'!D171+'at GB'!D171+'vs Pit'!D171+'vs SD'!D171+'at KC'!D171+'vs Oak'!D171+'vs NYJ'!D171+'at Den'!D171+'vs Cle'!D171</f>
        <v>14</v>
      </c>
      <c r="F171">
        <v>1.5</v>
      </c>
    </row>
    <row r="172" spans="1:6" ht="12">
      <c r="A172" t="s">
        <v>147</v>
      </c>
      <c r="B172" t="s">
        <v>167</v>
      </c>
      <c r="C172">
        <f>+'at Cin'!C172+'vs Den'!C172+'at Oak'!C172+'vs KC'!C172+'at SD'!C172+'at Hou'!C172+'vs NYG'!C172+'at NYJ'!C172+'at GB'!C172+'vs Pit'!C172+'vs SD'!C172+'at KC'!C172+'vs Oak'!C172+'vs NYJ'!C172+'at Den'!C172+'vs Cle'!C172</f>
        <v>15.5</v>
      </c>
      <c r="D172">
        <f>+'at Cin'!D172+'vs Den'!D172+'at Oak'!D172+'vs KC'!D172+'at SD'!D172+'at Hou'!D172+'vs NYG'!D172+'at NYJ'!D172+'at GB'!D172+'vs Pit'!D172+'vs SD'!D172+'at KC'!D172+'vs Oak'!D172+'vs NYJ'!D172+'at Den'!D172+'vs Cle'!D172</f>
        <v>124</v>
      </c>
      <c r="F172">
        <v>12</v>
      </c>
    </row>
    <row r="173" spans="1:6" ht="12">
      <c r="A173" t="s">
        <v>148</v>
      </c>
      <c r="B173" t="s">
        <v>167</v>
      </c>
      <c r="C173">
        <f>+'at Cin'!C173+'vs Den'!C173+'at Oak'!C173+'vs KC'!C173+'at SD'!C173+'at Hou'!C173+'vs NYG'!C173+'at NYJ'!C173+'at GB'!C173+'vs Pit'!C173+'vs SD'!C173+'at KC'!C173+'vs Oak'!C173+'vs NYJ'!C173+'at Den'!C173+'vs Cle'!C173</f>
        <v>13</v>
      </c>
      <c r="D173">
        <f>+'at Cin'!D173+'vs Den'!D173+'at Oak'!D173+'vs KC'!D173+'at SD'!D173+'at Hou'!D173+'vs NYG'!D173+'at NYJ'!D173+'at GB'!D173+'vs Pit'!D173+'vs SD'!D173+'at KC'!D173+'vs Oak'!D173+'vs NYJ'!D173+'at Den'!D173+'vs Cle'!D173</f>
        <v>102</v>
      </c>
      <c r="F173">
        <v>8.5</v>
      </c>
    </row>
    <row r="174" spans="1:6" ht="12">
      <c r="A174" t="s">
        <v>145</v>
      </c>
      <c r="B174" t="s">
        <v>167</v>
      </c>
      <c r="C174">
        <f>+'at Cin'!C174+'vs Den'!C174+'at Oak'!C174+'vs KC'!C174+'at SD'!C174+'at Hou'!C174+'vs NYG'!C174+'at NYJ'!C174+'at GB'!C174+'vs Pit'!C174+'vs SD'!C174+'at KC'!C174+'vs Oak'!C174+'vs NYJ'!C174+'at Den'!C174+'vs Cle'!C174</f>
        <v>2</v>
      </c>
      <c r="D174">
        <f>+'at Cin'!D174+'vs Den'!D174+'at Oak'!D174+'vs KC'!D174+'at SD'!D174+'at Hou'!D174+'vs NYG'!D174+'at NYJ'!D174+'at GB'!D174+'vs Pit'!D174+'vs SD'!D174+'at KC'!D174+'vs Oak'!D174+'vs NYJ'!D174+'at Den'!D174+'vs Cle'!D174</f>
        <v>12</v>
      </c>
      <c r="F174">
        <v>1</v>
      </c>
    </row>
    <row r="175" spans="1:6" ht="12">
      <c r="A175" t="s">
        <v>149</v>
      </c>
      <c r="B175" t="s">
        <v>167</v>
      </c>
      <c r="C175">
        <f>+'at Cin'!C175+'vs Den'!C175+'at Oak'!C175+'vs KC'!C175+'at SD'!C175+'at Hou'!C175+'vs NYG'!C175+'at NYJ'!C175+'at GB'!C175+'vs Pit'!C175+'vs SD'!C175+'at KC'!C175+'vs Oak'!C175+'vs NYJ'!C175+'at Den'!C175+'vs Cle'!C175</f>
        <v>0.5</v>
      </c>
      <c r="D175">
        <f>+'at Cin'!D175+'vs Den'!D175+'at Oak'!D175+'vs KC'!D175+'at SD'!D175+'at Hou'!D175+'vs NYG'!D175+'at NYJ'!D175+'at GB'!D175+'vs Pit'!D175+'vs SD'!D175+'at KC'!D175+'vs Oak'!D175+'vs NYJ'!D175+'at Den'!D175+'vs Cle'!D175</f>
        <v>7</v>
      </c>
      <c r="F175">
        <v>1.5</v>
      </c>
    </row>
    <row r="176" spans="1:6" ht="12">
      <c r="A176" t="s">
        <v>150</v>
      </c>
      <c r="B176" t="s">
        <v>167</v>
      </c>
      <c r="C176">
        <f>+'at Cin'!C176+'vs Den'!C176+'at Oak'!C176+'vs KC'!C176+'at SD'!C176+'at Hou'!C176+'vs NYG'!C176+'at NYJ'!C176+'at GB'!C176+'vs Pit'!C176+'vs SD'!C176+'at KC'!C176+'vs Oak'!C176+'vs NYJ'!C176+'at Den'!C176+'vs Cle'!C176</f>
        <v>6</v>
      </c>
      <c r="D176">
        <f>+'at Cin'!D176+'vs Den'!D176+'at Oak'!D176+'vs KC'!D176+'at SD'!D176+'at Hou'!D176+'vs NYG'!D176+'at NYJ'!D176+'at GB'!D176+'vs Pit'!D176+'vs SD'!D176+'at KC'!D176+'vs Oak'!D176+'vs NYJ'!D176+'at Den'!D176+'vs Cle'!D176</f>
        <v>48</v>
      </c>
      <c r="F176">
        <v>6</v>
      </c>
    </row>
    <row r="177" spans="1:6" ht="12">
      <c r="A177" t="s">
        <v>151</v>
      </c>
      <c r="B177" t="s">
        <v>167</v>
      </c>
      <c r="C177">
        <f>+'at Cin'!C177+'vs Den'!C177+'at Oak'!C177+'vs KC'!C177+'at SD'!C177+'at Hou'!C177+'vs NYG'!C177+'at NYJ'!C177+'at GB'!C177+'vs Pit'!C177+'vs SD'!C177+'at KC'!C177+'vs Oak'!C177+'vs NYJ'!C177+'at Den'!C177+'vs Cle'!C177</f>
        <v>3.5</v>
      </c>
      <c r="D177">
        <f>+'at Cin'!D177+'vs Den'!D177+'at Oak'!D177+'vs KC'!D177+'at SD'!D177+'at Hou'!D177+'vs NYG'!D177+'at NYJ'!D177+'at GB'!D177+'vs Pit'!D177+'vs SD'!D177+'at KC'!D177+'vs Oak'!D177+'vs NYJ'!D177+'at Den'!D177+'vs Cle'!D177</f>
        <v>27</v>
      </c>
      <c r="F177">
        <v>5.5</v>
      </c>
    </row>
    <row r="178" spans="3:4" ht="12">
      <c r="C178">
        <f>+'at Cin'!C178+'vs Den'!C178+'at Oak'!C178+'vs KC'!C178+'at SD'!C178+'at Hou'!C178+'vs NYG'!C178+'at NYJ'!C178+'at GB'!C178+'vs Pit'!C178+'vs SD'!C178+'at KC'!C178+'vs Oak'!C178+'vs NYJ'!C178+'at Den'!C178+'vs Cle'!C178</f>
        <v>0</v>
      </c>
      <c r="D178">
        <f>+'at Cin'!D178+'vs Den'!D178+'at Oak'!D178+'vs KC'!D178+'at SD'!D178+'at Hou'!D178+'vs NYG'!D178+'at NYJ'!D178+'at GB'!D178+'vs Pit'!D178+'vs SD'!D178+'at KC'!D178+'vs Oak'!D178+'vs NYJ'!D178+'at Den'!D178+'vs Cle'!D178</f>
        <v>0</v>
      </c>
    </row>
    <row r="179" spans="3:4" ht="12">
      <c r="C179">
        <f>+'at Cin'!C179+'vs Den'!C179+'at Oak'!C179+'vs KC'!C179+'at SD'!C179+'at Hou'!C179+'vs NYG'!C179+'at NYJ'!C179+'at GB'!C179+'vs Pit'!C179+'vs SD'!C179+'at KC'!C179+'vs Oak'!C179+'vs NYJ'!C179+'at Den'!C179+'vs Cle'!C179</f>
        <v>0</v>
      </c>
      <c r="D179">
        <f>+'at Cin'!D179+'vs Den'!D179+'at Oak'!D179+'vs KC'!D179+'at SD'!D179+'at Hou'!D179+'vs NYG'!D179+'at NYJ'!D179+'at GB'!D179+'vs Pit'!D179+'vs SD'!D179+'at KC'!D179+'vs Oak'!D179+'vs NYJ'!D179+'at Den'!D179+'vs Cle'!D179</f>
        <v>0</v>
      </c>
    </row>
    <row r="180" spans="1:4" ht="12">
      <c r="A180" s="2"/>
      <c r="C180">
        <f>+'at Cin'!C180+'vs Den'!C180+'at Oak'!C180+'vs KC'!C180+'at SD'!C180+'at Hou'!C180+'vs NYG'!C180+'at NYJ'!C180+'at GB'!C180+'vs Pit'!C180+'vs SD'!C180+'at KC'!C180+'vs Oak'!C180+'vs NYJ'!C180+'at Den'!C180+'vs Cle'!C180</f>
        <v>0</v>
      </c>
      <c r="D180">
        <f>+'at Cin'!D180+'vs Den'!D180+'at Oak'!D180+'vs KC'!D180+'at SD'!D180+'at Hou'!D180+'vs NYG'!D180+'at NYJ'!D180+'at GB'!D180+'vs Pit'!D180+'vs SD'!D180+'at KC'!D180+'vs Oak'!D180+'vs NYJ'!D180+'at Den'!D180+'vs Cle'!D180</f>
        <v>0</v>
      </c>
    </row>
    <row r="181" spans="1:4" ht="12">
      <c r="A181" s="2"/>
      <c r="C181">
        <f>+'at Cin'!C181+'vs Den'!C181+'at Oak'!C181+'vs KC'!C181+'at SD'!C181+'at Hou'!C181+'vs NYG'!C181+'at NYJ'!C181+'at GB'!C181+'vs Pit'!C181+'vs SD'!C181+'at KC'!C181+'vs Oak'!C181+'vs NYJ'!C181+'at Den'!C181+'vs Cle'!C181</f>
        <v>0</v>
      </c>
      <c r="D181">
        <f>+'at Cin'!D181+'vs Den'!D181+'at Oak'!D181+'vs KC'!D181+'at SD'!D181+'at Hou'!D181+'vs NYG'!D181+'at NYJ'!D181+'at GB'!D181+'vs Pit'!D181+'vs SD'!D181+'at KC'!D181+'vs Oak'!D181+'vs NYJ'!D181+'at Den'!D181+'vs Cle'!D181</f>
        <v>0</v>
      </c>
    </row>
    <row r="182" spans="1:4" ht="12">
      <c r="A182" s="2"/>
      <c r="C182">
        <f>+'at Cin'!C182+'vs Den'!C182+'at Oak'!C182+'vs KC'!C182+'at SD'!C182+'at Hou'!C182+'vs NYG'!C182+'at NYJ'!C182+'at GB'!C182+'vs Pit'!C182+'vs SD'!C182+'at KC'!C182+'vs Oak'!C182+'vs NYJ'!C182+'at Den'!C182+'vs Cle'!C182</f>
        <v>0</v>
      </c>
      <c r="D182">
        <f>+'at Cin'!D182+'vs Den'!D182+'at Oak'!D182+'vs KC'!D182+'at SD'!D182+'at Hou'!D182+'vs NYG'!D182+'at NYJ'!D182+'at GB'!D182+'vs Pit'!D182+'vs SD'!D182+'at KC'!D182+'vs Oak'!D182+'vs NYJ'!D182+'at Den'!D182+'vs Cle'!D182</f>
        <v>0</v>
      </c>
    </row>
    <row r="183" spans="1:4" ht="12">
      <c r="A183" s="2"/>
      <c r="C183">
        <f>+'at Cin'!C183+'vs Den'!C183+'at Oak'!C183+'vs KC'!C183+'at SD'!C183+'at Hou'!C183+'vs NYG'!C183+'at NYJ'!C183+'at GB'!C183+'vs Pit'!C183+'vs SD'!C183+'at KC'!C183+'vs Oak'!C183+'vs NYJ'!C183+'at Den'!C183+'vs Cle'!C183</f>
        <v>0</v>
      </c>
      <c r="D183">
        <f>+'at Cin'!D183+'vs Den'!D183+'at Oak'!D183+'vs KC'!D183+'at SD'!D183+'at Hou'!D183+'vs NYG'!D183+'at NYJ'!D183+'at GB'!D183+'vs Pit'!D183+'vs SD'!D183+'at KC'!D183+'vs Oak'!D183+'vs NYJ'!D183+'at Den'!D183+'vs Cle'!D183</f>
        <v>0</v>
      </c>
    </row>
    <row r="184" spans="1:4" ht="12">
      <c r="A184" s="2"/>
      <c r="C184">
        <f>+'at Cin'!C184+'vs Den'!C184+'at Oak'!C184+'vs KC'!C184+'at SD'!C184+'at Hou'!C184+'vs NYG'!C184+'at NYJ'!C184+'at GB'!C184+'vs Pit'!C184+'vs SD'!C184+'at KC'!C184+'vs Oak'!C184+'vs NYJ'!C184+'at Den'!C184+'vs Cle'!C184</f>
        <v>0</v>
      </c>
      <c r="D184">
        <f>+'at Cin'!D184+'vs Den'!D184+'at Oak'!D184+'vs KC'!D184+'at SD'!D184+'at Hou'!D184+'vs NYG'!D184+'at NYJ'!D184+'at GB'!D184+'vs Pit'!D184+'vs SD'!D184+'at KC'!D184+'vs Oak'!D184+'vs NYJ'!D184+'at Den'!D184+'vs Cle'!D184</f>
        <v>0</v>
      </c>
    </row>
    <row r="185" spans="1:4" ht="12">
      <c r="A185" s="2"/>
      <c r="C185">
        <f>+'at Cin'!C185+'vs Den'!C185+'at Oak'!C185+'vs KC'!C185+'at SD'!C185+'at Hou'!C185+'vs NYG'!C185+'at NYJ'!C185+'at GB'!C185+'vs Pit'!C185+'vs SD'!C185+'at KC'!C185+'vs Oak'!C185+'vs NYJ'!C185+'at Den'!C185+'vs Cle'!C185</f>
        <v>0</v>
      </c>
      <c r="D185">
        <f>+'at Cin'!D185+'vs Den'!D185+'at Oak'!D185+'vs KC'!D185+'at SD'!D185+'at Hou'!D185+'vs NYG'!D185+'at NYJ'!D185+'at GB'!D185+'vs Pit'!D185+'vs SD'!D185+'at KC'!D185+'vs Oak'!D185+'vs NYJ'!D185+'at Den'!D185+'vs Cle'!D185</f>
        <v>0</v>
      </c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spans="1:7" ht="12">
      <c r="A189" t="s">
        <v>112</v>
      </c>
      <c r="B189" t="s">
        <v>167</v>
      </c>
      <c r="C189">
        <f>+'at Cin'!C189+'vs Den'!C189+'at Oak'!C189+'vs KC'!C189+'at SD'!C189+'at Hou'!C189+'vs NYG'!C189+'at NYJ'!C189+'at GB'!C189+'vs Pit'!C189+'vs SD'!C189+'at KC'!C189+'vs Oak'!C189+'vs NYJ'!C189+'at Den'!C189+'vs Cle'!C189</f>
        <v>0</v>
      </c>
      <c r="D189">
        <f>+'at Cin'!D189+'vs Den'!D189+'at Oak'!D189+'vs KC'!D189+'at SD'!D189+'at Hou'!D189+'vs NYG'!D189+'at NYJ'!D189+'at GB'!D189+'vs Pit'!D189+'vs SD'!D189+'at KC'!D189+'vs Oak'!D189+'vs NYJ'!D189+'at Den'!D189+'vs Cle'!D189</f>
        <v>0</v>
      </c>
      <c r="E189">
        <f>MAX('at Cin'!E189,'vs Den'!E189,'at Oak'!E189,'vs KC'!E189,'at SD'!E189,'at Hou'!E189,'vs NYG'!E189,'at NYJ'!E189,'at GB'!E189,'vs Pit'!E189,'vs SD'!E189,'at KC'!E189,'vs Oak'!E189,'vs NYJ'!E189,'at Den'!E189,'vs Cle'!E189)</f>
        <v>0</v>
      </c>
      <c r="F189">
        <f>+'at Cin'!F189+'vs Den'!F189+'at Oak'!F189+'vs KC'!F189+'at SD'!F189+'at Hou'!F189+'vs NYG'!F189+'at NYJ'!F189+'at GB'!F189+'vs Pit'!F189+'vs SD'!F189+'at KC'!F189+'vs Oak'!F189+'vs NYJ'!F189+'at Den'!F189+'vs Cle'!F189</f>
        <v>0</v>
      </c>
      <c r="G189">
        <f>+'at Cin'!G189+'vs Den'!G189+'at Oak'!G189+'vs KC'!G189+'at SD'!G189+'at Hou'!G189+'vs NYG'!G189+'at NYJ'!G189+'at GB'!G189+'vs Pit'!G189+'vs SD'!G189+'at KC'!G189+'vs Oak'!G189+'vs NYJ'!G189+'at Den'!G189+'vs Cle'!G189</f>
        <v>0</v>
      </c>
    </row>
    <row r="190" spans="1:7" ht="12">
      <c r="A190" t="s">
        <v>139</v>
      </c>
      <c r="B190" t="s">
        <v>167</v>
      </c>
      <c r="C190">
        <f>+'at Cin'!C190+'vs Den'!C190+'at Oak'!C190+'vs KC'!C190+'at SD'!C190+'at Hou'!C190+'vs NYG'!C190+'at NYJ'!C190+'at GB'!C190+'vs Pit'!C190+'vs SD'!C190+'at KC'!C190+'vs Oak'!C190+'vs NYJ'!C190+'at Den'!C190+'vs Cle'!C190</f>
        <v>0</v>
      </c>
      <c r="D190">
        <f>+'at Cin'!D190+'vs Den'!D190+'at Oak'!D190+'vs KC'!D190+'at SD'!D190+'at Hou'!D190+'vs NYG'!D190+'at NYJ'!D190+'at GB'!D190+'vs Pit'!D190+'vs SD'!D190+'at KC'!D190+'vs Oak'!D190+'vs NYJ'!D190+'at Den'!D190+'vs Cle'!D190</f>
        <v>0</v>
      </c>
      <c r="E190">
        <f>MAX('at Cin'!E190,'vs Den'!E190,'at Oak'!E190,'vs KC'!E190,'at SD'!E190,'at Hou'!E190,'vs NYG'!E190,'at NYJ'!E190,'at GB'!E190,'vs Pit'!E190,'vs SD'!E190,'at KC'!E190,'vs Oak'!E190,'vs NYJ'!E190,'at Den'!E190,'vs Cle'!E190)</f>
        <v>0</v>
      </c>
      <c r="F190">
        <f>+'at Cin'!F190+'vs Den'!F190+'at Oak'!F190+'vs KC'!F190+'at SD'!F190+'at Hou'!F190+'vs NYG'!F190+'at NYJ'!F190+'at GB'!F190+'vs Pit'!F190+'vs SD'!F190+'at KC'!F190+'vs Oak'!F190+'vs NYJ'!F190+'at Den'!F190+'vs Cle'!F190</f>
        <v>0</v>
      </c>
      <c r="G190">
        <f>+'at Cin'!G190+'vs Den'!G190+'at Oak'!G190+'vs KC'!G190+'at SD'!G190+'at Hou'!G190+'vs NYG'!G190+'at NYJ'!G190+'at GB'!G190+'vs Pit'!G190+'vs SD'!G190+'at KC'!G190+'vs Oak'!G190+'vs NYJ'!G190+'at Den'!G190+'vs Cle'!G190</f>
        <v>0</v>
      </c>
    </row>
    <row r="191" spans="1:7" ht="12">
      <c r="A191" t="s">
        <v>152</v>
      </c>
      <c r="B191" t="s">
        <v>167</v>
      </c>
      <c r="C191">
        <f>+'at Cin'!C191+'vs Den'!C191+'at Oak'!C191+'vs KC'!C191+'at SD'!C191+'at Hou'!C191+'vs NYG'!C191+'at NYJ'!C191+'at GB'!C191+'vs Pit'!C191+'vs SD'!C191+'at KC'!C191+'vs Oak'!C191+'vs NYJ'!C191+'at Den'!C191+'vs Cle'!C191</f>
        <v>1</v>
      </c>
      <c r="D191">
        <f>+'at Cin'!D191+'vs Den'!D191+'at Oak'!D191+'vs KC'!D191+'at SD'!D191+'at Hou'!D191+'vs NYG'!D191+'at NYJ'!D191+'at GB'!D191+'vs Pit'!D191+'vs SD'!D191+'at KC'!D191+'vs Oak'!D191+'vs NYJ'!D191+'at Den'!D191+'vs Cle'!D191</f>
        <v>0</v>
      </c>
      <c r="E191">
        <f>MAX('at Cin'!E191,'vs Den'!E191,'at Oak'!E191,'vs KC'!E191,'at SD'!E191,'at Hou'!E191,'vs NYG'!E191,'at NYJ'!E191,'at GB'!E191,'vs Pit'!E191,'vs SD'!E191,'at KC'!E191,'vs Oak'!E191,'vs NYJ'!E191,'at Den'!E191,'vs Cle'!E191)</f>
        <v>0</v>
      </c>
      <c r="F191">
        <f>+'at Cin'!F191+'vs Den'!F191+'at Oak'!F191+'vs KC'!F191+'at SD'!F191+'at Hou'!F191+'vs NYG'!F191+'at NYJ'!F191+'at GB'!F191+'vs Pit'!F191+'vs SD'!F191+'at KC'!F191+'vs Oak'!F191+'vs NYJ'!F191+'at Den'!F191+'vs Cle'!F191</f>
        <v>0</v>
      </c>
      <c r="G191">
        <f>+'at Cin'!G191+'vs Den'!G191+'at Oak'!G191+'vs KC'!G191+'at SD'!G191+'at Hou'!G191+'vs NYG'!G191+'at NYJ'!G191+'at GB'!G191+'vs Pit'!G191+'vs SD'!G191+'at KC'!G191+'vs Oak'!G191+'vs NYJ'!G191+'at Den'!G191+'vs Cle'!G191</f>
        <v>0</v>
      </c>
    </row>
    <row r="192" spans="1:7" ht="12">
      <c r="A192" t="s">
        <v>126</v>
      </c>
      <c r="B192" t="s">
        <v>167</v>
      </c>
      <c r="C192">
        <f>+'at Cin'!C192+'vs Den'!C192+'at Oak'!C192+'vs KC'!C192+'at SD'!C192+'at Hou'!C192+'vs NYG'!C192+'at NYJ'!C192+'at GB'!C192+'vs Pit'!C192+'vs SD'!C192+'at KC'!C192+'vs Oak'!C192+'vs NYJ'!C192+'at Den'!C192+'vs Cle'!C192</f>
        <v>1</v>
      </c>
      <c r="D192">
        <f>+'at Cin'!D192+'vs Den'!D192+'at Oak'!D192+'vs KC'!D192+'at SD'!D192+'at Hou'!D192+'vs NYG'!D192+'at NYJ'!D192+'at GB'!D192+'vs Pit'!D192+'vs SD'!D192+'at KC'!D192+'vs Oak'!D192+'vs NYJ'!D192+'at Den'!D192+'vs Cle'!D192</f>
        <v>0</v>
      </c>
      <c r="E192">
        <f>MAX('at Cin'!E192,'vs Den'!E192,'at Oak'!E192,'vs KC'!E192,'at SD'!E192,'at Hou'!E192,'vs NYG'!E192,'at NYJ'!E192,'at GB'!E192,'vs Pit'!E192,'vs SD'!E192,'at KC'!E192,'vs Oak'!E192,'vs NYJ'!E192,'at Den'!E192,'vs Cle'!E192)</f>
        <v>0</v>
      </c>
      <c r="F192">
        <f>+'at Cin'!F192+'vs Den'!F192+'at Oak'!F192+'vs KC'!F192+'at SD'!F192+'at Hou'!F192+'vs NYG'!F192+'at NYJ'!F192+'at GB'!F192+'vs Pit'!F192+'vs SD'!F192+'at KC'!F192+'vs Oak'!F192+'vs NYJ'!F192+'at Den'!F192+'vs Cle'!F192</f>
        <v>0</v>
      </c>
      <c r="G192">
        <f>+'at Cin'!G192+'vs Den'!G192+'at Oak'!G192+'vs KC'!G192+'at SD'!G192+'at Hou'!G192+'vs NYG'!G192+'at NYJ'!G192+'at GB'!G192+'vs Pit'!G192+'vs SD'!G192+'at KC'!G192+'vs Oak'!G192+'vs NYJ'!G192+'at Den'!G192+'vs Cle'!G192</f>
        <v>0</v>
      </c>
    </row>
    <row r="193" spans="1:7" ht="12">
      <c r="A193" t="s">
        <v>153</v>
      </c>
      <c r="B193" t="s">
        <v>167</v>
      </c>
      <c r="C193">
        <f>+'at Cin'!C193+'vs Den'!C193+'at Oak'!C193+'vs KC'!C193+'at SD'!C193+'at Hou'!C193+'vs NYG'!C193+'at NYJ'!C193+'at GB'!C193+'vs Pit'!C193+'vs SD'!C193+'at KC'!C193+'vs Oak'!C193+'vs NYJ'!C193+'at Den'!C193+'vs Cle'!C193</f>
        <v>0</v>
      </c>
      <c r="D193">
        <f>+'at Cin'!D193+'vs Den'!D193+'at Oak'!D193+'vs KC'!D193+'at SD'!D193+'at Hou'!D193+'vs NYG'!D193+'at NYJ'!D193+'at GB'!D193+'vs Pit'!D193+'vs SD'!D193+'at KC'!D193+'vs Oak'!D193+'vs NYJ'!D193+'at Den'!D193+'vs Cle'!D193</f>
        <v>0</v>
      </c>
      <c r="E193">
        <f>MAX('at Cin'!E193,'vs Den'!E193,'at Oak'!E193,'vs KC'!E193,'at SD'!E193,'at Hou'!E193,'vs NYG'!E193,'at NYJ'!E193,'at GB'!E193,'vs Pit'!E193,'vs SD'!E193,'at KC'!E193,'vs Oak'!E193,'vs NYJ'!E193,'at Den'!E193,'vs Cle'!E193)</f>
        <v>0</v>
      </c>
      <c r="F193">
        <f>+'at Cin'!F193+'vs Den'!F193+'at Oak'!F193+'vs KC'!F193+'at SD'!F193+'at Hou'!F193+'vs NYG'!F193+'at NYJ'!F193+'at GB'!F193+'vs Pit'!F193+'vs SD'!F193+'at KC'!F193+'vs Oak'!F193+'vs NYJ'!F193+'at Den'!F193+'vs Cle'!F193</f>
        <v>0</v>
      </c>
      <c r="G193">
        <f>+'at Cin'!G193+'vs Den'!G193+'at Oak'!G193+'vs KC'!G193+'at SD'!G193+'at Hou'!G193+'vs NYG'!G193+'at NYJ'!G193+'at GB'!G193+'vs Pit'!G193+'vs SD'!G193+'at KC'!G193+'vs Oak'!G193+'vs NYJ'!G193+'at Den'!G193+'vs Cle'!G193</f>
        <v>0</v>
      </c>
    </row>
    <row r="194" spans="1:7" ht="12">
      <c r="A194" t="s">
        <v>154</v>
      </c>
      <c r="B194" t="s">
        <v>167</v>
      </c>
      <c r="C194">
        <f>+'at Cin'!C194+'vs Den'!C194+'at Oak'!C194+'vs KC'!C194+'at SD'!C194+'at Hou'!C194+'vs NYG'!C194+'at NYJ'!C194+'at GB'!C194+'vs Pit'!C194+'vs SD'!C194+'at KC'!C194+'vs Oak'!C194+'vs NYJ'!C194+'at Den'!C194+'vs Cle'!C194</f>
        <v>2</v>
      </c>
      <c r="D194">
        <f>+'at Cin'!D194+'vs Den'!D194+'at Oak'!D194+'vs KC'!D194+'at SD'!D194+'at Hou'!D194+'vs NYG'!D194+'at NYJ'!D194+'at GB'!D194+'vs Pit'!D194+'vs SD'!D194+'at KC'!D194+'vs Oak'!D194+'vs NYJ'!D194+'at Den'!D194+'vs Cle'!D194</f>
        <v>0</v>
      </c>
      <c r="E194">
        <f>MAX('at Cin'!E194,'vs Den'!E194,'at Oak'!E194,'vs KC'!E194,'at SD'!E194,'at Hou'!E194,'vs NYG'!E194,'at NYJ'!E194,'at GB'!E194,'vs Pit'!E194,'vs SD'!E194,'at KC'!E194,'vs Oak'!E194,'vs NYJ'!E194,'at Den'!E194,'vs Cle'!E194)</f>
        <v>0</v>
      </c>
      <c r="F194">
        <f>+'at Cin'!F194+'vs Den'!F194+'at Oak'!F194+'vs KC'!F194+'at SD'!F194+'at Hou'!F194+'vs NYG'!F194+'at NYJ'!F194+'at GB'!F194+'vs Pit'!F194+'vs SD'!F194+'at KC'!F194+'vs Oak'!F194+'vs NYJ'!F194+'at Den'!F194+'vs Cle'!F194</f>
        <v>0</v>
      </c>
      <c r="G194">
        <f>+'at Cin'!G194+'vs Den'!G194+'at Oak'!G194+'vs KC'!G194+'at SD'!G194+'at Hou'!G194+'vs NYG'!G194+'at NYJ'!G194+'at GB'!G194+'vs Pit'!G194+'vs SD'!G194+'at KC'!G194+'vs Oak'!G194+'vs NYJ'!G194+'at Den'!G194+'vs Cle'!G194</f>
        <v>0</v>
      </c>
    </row>
    <row r="195" spans="1:7" ht="12">
      <c r="A195" t="s">
        <v>127</v>
      </c>
      <c r="B195" t="s">
        <v>167</v>
      </c>
      <c r="C195">
        <f>+'at Cin'!C195+'vs Den'!C195+'at Oak'!C195+'vs KC'!C195+'at SD'!C195+'at Hou'!C195+'vs NYG'!C195+'at NYJ'!C195+'at GB'!C195+'vs Pit'!C195+'vs SD'!C195+'at KC'!C195+'vs Oak'!C195+'vs NYJ'!C195+'at Den'!C195+'vs Cle'!C195</f>
        <v>0</v>
      </c>
      <c r="D195">
        <f>+'at Cin'!D195+'vs Den'!D195+'at Oak'!D195+'vs KC'!D195+'at SD'!D195+'at Hou'!D195+'vs NYG'!D195+'at NYJ'!D195+'at GB'!D195+'vs Pit'!D195+'vs SD'!D195+'at KC'!D195+'vs Oak'!D195+'vs NYJ'!D195+'at Den'!D195+'vs Cle'!D195</f>
        <v>0</v>
      </c>
      <c r="E195">
        <f>MAX('at Cin'!E195,'vs Den'!E195,'at Oak'!E195,'vs KC'!E195,'at SD'!E195,'at Hou'!E195,'vs NYG'!E195,'at NYJ'!E195,'at GB'!E195,'vs Pit'!E195,'vs SD'!E195,'at KC'!E195,'vs Oak'!E195,'vs NYJ'!E195,'at Den'!E195,'vs Cle'!E195)</f>
        <v>0</v>
      </c>
      <c r="F195">
        <f>+'at Cin'!F195+'vs Den'!F195+'at Oak'!F195+'vs KC'!F195+'at SD'!F195+'at Hou'!F195+'vs NYG'!F195+'at NYJ'!F195+'at GB'!F195+'vs Pit'!F195+'vs SD'!F195+'at KC'!F195+'vs Oak'!F195+'vs NYJ'!F195+'at Den'!F195+'vs Cle'!F195</f>
        <v>0</v>
      </c>
      <c r="G195">
        <f>+'at Cin'!G195+'vs Den'!G195+'at Oak'!G195+'vs KC'!G195+'at SD'!G195+'at Hou'!G195+'vs NYG'!G195+'at NYJ'!G195+'at GB'!G195+'vs Pit'!G195+'vs SD'!G195+'at KC'!G195+'vs Oak'!G195+'vs NYJ'!G195+'at Den'!G195+'vs Cle'!G195</f>
        <v>0</v>
      </c>
    </row>
    <row r="196" spans="1:7" ht="12">
      <c r="A196" t="s">
        <v>141</v>
      </c>
      <c r="B196" t="s">
        <v>167</v>
      </c>
      <c r="C196">
        <f>+'at Cin'!C196+'vs Den'!C196+'at Oak'!C196+'vs KC'!C196+'at SD'!C196+'at Hou'!C196+'vs NYG'!C196+'at NYJ'!C196+'at GB'!C196+'vs Pit'!C196+'vs SD'!C196+'at KC'!C196+'vs Oak'!C196+'vs NYJ'!C196+'at Den'!C196+'vs Cle'!C196</f>
        <v>1</v>
      </c>
      <c r="D196">
        <f>+'at Cin'!D196+'vs Den'!D196+'at Oak'!D196+'vs KC'!D196+'at SD'!D196+'at Hou'!D196+'vs NYG'!D196+'at NYJ'!D196+'at GB'!D196+'vs Pit'!D196+'vs SD'!D196+'at KC'!D196+'vs Oak'!D196+'vs NYJ'!D196+'at Den'!D196+'vs Cle'!D196</f>
        <v>7</v>
      </c>
      <c r="E196">
        <f>MAX('at Cin'!E196,'vs Den'!E196,'at Oak'!E196,'vs KC'!E196,'at SD'!E196,'at Hou'!E196,'vs NYG'!E196,'at NYJ'!E196,'at GB'!E196,'vs Pit'!E196,'vs SD'!E196,'at KC'!E196,'vs Oak'!E196,'vs NYJ'!E196,'at Den'!E196,'vs Cle'!E196)</f>
        <v>7</v>
      </c>
      <c r="F196">
        <f>+'at Cin'!F196+'vs Den'!F196+'at Oak'!F196+'vs KC'!F196+'at SD'!F196+'at Hou'!F196+'vs NYG'!F196+'at NYJ'!F196+'at GB'!F196+'vs Pit'!F196+'vs SD'!F196+'at KC'!F196+'vs Oak'!F196+'vs NYJ'!F196+'at Den'!F196+'vs Cle'!F196</f>
        <v>0</v>
      </c>
      <c r="G196">
        <f>+'at Cin'!G196+'vs Den'!G196+'at Oak'!G196+'vs KC'!G196+'at SD'!G196+'at Hou'!G196+'vs NYG'!G196+'at NYJ'!G196+'at GB'!G196+'vs Pit'!G196+'vs SD'!G196+'at KC'!G196+'vs Oak'!G196+'vs NYJ'!G196+'at Den'!G196+'vs Cle'!G196</f>
        <v>0</v>
      </c>
    </row>
    <row r="197" spans="1:7" ht="12">
      <c r="A197" t="s">
        <v>113</v>
      </c>
      <c r="B197" t="s">
        <v>167</v>
      </c>
      <c r="C197">
        <f>+'at Cin'!C197+'vs Den'!C197+'at Oak'!C197+'vs KC'!C197+'at SD'!C197+'at Hou'!C197+'vs NYG'!C197+'at NYJ'!C197+'at GB'!C197+'vs Pit'!C197+'vs SD'!C197+'at KC'!C197+'vs Oak'!C197+'vs NYJ'!C197+'at Den'!C197+'vs Cle'!C197</f>
        <v>0</v>
      </c>
      <c r="D197">
        <f>+'at Cin'!D197+'vs Den'!D197+'at Oak'!D197+'vs KC'!D197+'at SD'!D197+'at Hou'!D197+'vs NYG'!D197+'at NYJ'!D197+'at GB'!D197+'vs Pit'!D197+'vs SD'!D197+'at KC'!D197+'vs Oak'!D197+'vs NYJ'!D197+'at Den'!D197+'vs Cle'!D197</f>
        <v>0</v>
      </c>
      <c r="E197">
        <f>MAX('at Cin'!E197,'vs Den'!E197,'at Oak'!E197,'vs KC'!E197,'at SD'!E197,'at Hou'!E197,'vs NYG'!E197,'at NYJ'!E197,'at GB'!E197,'vs Pit'!E197,'vs SD'!E197,'at KC'!E197,'vs Oak'!E197,'vs NYJ'!E197,'at Den'!E197,'vs Cle'!E197)</f>
        <v>0</v>
      </c>
      <c r="F197">
        <f>+'at Cin'!F197+'vs Den'!F197+'at Oak'!F197+'vs KC'!F197+'at SD'!F197+'at Hou'!F197+'vs NYG'!F197+'at NYJ'!F197+'at GB'!F197+'vs Pit'!F197+'vs SD'!F197+'at KC'!F197+'vs Oak'!F197+'vs NYJ'!F197+'at Den'!F197+'vs Cle'!F197</f>
        <v>0</v>
      </c>
      <c r="G197">
        <f>+'at Cin'!G197+'vs Den'!G197+'at Oak'!G197+'vs KC'!G197+'at SD'!G197+'at Hou'!G197+'vs NYG'!G197+'at NYJ'!G197+'at GB'!G197+'vs Pit'!G197+'vs SD'!G197+'at KC'!G197+'vs Oak'!G197+'vs NYJ'!G197+'at Den'!G197+'vs Cle'!G197</f>
        <v>0</v>
      </c>
    </row>
    <row r="198" spans="1:7" ht="12">
      <c r="A198" t="s">
        <v>142</v>
      </c>
      <c r="B198" t="s">
        <v>167</v>
      </c>
      <c r="C198">
        <f>+'at Cin'!C198+'vs Den'!C198+'at Oak'!C198+'vs KC'!C198+'at SD'!C198+'at Hou'!C198+'vs NYG'!C198+'at NYJ'!C198+'at GB'!C198+'vs Pit'!C198+'vs SD'!C198+'at KC'!C198+'vs Oak'!C198+'vs NYJ'!C198+'at Den'!C198+'vs Cle'!C198</f>
        <v>1</v>
      </c>
      <c r="D198">
        <f>+'at Cin'!D198+'vs Den'!D198+'at Oak'!D198+'vs KC'!D198+'at SD'!D198+'at Hou'!D198+'vs NYG'!D198+'at NYJ'!D198+'at GB'!D198+'vs Pit'!D198+'vs SD'!D198+'at KC'!D198+'vs Oak'!D198+'vs NYJ'!D198+'at Den'!D198+'vs Cle'!D198</f>
        <v>0</v>
      </c>
      <c r="E198">
        <f>MAX('at Cin'!E198,'vs Den'!E198,'at Oak'!E198,'vs KC'!E198,'at SD'!E198,'at Hou'!E198,'vs NYG'!E198,'at NYJ'!E198,'at GB'!E198,'vs Pit'!E198,'vs SD'!E198,'at KC'!E198,'vs Oak'!E198,'vs NYJ'!E198,'at Den'!E198,'vs Cle'!E198)</f>
        <v>0</v>
      </c>
      <c r="F198">
        <f>+'at Cin'!F198+'vs Den'!F198+'at Oak'!F198+'vs KC'!F198+'at SD'!F198+'at Hou'!F198+'vs NYG'!F198+'at NYJ'!F198+'at GB'!F198+'vs Pit'!F198+'vs SD'!F198+'at KC'!F198+'vs Oak'!F198+'vs NYJ'!F198+'at Den'!F198+'vs Cle'!F198</f>
        <v>0</v>
      </c>
      <c r="G198">
        <f>+'at Cin'!G198+'vs Den'!G198+'at Oak'!G198+'vs KC'!G198+'at SD'!G198+'at Hou'!G198+'vs NYG'!G198+'at NYJ'!G198+'at GB'!G198+'vs Pit'!G198+'vs SD'!G198+'at KC'!G198+'vs Oak'!G198+'vs NYJ'!G198+'at Den'!G198+'vs Cle'!G198</f>
        <v>0</v>
      </c>
    </row>
    <row r="199" spans="1:7" ht="12">
      <c r="A199" t="s">
        <v>136</v>
      </c>
      <c r="B199" t="s">
        <v>167</v>
      </c>
      <c r="C199">
        <f>+'at Cin'!C199+'vs Den'!C199+'at Oak'!C199+'vs KC'!C199+'at SD'!C199+'at Hou'!C199+'vs NYG'!C199+'at NYJ'!C199+'at GB'!C199+'vs Pit'!C199+'vs SD'!C199+'at KC'!C199+'vs Oak'!C199+'vs NYJ'!C199+'at Den'!C199+'vs Cle'!C199</f>
        <v>0</v>
      </c>
      <c r="D199">
        <f>+'at Cin'!D199+'vs Den'!D199+'at Oak'!D199+'vs KC'!D199+'at SD'!D199+'at Hou'!D199+'vs NYG'!D199+'at NYJ'!D199+'at GB'!D199+'vs Pit'!D199+'vs SD'!D199+'at KC'!D199+'vs Oak'!D199+'vs NYJ'!D199+'at Den'!D199+'vs Cle'!D199</f>
        <v>0</v>
      </c>
      <c r="E199">
        <f>MAX('at Cin'!E199,'vs Den'!E199,'at Oak'!E199,'vs KC'!E199,'at SD'!E199,'at Hou'!E199,'vs NYG'!E199,'at NYJ'!E199,'at GB'!E199,'vs Pit'!E199,'vs SD'!E199,'at KC'!E199,'vs Oak'!E199,'vs NYJ'!E199,'at Den'!E199,'vs Cle'!E199)</f>
        <v>0</v>
      </c>
      <c r="F199">
        <f>+'at Cin'!F199+'vs Den'!F199+'at Oak'!F199+'vs KC'!F199+'at SD'!F199+'at Hou'!F199+'vs NYG'!F199+'at NYJ'!F199+'at GB'!F199+'vs Pit'!F199+'vs SD'!F199+'at KC'!F199+'vs Oak'!F199+'vs NYJ'!F199+'at Den'!F199+'vs Cle'!F199</f>
        <v>0</v>
      </c>
      <c r="G199">
        <f>+'at Cin'!G199+'vs Den'!G199+'at Oak'!G199+'vs KC'!G199+'at SD'!G199+'at Hou'!G199+'vs NYG'!G199+'at NYJ'!G199+'at GB'!G199+'vs Pit'!G199+'vs SD'!G199+'at KC'!G199+'vs Oak'!G199+'vs NYJ'!G199+'at Den'!G199+'vs Cle'!G199</f>
        <v>0</v>
      </c>
    </row>
    <row r="200" spans="1:7" ht="12">
      <c r="A200" t="s">
        <v>114</v>
      </c>
      <c r="B200" t="s">
        <v>167</v>
      </c>
      <c r="C200">
        <f>+'at Cin'!C200+'vs Den'!C200+'at Oak'!C200+'vs KC'!C200+'at SD'!C200+'at Hou'!C200+'vs NYG'!C200+'at NYJ'!C200+'at GB'!C200+'vs Pit'!C200+'vs SD'!C200+'at KC'!C200+'vs Oak'!C200+'vs NYJ'!C200+'at Den'!C200+'vs Cle'!C200</f>
        <v>0</v>
      </c>
      <c r="D200">
        <f>+'at Cin'!D200+'vs Den'!D200+'at Oak'!D200+'vs KC'!D200+'at SD'!D200+'at Hou'!D200+'vs NYG'!D200+'at NYJ'!D200+'at GB'!D200+'vs Pit'!D200+'vs SD'!D200+'at KC'!D200+'vs Oak'!D200+'vs NYJ'!D200+'at Den'!D200+'vs Cle'!D200</f>
        <v>0</v>
      </c>
      <c r="E200">
        <f>MAX('at Cin'!E200,'vs Den'!E200,'at Oak'!E200,'vs KC'!E200,'at SD'!E200,'at Hou'!E200,'vs NYG'!E200,'at NYJ'!E200,'at GB'!E200,'vs Pit'!E200,'vs SD'!E200,'at KC'!E200,'vs Oak'!E200,'vs NYJ'!E200,'at Den'!E200,'vs Cle'!E200)</f>
        <v>0</v>
      </c>
      <c r="F200">
        <f>+'at Cin'!F200+'vs Den'!F200+'at Oak'!F200+'vs KC'!F200+'at SD'!F200+'at Hou'!F200+'vs NYG'!F200+'at NYJ'!F200+'at GB'!F200+'vs Pit'!F200+'vs SD'!F200+'at KC'!F200+'vs Oak'!F200+'vs NYJ'!F200+'at Den'!F200+'vs Cle'!F200</f>
        <v>0</v>
      </c>
      <c r="G200">
        <f>+'at Cin'!G200+'vs Den'!G200+'at Oak'!G200+'vs KC'!G200+'at SD'!G200+'at Hou'!G200+'vs NYG'!G200+'at NYJ'!G200+'at GB'!G200+'vs Pit'!G200+'vs SD'!G200+'at KC'!G200+'vs Oak'!G200+'vs NYJ'!G200+'at Den'!G200+'vs Cle'!G200</f>
        <v>0</v>
      </c>
    </row>
    <row r="201" spans="1:7" ht="12">
      <c r="A201" t="s">
        <v>137</v>
      </c>
      <c r="B201" t="s">
        <v>167</v>
      </c>
      <c r="C201">
        <f>+'at Cin'!C201+'vs Den'!C201+'at Oak'!C201+'vs KC'!C201+'at SD'!C201+'at Hou'!C201+'vs NYG'!C201+'at NYJ'!C201+'at GB'!C201+'vs Pit'!C201+'vs SD'!C201+'at KC'!C201+'vs Oak'!C201+'vs NYJ'!C201+'at Den'!C201+'vs Cle'!C201</f>
        <v>0</v>
      </c>
      <c r="D201">
        <f>+'at Cin'!D201+'vs Den'!D201+'at Oak'!D201+'vs KC'!D201+'at SD'!D201+'at Hou'!D201+'vs NYG'!D201+'at NYJ'!D201+'at GB'!D201+'vs Pit'!D201+'vs SD'!D201+'at KC'!D201+'vs Oak'!D201+'vs NYJ'!D201+'at Den'!D201+'vs Cle'!D201</f>
        <v>0</v>
      </c>
      <c r="E201">
        <f>MAX('at Cin'!E201,'vs Den'!E201,'at Oak'!E201,'vs KC'!E201,'at SD'!E201,'at Hou'!E201,'vs NYG'!E201,'at NYJ'!E201,'at GB'!E201,'vs Pit'!E201,'vs SD'!E201,'at KC'!E201,'vs Oak'!E201,'vs NYJ'!E201,'at Den'!E201,'vs Cle'!E201)</f>
        <v>0</v>
      </c>
      <c r="F201">
        <f>+'at Cin'!F201+'vs Den'!F201+'at Oak'!F201+'vs KC'!F201+'at SD'!F201+'at Hou'!F201+'vs NYG'!F201+'at NYJ'!F201+'at GB'!F201+'vs Pit'!F201+'vs SD'!F201+'at KC'!F201+'vs Oak'!F201+'vs NYJ'!F201+'at Den'!F201+'vs Cle'!F201</f>
        <v>0</v>
      </c>
      <c r="G201">
        <f>+'at Cin'!G201+'vs Den'!G201+'at Oak'!G201+'vs KC'!G201+'at SD'!G201+'at Hou'!G201+'vs NYG'!G201+'at NYJ'!G201+'at GB'!G201+'vs Pit'!G201+'vs SD'!G201+'at KC'!G201+'vs Oak'!G201+'vs NYJ'!G201+'at Den'!G201+'vs Cle'!G201</f>
        <v>0</v>
      </c>
    </row>
    <row r="202" spans="1:7" ht="12">
      <c r="A202" t="s">
        <v>155</v>
      </c>
      <c r="B202" t="s">
        <v>167</v>
      </c>
      <c r="C202">
        <f>+'at Cin'!C202+'vs Den'!C202+'at Oak'!C202+'vs KC'!C202+'at SD'!C202+'at Hou'!C202+'vs NYG'!C202+'at NYJ'!C202+'at GB'!C202+'vs Pit'!C202+'vs SD'!C202+'at KC'!C202+'vs Oak'!C202+'vs NYJ'!C202+'at Den'!C202+'vs Cle'!C202</f>
        <v>0</v>
      </c>
      <c r="D202">
        <f>+'at Cin'!D202+'vs Den'!D202+'at Oak'!D202+'vs KC'!D202+'at SD'!D202+'at Hou'!D202+'vs NYG'!D202+'at NYJ'!D202+'at GB'!D202+'vs Pit'!D202+'vs SD'!D202+'at KC'!D202+'vs Oak'!D202+'vs NYJ'!D202+'at Den'!D202+'vs Cle'!D202</f>
        <v>0</v>
      </c>
      <c r="E202">
        <f>MAX('at Cin'!E202,'vs Den'!E202,'at Oak'!E202,'vs KC'!E202,'at SD'!E202,'at Hou'!E202,'vs NYG'!E202,'at NYJ'!E202,'at GB'!E202,'vs Pit'!E202,'vs SD'!E202,'at KC'!E202,'vs Oak'!E202,'vs NYJ'!E202,'at Den'!E202,'vs Cle'!E202)</f>
        <v>0</v>
      </c>
      <c r="F202">
        <f>+'at Cin'!F202+'vs Den'!F202+'at Oak'!F202+'vs KC'!F202+'at SD'!F202+'at Hou'!F202+'vs NYG'!F202+'at NYJ'!F202+'at GB'!F202+'vs Pit'!F202+'vs SD'!F202+'at KC'!F202+'vs Oak'!F202+'vs NYJ'!F202+'at Den'!F202+'vs Cle'!F202</f>
        <v>0</v>
      </c>
      <c r="G202">
        <f>+'at Cin'!G202+'vs Den'!G202+'at Oak'!G202+'vs KC'!G202+'at SD'!G202+'at Hou'!G202+'vs NYG'!G202+'at NYJ'!G202+'at GB'!G202+'vs Pit'!G202+'vs SD'!G202+'at KC'!G202+'vs Oak'!G202+'vs NYJ'!G202+'at Den'!G202+'vs Cle'!G202</f>
        <v>0</v>
      </c>
    </row>
    <row r="203" spans="1:7" ht="12">
      <c r="A203" t="s">
        <v>143</v>
      </c>
      <c r="B203" t="s">
        <v>167</v>
      </c>
      <c r="C203">
        <f>+'at Cin'!C203+'vs Den'!C203+'at Oak'!C203+'vs KC'!C203+'at SD'!C203+'at Hou'!C203+'vs NYG'!C203+'at NYJ'!C203+'at GB'!C203+'vs Pit'!C203+'vs SD'!C203+'at KC'!C203+'vs Oak'!C203+'vs NYJ'!C203+'at Den'!C203+'vs Cle'!C203</f>
        <v>1</v>
      </c>
      <c r="D203">
        <f>+'at Cin'!D203+'vs Den'!D203+'at Oak'!D203+'vs KC'!D203+'at SD'!D203+'at Hou'!D203+'vs NYG'!D203+'at NYJ'!D203+'at GB'!D203+'vs Pit'!D203+'vs SD'!D203+'at KC'!D203+'vs Oak'!D203+'vs NYJ'!D203+'at Den'!D203+'vs Cle'!D203</f>
        <v>0</v>
      </c>
      <c r="E203">
        <f>MAX('at Cin'!E203,'vs Den'!E203,'at Oak'!E203,'vs KC'!E203,'at SD'!E203,'at Hou'!E203,'vs NYG'!E203,'at NYJ'!E203,'at GB'!E203,'vs Pit'!E203,'vs SD'!E203,'at KC'!E203,'vs Oak'!E203,'vs NYJ'!E203,'at Den'!E203,'vs Cle'!E203)</f>
        <v>0</v>
      </c>
      <c r="F203">
        <f>+'at Cin'!F203+'vs Den'!F203+'at Oak'!F203+'vs KC'!F203+'at SD'!F203+'at Hou'!F203+'vs NYG'!F203+'at NYJ'!F203+'at GB'!F203+'vs Pit'!F203+'vs SD'!F203+'at KC'!F203+'vs Oak'!F203+'vs NYJ'!F203+'at Den'!F203+'vs Cle'!F203</f>
        <v>0</v>
      </c>
      <c r="G203">
        <f>+'at Cin'!G203+'vs Den'!G203+'at Oak'!G203+'vs KC'!G203+'at SD'!G203+'at Hou'!G203+'vs NYG'!G203+'at NYJ'!G203+'at GB'!G203+'vs Pit'!G203+'vs SD'!G203+'at KC'!G203+'vs Oak'!G203+'vs NYJ'!G203+'at Den'!G203+'vs Cle'!G203</f>
        <v>0</v>
      </c>
    </row>
    <row r="204" spans="1:7" ht="12">
      <c r="A204" t="s">
        <v>156</v>
      </c>
      <c r="B204" t="s">
        <v>167</v>
      </c>
      <c r="C204">
        <f>+'at Cin'!C204+'vs Den'!C204+'at Oak'!C204+'vs KC'!C204+'at SD'!C204+'at Hou'!C204+'vs NYG'!C204+'at NYJ'!C204+'at GB'!C204+'vs Pit'!C204+'vs SD'!C204+'at KC'!C204+'vs Oak'!C204+'vs NYJ'!C204+'at Den'!C204+'vs Cle'!C204</f>
        <v>0</v>
      </c>
      <c r="D204">
        <f>+'at Cin'!D204+'vs Den'!D204+'at Oak'!D204+'vs KC'!D204+'at SD'!D204+'at Hou'!D204+'vs NYG'!D204+'at NYJ'!D204+'at GB'!D204+'vs Pit'!D204+'vs SD'!D204+'at KC'!D204+'vs Oak'!D204+'vs NYJ'!D204+'at Den'!D204+'vs Cle'!D204</f>
        <v>0</v>
      </c>
      <c r="E204">
        <f>MAX('at Cin'!E204,'vs Den'!E204,'at Oak'!E204,'vs KC'!E204,'at SD'!E204,'at Hou'!E204,'vs NYG'!E204,'at NYJ'!E204,'at GB'!E204,'vs Pit'!E204,'vs SD'!E204,'at KC'!E204,'vs Oak'!E204,'vs NYJ'!E204,'at Den'!E204,'vs Cle'!E204)</f>
        <v>0</v>
      </c>
      <c r="F204">
        <f>+'at Cin'!F204+'vs Den'!F204+'at Oak'!F204+'vs KC'!F204+'at SD'!F204+'at Hou'!F204+'vs NYG'!F204+'at NYJ'!F204+'at GB'!F204+'vs Pit'!F204+'vs SD'!F204+'at KC'!F204+'vs Oak'!F204+'vs NYJ'!F204+'at Den'!F204+'vs Cle'!F204</f>
        <v>0</v>
      </c>
      <c r="G204">
        <f>+'at Cin'!G204+'vs Den'!G204+'at Oak'!G204+'vs KC'!G204+'at SD'!G204+'at Hou'!G204+'vs NYG'!G204+'at NYJ'!G204+'at GB'!G204+'vs Pit'!G204+'vs SD'!G204+'at KC'!G204+'vs Oak'!G204+'vs NYJ'!G204+'at Den'!G204+'vs Cle'!G204</f>
        <v>0</v>
      </c>
    </row>
    <row r="205" spans="1:7" ht="12">
      <c r="A205" t="s">
        <v>157</v>
      </c>
      <c r="B205" t="s">
        <v>167</v>
      </c>
      <c r="C205">
        <f>+'at Cin'!C205+'vs Den'!C205+'at Oak'!C205+'vs KC'!C205+'at SD'!C205+'at Hou'!C205+'vs NYG'!C205+'at NYJ'!C205+'at GB'!C205+'vs Pit'!C205+'vs SD'!C205+'at KC'!C205+'vs Oak'!C205+'vs NYJ'!C205+'at Den'!C205+'vs Cle'!C205</f>
        <v>0</v>
      </c>
      <c r="D205">
        <f>+'at Cin'!D205+'vs Den'!D205+'at Oak'!D205+'vs KC'!D205+'at SD'!D205+'at Hou'!D205+'vs NYG'!D205+'at NYJ'!D205+'at GB'!D205+'vs Pit'!D205+'vs SD'!D205+'at KC'!D205+'vs Oak'!D205+'vs NYJ'!D205+'at Den'!D205+'vs Cle'!D205</f>
        <v>0</v>
      </c>
      <c r="E205">
        <f>MAX('at Cin'!E205,'vs Den'!E205,'at Oak'!E205,'vs KC'!E205,'at SD'!E205,'at Hou'!E205,'vs NYG'!E205,'at NYJ'!E205,'at GB'!E205,'vs Pit'!E205,'vs SD'!E205,'at KC'!E205,'vs Oak'!E205,'vs NYJ'!E205,'at Den'!E205,'vs Cle'!E205)</f>
        <v>0</v>
      </c>
      <c r="F205">
        <f>+'at Cin'!F205+'vs Den'!F205+'at Oak'!F205+'vs KC'!F205+'at SD'!F205+'at Hou'!F205+'vs NYG'!F205+'at NYJ'!F205+'at GB'!F205+'vs Pit'!F205+'vs SD'!F205+'at KC'!F205+'vs Oak'!F205+'vs NYJ'!F205+'at Den'!F205+'vs Cle'!F205</f>
        <v>0</v>
      </c>
      <c r="G205">
        <f>+'at Cin'!G205+'vs Den'!G205+'at Oak'!G205+'vs KC'!G205+'at SD'!G205+'at Hou'!G205+'vs NYG'!G205+'at NYJ'!G205+'at GB'!G205+'vs Pit'!G205+'vs SD'!G205+'at KC'!G205+'vs Oak'!G205+'vs NYJ'!G205+'at Den'!G205+'vs Cle'!G205</f>
        <v>0</v>
      </c>
    </row>
    <row r="206" spans="1:7" ht="12">
      <c r="A206" t="s">
        <v>158</v>
      </c>
      <c r="B206" t="s">
        <v>167</v>
      </c>
      <c r="C206">
        <f>+'at Cin'!C206+'vs Den'!C206+'at Oak'!C206+'vs KC'!C206+'at SD'!C206+'at Hou'!C206+'vs NYG'!C206+'at NYJ'!C206+'at GB'!C206+'vs Pit'!C206+'vs SD'!C206+'at KC'!C206+'vs Oak'!C206+'vs NYJ'!C206+'at Den'!C206+'vs Cle'!C206</f>
        <v>0</v>
      </c>
      <c r="D206">
        <f>+'at Cin'!D206+'vs Den'!D206+'at Oak'!D206+'vs KC'!D206+'at SD'!D206+'at Hou'!D206+'vs NYG'!D206+'at NYJ'!D206+'at GB'!D206+'vs Pit'!D206+'vs SD'!D206+'at KC'!D206+'vs Oak'!D206+'vs NYJ'!D206+'at Den'!D206+'vs Cle'!D206</f>
        <v>0</v>
      </c>
      <c r="E206">
        <f>MAX('at Cin'!E206,'vs Den'!E206,'at Oak'!E206,'vs KC'!E206,'at SD'!E206,'at Hou'!E206,'vs NYG'!E206,'at NYJ'!E206,'at GB'!E206,'vs Pit'!E206,'vs SD'!E206,'at KC'!E206,'vs Oak'!E206,'vs NYJ'!E206,'at Den'!E206,'vs Cle'!E206)</f>
        <v>0</v>
      </c>
      <c r="F206">
        <f>+'at Cin'!F206+'vs Den'!F206+'at Oak'!F206+'vs KC'!F206+'at SD'!F206+'at Hou'!F206+'vs NYG'!F206+'at NYJ'!F206+'at GB'!F206+'vs Pit'!F206+'vs SD'!F206+'at KC'!F206+'vs Oak'!F206+'vs NYJ'!F206+'at Den'!F206+'vs Cle'!F206</f>
        <v>0</v>
      </c>
      <c r="G206">
        <f>+'at Cin'!G206+'vs Den'!G206+'at Oak'!G206+'vs KC'!G206+'at SD'!G206+'at Hou'!G206+'vs NYG'!G206+'at NYJ'!G206+'at GB'!G206+'vs Pit'!G206+'vs SD'!G206+'at KC'!G206+'vs Oak'!G206+'vs NYJ'!G206+'at Den'!G206+'vs Cle'!G206</f>
        <v>0</v>
      </c>
    </row>
    <row r="207" spans="1:7" ht="12">
      <c r="A207" t="s">
        <v>138</v>
      </c>
      <c r="B207" t="s">
        <v>167</v>
      </c>
      <c r="C207">
        <f>+'at Cin'!C207+'vs Den'!C207+'at Oak'!C207+'vs KC'!C207+'at SD'!C207+'at Hou'!C207+'vs NYG'!C207+'at NYJ'!C207+'at GB'!C207+'vs Pit'!C207+'vs SD'!C207+'at KC'!C207+'vs Oak'!C207+'vs NYJ'!C207+'at Den'!C207+'vs Cle'!C207</f>
        <v>0</v>
      </c>
      <c r="D207">
        <f>+'at Cin'!D207+'vs Den'!D207+'at Oak'!D207+'vs KC'!D207+'at SD'!D207+'at Hou'!D207+'vs NYG'!D207+'at NYJ'!D207+'at GB'!D207+'vs Pit'!D207+'vs SD'!D207+'at KC'!D207+'vs Oak'!D207+'vs NYJ'!D207+'at Den'!D207+'vs Cle'!D207</f>
        <v>0</v>
      </c>
      <c r="E207">
        <f>MAX('at Cin'!E207,'vs Den'!E207,'at Oak'!E207,'vs KC'!E207,'at SD'!E207,'at Hou'!E207,'vs NYG'!E207,'at NYJ'!E207,'at GB'!E207,'vs Pit'!E207,'vs SD'!E207,'at KC'!E207,'vs Oak'!E207,'vs NYJ'!E207,'at Den'!E207,'vs Cle'!E207)</f>
        <v>0</v>
      </c>
      <c r="F207">
        <f>+'at Cin'!F207+'vs Den'!F207+'at Oak'!F207+'vs KC'!F207+'at SD'!F207+'at Hou'!F207+'vs NYG'!F207+'at NYJ'!F207+'at GB'!F207+'vs Pit'!F207+'vs SD'!F207+'at KC'!F207+'vs Oak'!F207+'vs NYJ'!F207+'at Den'!F207+'vs Cle'!F207</f>
        <v>0</v>
      </c>
      <c r="G207">
        <f>+'at Cin'!G207+'vs Den'!G207+'at Oak'!G207+'vs KC'!G207+'at SD'!G207+'at Hou'!G207+'vs NYG'!G207+'at NYJ'!G207+'at GB'!G207+'vs Pit'!G207+'vs SD'!G207+'at KC'!G207+'vs Oak'!G207+'vs NYJ'!G207+'at Den'!G207+'vs Cle'!G207</f>
        <v>0</v>
      </c>
    </row>
    <row r="208" spans="1:7" ht="12">
      <c r="A208" t="s">
        <v>147</v>
      </c>
      <c r="B208" t="s">
        <v>167</v>
      </c>
      <c r="C208">
        <f>+'at Cin'!C208+'vs Den'!C208+'at Oak'!C208+'vs KC'!C208+'at SD'!C208+'at Hou'!C208+'vs NYG'!C208+'at NYJ'!C208+'at GB'!C208+'vs Pit'!C208+'vs SD'!C208+'at KC'!C208+'vs Oak'!C208+'vs NYJ'!C208+'at Den'!C208+'vs Cle'!C208</f>
        <v>1</v>
      </c>
      <c r="D208">
        <f>+'at Cin'!D208+'vs Den'!D208+'at Oak'!D208+'vs KC'!D208+'at SD'!D208+'at Hou'!D208+'vs NYG'!D208+'at NYJ'!D208+'at GB'!D208+'vs Pit'!D208+'vs SD'!D208+'at KC'!D208+'vs Oak'!D208+'vs NYJ'!D208+'at Den'!D208+'vs Cle'!D208</f>
        <v>0</v>
      </c>
      <c r="E208">
        <f>MAX('at Cin'!E208,'vs Den'!E208,'at Oak'!E208,'vs KC'!E208,'at SD'!E208,'at Hou'!E208,'vs NYG'!E208,'at NYJ'!E208,'at GB'!E208,'vs Pit'!E208,'vs SD'!E208,'at KC'!E208,'vs Oak'!E208,'vs NYJ'!E208,'at Den'!E208,'vs Cle'!E208)</f>
        <v>0</v>
      </c>
      <c r="F208">
        <f>+'at Cin'!F208+'vs Den'!F208+'at Oak'!F208+'vs KC'!F208+'at SD'!F208+'at Hou'!F208+'vs NYG'!F208+'at NYJ'!F208+'at GB'!F208+'vs Pit'!F208+'vs SD'!F208+'at KC'!F208+'vs Oak'!F208+'vs NYJ'!F208+'at Den'!F208+'vs Cle'!F208</f>
        <v>0</v>
      </c>
      <c r="G208">
        <f>+'at Cin'!G208+'vs Den'!G208+'at Oak'!G208+'vs KC'!G208+'at SD'!G208+'at Hou'!G208+'vs NYG'!G208+'at NYJ'!G208+'at GB'!G208+'vs Pit'!G208+'vs SD'!G208+'at KC'!G208+'vs Oak'!G208+'vs NYJ'!G208+'at Den'!G208+'vs Cle'!G208</f>
        <v>0</v>
      </c>
    </row>
    <row r="209" spans="1:7" ht="12">
      <c r="A209" t="s">
        <v>148</v>
      </c>
      <c r="B209" t="s">
        <v>167</v>
      </c>
      <c r="C209">
        <f>+'at Cin'!C209+'vs Den'!C209+'at Oak'!C209+'vs KC'!C209+'at SD'!C209+'at Hou'!C209+'vs NYG'!C209+'at NYJ'!C209+'at GB'!C209+'vs Pit'!C209+'vs SD'!C209+'at KC'!C209+'vs Oak'!C209+'vs NYJ'!C209+'at Den'!C209+'vs Cle'!C209</f>
        <v>0</v>
      </c>
      <c r="D209">
        <f>+'at Cin'!D209+'vs Den'!D209+'at Oak'!D209+'vs KC'!D209+'at SD'!D209+'at Hou'!D209+'vs NYG'!D209+'at NYJ'!D209+'at GB'!D209+'vs Pit'!D209+'vs SD'!D209+'at KC'!D209+'vs Oak'!D209+'vs NYJ'!D209+'at Den'!D209+'vs Cle'!D209</f>
        <v>0</v>
      </c>
      <c r="E209">
        <f>MAX('at Cin'!E209,'vs Den'!E209,'at Oak'!E209,'vs KC'!E209,'at SD'!E209,'at Hou'!E209,'vs NYG'!E209,'at NYJ'!E209,'at GB'!E209,'vs Pit'!E209,'vs SD'!E209,'at KC'!E209,'vs Oak'!E209,'vs NYJ'!E209,'at Den'!E209,'vs Cle'!E209)</f>
        <v>0</v>
      </c>
      <c r="F209">
        <f>+'at Cin'!F209+'vs Den'!F209+'at Oak'!F209+'vs KC'!F209+'at SD'!F209+'at Hou'!F209+'vs NYG'!F209+'at NYJ'!F209+'at GB'!F209+'vs Pit'!F209+'vs SD'!F209+'at KC'!F209+'vs Oak'!F209+'vs NYJ'!F209+'at Den'!F209+'vs Cle'!F209</f>
        <v>0</v>
      </c>
      <c r="G209">
        <f>+'at Cin'!G209+'vs Den'!G209+'at Oak'!G209+'vs KC'!G209+'at SD'!G209+'at Hou'!G209+'vs NYG'!G209+'at NYJ'!G209+'at GB'!G209+'vs Pit'!G209+'vs SD'!G209+'at KC'!G209+'vs Oak'!G209+'vs NYJ'!G209+'at Den'!G209+'vs Cle'!G209</f>
        <v>0</v>
      </c>
    </row>
    <row r="210" spans="1:7" ht="12">
      <c r="A210" t="s">
        <v>144</v>
      </c>
      <c r="B210" t="s">
        <v>167</v>
      </c>
      <c r="C210">
        <f>+'at Cin'!C210+'vs Den'!C210+'at Oak'!C210+'vs KC'!C210+'at SD'!C210+'at Hou'!C210+'vs NYG'!C210+'at NYJ'!C210+'at GB'!C210+'vs Pit'!C210+'vs SD'!C210+'at KC'!C210+'vs Oak'!C210+'vs NYJ'!C210+'at Den'!C210+'vs Cle'!C210</f>
        <v>3</v>
      </c>
      <c r="D210">
        <f>+'at Cin'!D210+'vs Den'!D210+'at Oak'!D210+'vs KC'!D210+'at SD'!D210+'at Hou'!D210+'vs NYG'!D210+'at NYJ'!D210+'at GB'!D210+'vs Pit'!D210+'vs SD'!D210+'at KC'!D210+'vs Oak'!D210+'vs NYJ'!D210+'at Den'!D210+'vs Cle'!D210</f>
        <v>0</v>
      </c>
      <c r="E210">
        <f>MAX('at Cin'!E210,'vs Den'!E210,'at Oak'!E210,'vs KC'!E210,'at SD'!E210,'at Hou'!E210,'vs NYG'!E210,'at NYJ'!E210,'at GB'!E210,'vs Pit'!E210,'vs SD'!E210,'at KC'!E210,'vs Oak'!E210,'vs NYJ'!E210,'at Den'!E210,'vs Cle'!E210)</f>
        <v>0</v>
      </c>
      <c r="F210">
        <f>+'at Cin'!F210+'vs Den'!F210+'at Oak'!F210+'vs KC'!F210+'at SD'!F210+'at Hou'!F210+'vs NYG'!F210+'at NYJ'!F210+'at GB'!F210+'vs Pit'!F210+'vs SD'!F210+'at KC'!F210+'vs Oak'!F210+'vs NYJ'!F210+'at Den'!F210+'vs Cle'!F210</f>
        <v>0</v>
      </c>
      <c r="G210">
        <f>+'at Cin'!G210+'vs Den'!G210+'at Oak'!G210+'vs KC'!G210+'at SD'!G210+'at Hou'!G210+'vs NYG'!G210+'at NYJ'!G210+'at GB'!G210+'vs Pit'!G210+'vs SD'!G210+'at KC'!G210+'vs Oak'!G210+'vs NYJ'!G210+'at Den'!G210+'vs Cle'!G210</f>
        <v>0</v>
      </c>
    </row>
    <row r="211" spans="1:7" ht="12">
      <c r="A211" t="s">
        <v>140</v>
      </c>
      <c r="B211" t="s">
        <v>167</v>
      </c>
      <c r="C211">
        <f>+'at Cin'!C211+'vs Den'!C211+'at Oak'!C211+'vs KC'!C211+'at SD'!C211+'at Hou'!C211+'vs NYG'!C211+'at NYJ'!C211+'at GB'!C211+'vs Pit'!C211+'vs SD'!C211+'at KC'!C211+'vs Oak'!C211+'vs NYJ'!C211+'at Den'!C211+'vs Cle'!C211</f>
        <v>0</v>
      </c>
      <c r="D211">
        <f>+'at Cin'!D211+'vs Den'!D211+'at Oak'!D211+'vs KC'!D211+'at SD'!D211+'at Hou'!D211+'vs NYG'!D211+'at NYJ'!D211+'at GB'!D211+'vs Pit'!D211+'vs SD'!D211+'at KC'!D211+'vs Oak'!D211+'vs NYJ'!D211+'at Den'!D211+'vs Cle'!D211</f>
        <v>0</v>
      </c>
      <c r="E211">
        <f>MAX('at Cin'!E211,'vs Den'!E211,'at Oak'!E211,'vs KC'!E211,'at SD'!E211,'at Hou'!E211,'vs NYG'!E211,'at NYJ'!E211,'at GB'!E211,'vs Pit'!E211,'vs SD'!E211,'at KC'!E211,'vs Oak'!E211,'vs NYJ'!E211,'at Den'!E211,'vs Cle'!E211)</f>
        <v>0</v>
      </c>
      <c r="F211">
        <f>+'at Cin'!F211+'vs Den'!F211+'at Oak'!F211+'vs KC'!F211+'at SD'!F211+'at Hou'!F211+'vs NYG'!F211+'at NYJ'!F211+'at GB'!F211+'vs Pit'!F211+'vs SD'!F211+'at KC'!F211+'vs Oak'!F211+'vs NYJ'!F211+'at Den'!F211+'vs Cle'!F211</f>
        <v>0</v>
      </c>
      <c r="G211">
        <f>+'at Cin'!G211+'vs Den'!G211+'at Oak'!G211+'vs KC'!G211+'at SD'!G211+'at Hou'!G211+'vs NYG'!G211+'at NYJ'!G211+'at GB'!G211+'vs Pit'!G211+'vs SD'!G211+'at KC'!G211+'vs Oak'!G211+'vs NYJ'!G211+'at Den'!G211+'vs Cle'!G211</f>
        <v>0</v>
      </c>
    </row>
    <row r="212" spans="1:7" ht="12">
      <c r="A212" t="s">
        <v>115</v>
      </c>
      <c r="B212" t="s">
        <v>167</v>
      </c>
      <c r="C212">
        <f>+'at Cin'!C212+'vs Den'!C212+'at Oak'!C212+'vs KC'!C212+'at SD'!C212+'at Hou'!C212+'vs NYG'!C212+'at NYJ'!C212+'at GB'!C212+'vs Pit'!C212+'vs SD'!C212+'at KC'!C212+'vs Oak'!C212+'vs NYJ'!C212+'at Den'!C212+'vs Cle'!C212</f>
        <v>0</v>
      </c>
      <c r="D212">
        <f>+'at Cin'!D212+'vs Den'!D212+'at Oak'!D212+'vs KC'!D212+'at SD'!D212+'at Hou'!D212+'vs NYG'!D212+'at NYJ'!D212+'at GB'!D212+'vs Pit'!D212+'vs SD'!D212+'at KC'!D212+'vs Oak'!D212+'vs NYJ'!D212+'at Den'!D212+'vs Cle'!D212</f>
        <v>0</v>
      </c>
      <c r="E212">
        <f>MAX('at Cin'!E212,'vs Den'!E212,'at Oak'!E212,'vs KC'!E212,'at SD'!E212,'at Hou'!E212,'vs NYG'!E212,'at NYJ'!E212,'at GB'!E212,'vs Pit'!E212,'vs SD'!E212,'at KC'!E212,'vs Oak'!E212,'vs NYJ'!E212,'at Den'!E212,'vs Cle'!E212)</f>
        <v>0</v>
      </c>
      <c r="F212">
        <f>+'at Cin'!F212+'vs Den'!F212+'at Oak'!F212+'vs KC'!F212+'at SD'!F212+'at Hou'!F212+'vs NYG'!F212+'at NYJ'!F212+'at GB'!F212+'vs Pit'!F212+'vs SD'!F212+'at KC'!F212+'vs Oak'!F212+'vs NYJ'!F212+'at Den'!F212+'vs Cle'!F212</f>
        <v>0</v>
      </c>
      <c r="G212">
        <f>+'at Cin'!G212+'vs Den'!G212+'at Oak'!G212+'vs KC'!G212+'at SD'!G212+'at Hou'!G212+'vs NYG'!G212+'at NYJ'!G212+'at GB'!G212+'vs Pit'!G212+'vs SD'!G212+'at KC'!G212+'vs Oak'!G212+'vs NYJ'!G212+'at Den'!G212+'vs Cle'!G212</f>
        <v>0</v>
      </c>
    </row>
    <row r="213" spans="1:7" ht="12">
      <c r="A213" t="s">
        <v>116</v>
      </c>
      <c r="B213" t="s">
        <v>167</v>
      </c>
      <c r="C213">
        <f>+'at Cin'!C213+'vs Den'!C213+'at Oak'!C213+'vs KC'!C213+'at SD'!C213+'at Hou'!C213+'vs NYG'!C213+'at NYJ'!C213+'at GB'!C213+'vs Pit'!C213+'vs SD'!C213+'at KC'!C213+'vs Oak'!C213+'vs NYJ'!C213+'at Den'!C213+'vs Cle'!C213</f>
        <v>0</v>
      </c>
      <c r="D213">
        <f>+'at Cin'!D213+'vs Den'!D213+'at Oak'!D213+'vs KC'!D213+'at SD'!D213+'at Hou'!D213+'vs NYG'!D213+'at NYJ'!D213+'at GB'!D213+'vs Pit'!D213+'vs SD'!D213+'at KC'!D213+'vs Oak'!D213+'vs NYJ'!D213+'at Den'!D213+'vs Cle'!D213</f>
        <v>0</v>
      </c>
      <c r="E213">
        <f>MAX('at Cin'!E213,'vs Den'!E213,'at Oak'!E213,'vs KC'!E213,'at SD'!E213,'at Hou'!E213,'vs NYG'!E213,'at NYJ'!E213,'at GB'!E213,'vs Pit'!E213,'vs SD'!E213,'at KC'!E213,'vs Oak'!E213,'vs NYJ'!E213,'at Den'!E213,'vs Cle'!E213)</f>
        <v>0</v>
      </c>
      <c r="F213">
        <f>+'at Cin'!F213+'vs Den'!F213+'at Oak'!F213+'vs KC'!F213+'at SD'!F213+'at Hou'!F213+'vs NYG'!F213+'at NYJ'!F213+'at GB'!F213+'vs Pit'!F213+'vs SD'!F213+'at KC'!F213+'vs Oak'!F213+'vs NYJ'!F213+'at Den'!F213+'vs Cle'!F213</f>
        <v>0</v>
      </c>
      <c r="G213">
        <f>+'at Cin'!G213+'vs Den'!G213+'at Oak'!G213+'vs KC'!G213+'at SD'!G213+'at Hou'!G213+'vs NYG'!G213+'at NYJ'!G213+'at GB'!G213+'vs Pit'!G213+'vs SD'!G213+'at KC'!G213+'vs Oak'!G213+'vs NYJ'!G213+'at Den'!G213+'vs Cle'!G213</f>
        <v>0</v>
      </c>
    </row>
    <row r="214" spans="1:7" ht="12">
      <c r="A214" t="s">
        <v>145</v>
      </c>
      <c r="B214" t="s">
        <v>167</v>
      </c>
      <c r="C214">
        <f>+'at Cin'!C214+'vs Den'!C214+'at Oak'!C214+'vs KC'!C214+'at SD'!C214+'at Hou'!C214+'vs NYG'!C214+'at NYJ'!C214+'at GB'!C214+'vs Pit'!C214+'vs SD'!C214+'at KC'!C214+'vs Oak'!C214+'vs NYJ'!C214+'at Den'!C214+'vs Cle'!C214</f>
        <v>2</v>
      </c>
      <c r="D214">
        <f>+'at Cin'!D214+'vs Den'!D214+'at Oak'!D214+'vs KC'!D214+'at SD'!D214+'at Hou'!D214+'vs NYG'!D214+'at NYJ'!D214+'at GB'!D214+'vs Pit'!D214+'vs SD'!D214+'at KC'!D214+'vs Oak'!D214+'vs NYJ'!D214+'at Den'!D214+'vs Cle'!D214</f>
        <v>0</v>
      </c>
      <c r="E214">
        <f>MAX('at Cin'!E214,'vs Den'!E214,'at Oak'!E214,'vs KC'!E214,'at SD'!E214,'at Hou'!E214,'vs NYG'!E214,'at NYJ'!E214,'at GB'!E214,'vs Pit'!E214,'vs SD'!E214,'at KC'!E214,'vs Oak'!E214,'vs NYJ'!E214,'at Den'!E214,'vs Cle'!E214)</f>
        <v>0</v>
      </c>
      <c r="F214">
        <f>+'at Cin'!F214+'vs Den'!F214+'at Oak'!F214+'vs KC'!F214+'at SD'!F214+'at Hou'!F214+'vs NYG'!F214+'at NYJ'!F214+'at GB'!F214+'vs Pit'!F214+'vs SD'!F214+'at KC'!F214+'vs Oak'!F214+'vs NYJ'!F214+'at Den'!F214+'vs Cle'!F214</f>
        <v>0</v>
      </c>
      <c r="G214">
        <f>+'at Cin'!G214+'vs Den'!G214+'at Oak'!G214+'vs KC'!G214+'at SD'!G214+'at Hou'!G214+'vs NYG'!G214+'at NYJ'!G214+'at GB'!G214+'vs Pit'!G214+'vs SD'!G214+'at KC'!G214+'vs Oak'!G214+'vs NYJ'!G214+'at Den'!G214+'vs Cle'!G214</f>
        <v>0</v>
      </c>
    </row>
    <row r="215" spans="1:7" ht="12">
      <c r="A215" t="s">
        <v>117</v>
      </c>
      <c r="B215" t="s">
        <v>167</v>
      </c>
      <c r="C215">
        <f>+'at Cin'!C215+'vs Den'!C215+'at Oak'!C215+'vs KC'!C215+'at SD'!C215+'at Hou'!C215+'vs NYG'!C215+'at NYJ'!C215+'at GB'!C215+'vs Pit'!C215+'vs SD'!C215+'at KC'!C215+'vs Oak'!C215+'vs NYJ'!C215+'at Den'!C215+'vs Cle'!C215</f>
        <v>1</v>
      </c>
      <c r="D215">
        <f>+'at Cin'!D215+'vs Den'!D215+'at Oak'!D215+'vs KC'!D215+'at SD'!D215+'at Hou'!D215+'vs NYG'!D215+'at NYJ'!D215+'at GB'!D215+'vs Pit'!D215+'vs SD'!D215+'at KC'!D215+'vs Oak'!D215+'vs NYJ'!D215+'at Den'!D215+'vs Cle'!D215</f>
        <v>0</v>
      </c>
      <c r="E215">
        <f>MAX('at Cin'!E215,'vs Den'!E215,'at Oak'!E215,'vs KC'!E215,'at SD'!E215,'at Hou'!E215,'vs NYG'!E215,'at NYJ'!E215,'at GB'!E215,'vs Pit'!E215,'vs SD'!E215,'at KC'!E215,'vs Oak'!E215,'vs NYJ'!E215,'at Den'!E215,'vs Cle'!E215)</f>
        <v>0</v>
      </c>
      <c r="F215">
        <f>+'at Cin'!F215+'vs Den'!F215+'at Oak'!F215+'vs KC'!F215+'at SD'!F215+'at Hou'!F215+'vs NYG'!F215+'at NYJ'!F215+'at GB'!F215+'vs Pit'!F215+'vs SD'!F215+'at KC'!F215+'vs Oak'!F215+'vs NYJ'!F215+'at Den'!F215+'vs Cle'!F215</f>
        <v>0</v>
      </c>
      <c r="G215">
        <f>+'at Cin'!G215+'vs Den'!G215+'at Oak'!G215+'vs KC'!G215+'at SD'!G215+'at Hou'!G215+'vs NYG'!G215+'at NYJ'!G215+'at GB'!G215+'vs Pit'!G215+'vs SD'!G215+'at KC'!G215+'vs Oak'!G215+'vs NYJ'!G215+'at Den'!G215+'vs Cle'!G215</f>
        <v>0</v>
      </c>
    </row>
    <row r="216" spans="1:7" ht="12">
      <c r="A216" t="s">
        <v>128</v>
      </c>
      <c r="B216" t="s">
        <v>167</v>
      </c>
      <c r="C216">
        <f>+'at Cin'!C216+'vs Den'!C216+'at Oak'!C216+'vs KC'!C216+'at SD'!C216+'at Hou'!C216+'vs NYG'!C216+'at NYJ'!C216+'at GB'!C216+'vs Pit'!C216+'vs SD'!C216+'at KC'!C216+'vs Oak'!C216+'vs NYJ'!C216+'at Den'!C216+'vs Cle'!C216</f>
        <v>2</v>
      </c>
      <c r="D216">
        <f>+'at Cin'!D216+'vs Den'!D216+'at Oak'!D216+'vs KC'!D216+'at SD'!D216+'at Hou'!D216+'vs NYG'!D216+'at NYJ'!D216+'at GB'!D216+'vs Pit'!D216+'vs SD'!D216+'at KC'!D216+'vs Oak'!D216+'vs NYJ'!D216+'at Den'!D216+'vs Cle'!D216</f>
        <v>0</v>
      </c>
      <c r="E216">
        <f>MAX('at Cin'!E216,'vs Den'!E216,'at Oak'!E216,'vs KC'!E216,'at SD'!E216,'at Hou'!E216,'vs NYG'!E216,'at NYJ'!E216,'at GB'!E216,'vs Pit'!E216,'vs SD'!E216,'at KC'!E216,'vs Oak'!E216,'vs NYJ'!E216,'at Den'!E216,'vs Cle'!E216)</f>
        <v>0</v>
      </c>
      <c r="F216">
        <f>+'at Cin'!F216+'vs Den'!F216+'at Oak'!F216+'vs KC'!F216+'at SD'!F216+'at Hou'!F216+'vs NYG'!F216+'at NYJ'!F216+'at GB'!F216+'vs Pit'!F216+'vs SD'!F216+'at KC'!F216+'vs Oak'!F216+'vs NYJ'!F216+'at Den'!F216+'vs Cle'!F216</f>
        <v>0</v>
      </c>
      <c r="G216">
        <f>+'at Cin'!G216+'vs Den'!G216+'at Oak'!G216+'vs KC'!G216+'at SD'!G216+'at Hou'!G216+'vs NYG'!G216+'at NYJ'!G216+'at GB'!G216+'vs Pit'!G216+'vs SD'!G216+'at KC'!G216+'vs Oak'!G216+'vs NYJ'!G216+'at Den'!G216+'vs Cle'!G216</f>
        <v>0</v>
      </c>
    </row>
    <row r="217" spans="1:7" ht="12">
      <c r="A217" t="s">
        <v>134</v>
      </c>
      <c r="B217" t="s">
        <v>167</v>
      </c>
      <c r="C217">
        <f>+'at Cin'!C217+'vs Den'!C217+'at Oak'!C217+'vs KC'!C217+'at SD'!C217+'at Hou'!C217+'vs NYG'!C217+'at NYJ'!C217+'at GB'!C217+'vs Pit'!C217+'vs SD'!C217+'at KC'!C217+'vs Oak'!C217+'vs NYJ'!C217+'at Den'!C217+'vs Cle'!C217</f>
        <v>1</v>
      </c>
      <c r="D217">
        <f>+'at Cin'!D217+'vs Den'!D217+'at Oak'!D217+'vs KC'!D217+'at SD'!D217+'at Hou'!D217+'vs NYG'!D217+'at NYJ'!D217+'at GB'!D217+'vs Pit'!D217+'vs SD'!D217+'at KC'!D217+'vs Oak'!D217+'vs NYJ'!D217+'at Den'!D217+'vs Cle'!D217</f>
        <v>42</v>
      </c>
      <c r="E217">
        <f>MAX('at Cin'!E217,'vs Den'!E217,'at Oak'!E217,'vs KC'!E217,'at SD'!E217,'at Hou'!E217,'vs NYG'!E217,'at NYJ'!E217,'at GB'!E217,'vs Pit'!E217,'vs SD'!E217,'at KC'!E217,'vs Oak'!E217,'vs NYJ'!E217,'at Den'!E217,'vs Cle'!E217)</f>
        <v>42</v>
      </c>
      <c r="F217">
        <f>+'at Cin'!F217+'vs Den'!F217+'at Oak'!F217+'vs KC'!F217+'at SD'!F217+'at Hou'!F217+'vs NYG'!F217+'at NYJ'!F217+'at GB'!F217+'vs Pit'!F217+'vs SD'!F217+'at KC'!F217+'vs Oak'!F217+'vs NYJ'!F217+'at Den'!F217+'vs Cle'!F217</f>
        <v>1</v>
      </c>
      <c r="G217">
        <f>+'at Cin'!G217+'vs Den'!G217+'at Oak'!G217+'vs KC'!G217+'at SD'!G217+'at Hou'!G217+'vs NYG'!G217+'at NYJ'!G217+'at GB'!G217+'vs Pit'!G217+'vs SD'!G217+'at KC'!G217+'vs Oak'!G217+'vs NYJ'!G217+'at Den'!G217+'vs Cle'!G217</f>
        <v>0</v>
      </c>
    </row>
    <row r="218" spans="1:7" ht="12">
      <c r="A218" t="s">
        <v>159</v>
      </c>
      <c r="B218" t="s">
        <v>167</v>
      </c>
      <c r="C218">
        <f>+'at Cin'!C218+'vs Den'!C218+'at Oak'!C218+'vs KC'!C218+'at SD'!C218+'at Hou'!C218+'vs NYG'!C218+'at NYJ'!C218+'at GB'!C218+'vs Pit'!C218+'vs SD'!C218+'at KC'!C218+'vs Oak'!C218+'vs NYJ'!C218+'at Den'!C218+'vs Cle'!C218</f>
        <v>2</v>
      </c>
      <c r="D218">
        <f>+'at Cin'!D218+'vs Den'!D218+'at Oak'!D218+'vs KC'!D218+'at SD'!D218+'at Hou'!D218+'vs NYG'!D218+'at NYJ'!D218+'at GB'!D218+'vs Pit'!D218+'vs SD'!D218+'at KC'!D218+'vs Oak'!D218+'vs NYJ'!D218+'at Den'!D218+'vs Cle'!D218</f>
        <v>94</v>
      </c>
      <c r="E218">
        <f>MAX('at Cin'!E218,'vs Den'!E218,'at Oak'!E218,'vs KC'!E218,'at SD'!E218,'at Hou'!E218,'vs NYG'!E218,'at NYJ'!E218,'at GB'!E218,'vs Pit'!E218,'vs SD'!E218,'at KC'!E218,'vs Oak'!E218,'vs NYJ'!E218,'at Den'!E218,'vs Cle'!E218)</f>
        <v>68</v>
      </c>
      <c r="F218">
        <f>+'at Cin'!F218+'vs Den'!F218+'at Oak'!F218+'vs KC'!F218+'at SD'!F218+'at Hou'!F218+'vs NYG'!F218+'at NYJ'!F218+'at GB'!F218+'vs Pit'!F218+'vs SD'!F218+'at KC'!F218+'vs Oak'!F218+'vs NYJ'!F218+'at Den'!F218+'vs Cle'!F218</f>
        <v>1</v>
      </c>
      <c r="G218">
        <f>+'at Cin'!G218+'vs Den'!G218+'at Oak'!G218+'vs KC'!G218+'at SD'!G218+'at Hou'!G218+'vs NYG'!G218+'at NYJ'!G218+'at GB'!G218+'vs Pit'!G218+'vs SD'!G218+'at KC'!G218+'vs Oak'!G218+'vs NYJ'!G218+'at Den'!G218+'vs Cle'!G218</f>
        <v>0</v>
      </c>
    </row>
    <row r="219" spans="1:7" ht="12">
      <c r="A219" t="s">
        <v>118</v>
      </c>
      <c r="B219" t="s">
        <v>167</v>
      </c>
      <c r="C219">
        <f>+'at Cin'!C219+'vs Den'!C219+'at Oak'!C219+'vs KC'!C219+'at SD'!C219+'at Hou'!C219+'vs NYG'!C219+'at NYJ'!C219+'at GB'!C219+'vs Pit'!C219+'vs SD'!C219+'at KC'!C219+'vs Oak'!C219+'vs NYJ'!C219+'at Den'!C219+'vs Cle'!C219</f>
        <v>0</v>
      </c>
      <c r="D219">
        <f>+'at Cin'!D219+'vs Den'!D219+'at Oak'!D219+'vs KC'!D219+'at SD'!D219+'at Hou'!D219+'vs NYG'!D219+'at NYJ'!D219+'at GB'!D219+'vs Pit'!D219+'vs SD'!D219+'at KC'!D219+'vs Oak'!D219+'vs NYJ'!D219+'at Den'!D219+'vs Cle'!D219</f>
        <v>0</v>
      </c>
      <c r="E219">
        <f>MAX('at Cin'!E219,'vs Den'!E219,'at Oak'!E219,'vs KC'!E219,'at SD'!E219,'at Hou'!E219,'vs NYG'!E219,'at NYJ'!E219,'at GB'!E219,'vs Pit'!E219,'vs SD'!E219,'at KC'!E219,'vs Oak'!E219,'vs NYJ'!E219,'at Den'!E219,'vs Cle'!E219)</f>
        <v>0</v>
      </c>
      <c r="F219">
        <f>+'at Cin'!F219+'vs Den'!F219+'at Oak'!F219+'vs KC'!F219+'at SD'!F219+'at Hou'!F219+'vs NYG'!F219+'at NYJ'!F219+'at GB'!F219+'vs Pit'!F219+'vs SD'!F219+'at KC'!F219+'vs Oak'!F219+'vs NYJ'!F219+'at Den'!F219+'vs Cle'!F219</f>
        <v>0</v>
      </c>
      <c r="G219">
        <f>+'at Cin'!G219+'vs Den'!G219+'at Oak'!G219+'vs KC'!G219+'at SD'!G219+'at Hou'!G219+'vs NYG'!G219+'at NYJ'!G219+'at GB'!G219+'vs Pit'!G219+'vs SD'!G219+'at KC'!G219+'vs Oak'!G219+'vs NYJ'!G219+'at Den'!G219+'vs Cle'!G219</f>
        <v>0</v>
      </c>
    </row>
    <row r="220" spans="1:7" ht="12">
      <c r="A220" t="s">
        <v>160</v>
      </c>
      <c r="B220" t="s">
        <v>167</v>
      </c>
      <c r="C220">
        <f>+'at Cin'!C220+'vs Den'!C220+'at Oak'!C220+'vs KC'!C220+'at SD'!C220+'at Hou'!C220+'vs NYG'!C220+'at NYJ'!C220+'at GB'!C220+'vs Pit'!C220+'vs SD'!C220+'at KC'!C220+'vs Oak'!C220+'vs NYJ'!C220+'at Den'!C220+'vs Cle'!C220</f>
        <v>1</v>
      </c>
      <c r="D220">
        <f>+'at Cin'!D220+'vs Den'!D220+'at Oak'!D220+'vs KC'!D220+'at SD'!D220+'at Hou'!D220+'vs NYG'!D220+'at NYJ'!D220+'at GB'!D220+'vs Pit'!D220+'vs SD'!D220+'at KC'!D220+'vs Oak'!D220+'vs NYJ'!D220+'at Den'!D220+'vs Cle'!D220</f>
        <v>0</v>
      </c>
      <c r="E220">
        <f>MAX('at Cin'!E220,'vs Den'!E220,'at Oak'!E220,'vs KC'!E220,'at SD'!E220,'at Hou'!E220,'vs NYG'!E220,'at NYJ'!E220,'at GB'!E220,'vs Pit'!E220,'vs SD'!E220,'at KC'!E220,'vs Oak'!E220,'vs NYJ'!E220,'at Den'!E220,'vs Cle'!E220)</f>
        <v>0</v>
      </c>
      <c r="F220">
        <f>+'at Cin'!F220+'vs Den'!F220+'at Oak'!F220+'vs KC'!F220+'at SD'!F220+'at Hou'!F220+'vs NYG'!F220+'at NYJ'!F220+'at GB'!F220+'vs Pit'!F220+'vs SD'!F220+'at KC'!F220+'vs Oak'!F220+'vs NYJ'!F220+'at Den'!F220+'vs Cle'!F220</f>
        <v>0</v>
      </c>
      <c r="G220">
        <f>+'at Cin'!G220+'vs Den'!G220+'at Oak'!G220+'vs KC'!G220+'at SD'!G220+'at Hou'!G220+'vs NYG'!G220+'at NYJ'!G220+'at GB'!G220+'vs Pit'!G220+'vs SD'!G220+'at KC'!G220+'vs Oak'!G220+'vs NYJ'!G220+'at Den'!G220+'vs Cle'!G220</f>
        <v>0</v>
      </c>
    </row>
    <row r="221" spans="1:7" ht="12">
      <c r="A221" t="s">
        <v>119</v>
      </c>
      <c r="B221" t="s">
        <v>167</v>
      </c>
      <c r="C221">
        <f>+'at Cin'!C221+'vs Den'!C221+'at Oak'!C221+'vs KC'!C221+'at SD'!C221+'at Hou'!C221+'vs NYG'!C221+'at NYJ'!C221+'at GB'!C221+'vs Pit'!C221+'vs SD'!C221+'at KC'!C221+'vs Oak'!C221+'vs NYJ'!C221+'at Den'!C221+'vs Cle'!C221</f>
        <v>1</v>
      </c>
      <c r="D221">
        <f>+'at Cin'!D221+'vs Den'!D221+'at Oak'!D221+'vs KC'!D221+'at SD'!D221+'at Hou'!D221+'vs NYG'!D221+'at NYJ'!D221+'at GB'!D221+'vs Pit'!D221+'vs SD'!D221+'at KC'!D221+'vs Oak'!D221+'vs NYJ'!D221+'at Den'!D221+'vs Cle'!D221</f>
        <v>0</v>
      </c>
      <c r="E221">
        <f>MAX('at Cin'!E221,'vs Den'!E221,'at Oak'!E221,'vs KC'!E221,'at SD'!E221,'at Hou'!E221,'vs NYG'!E221,'at NYJ'!E221,'at GB'!E221,'vs Pit'!E221,'vs SD'!E221,'at KC'!E221,'vs Oak'!E221,'vs NYJ'!E221,'at Den'!E221,'vs Cle'!E221)</f>
        <v>0</v>
      </c>
      <c r="F221">
        <f>+'at Cin'!F221+'vs Den'!F221+'at Oak'!F221+'vs KC'!F221+'at SD'!F221+'at Hou'!F221+'vs NYG'!F221+'at NYJ'!F221+'at GB'!F221+'vs Pit'!F221+'vs SD'!F221+'at KC'!F221+'vs Oak'!F221+'vs NYJ'!F221+'at Den'!F221+'vs Cle'!F221</f>
        <v>0</v>
      </c>
      <c r="G221">
        <f>+'at Cin'!G221+'vs Den'!G221+'at Oak'!G221+'vs KC'!G221+'at SD'!G221+'at Hou'!G221+'vs NYG'!G221+'at NYJ'!G221+'at GB'!G221+'vs Pit'!G221+'vs SD'!G221+'at KC'!G221+'vs Oak'!G221+'vs NYJ'!G221+'at Den'!G221+'vs Cle'!G221</f>
        <v>0</v>
      </c>
    </row>
    <row r="222" spans="1:7" ht="12">
      <c r="A222" t="s">
        <v>120</v>
      </c>
      <c r="B222" t="s">
        <v>167</v>
      </c>
      <c r="C222">
        <f>+'at Cin'!C222+'vs Den'!C222+'at Oak'!C222+'vs KC'!C222+'at SD'!C222+'at Hou'!C222+'vs NYG'!C222+'at NYJ'!C222+'at GB'!C222+'vs Pit'!C222+'vs SD'!C222+'at KC'!C222+'vs Oak'!C222+'vs NYJ'!C222+'at Den'!C222+'vs Cle'!C222</f>
        <v>0</v>
      </c>
      <c r="D222">
        <f>+'at Cin'!D222+'vs Den'!D222+'at Oak'!D222+'vs KC'!D222+'at SD'!D222+'at Hou'!D222+'vs NYG'!D222+'at NYJ'!D222+'at GB'!D222+'vs Pit'!D222+'vs SD'!D222+'at KC'!D222+'vs Oak'!D222+'vs NYJ'!D222+'at Den'!D222+'vs Cle'!D222</f>
        <v>0</v>
      </c>
      <c r="E222">
        <f>MAX('at Cin'!E222,'vs Den'!E222,'at Oak'!E222,'vs KC'!E222,'at SD'!E222,'at Hou'!E222,'vs NYG'!E222,'at NYJ'!E222,'at GB'!E222,'vs Pit'!E222,'vs SD'!E222,'at KC'!E222,'vs Oak'!E222,'vs NYJ'!E222,'at Den'!E222,'vs Cle'!E222)</f>
        <v>0</v>
      </c>
      <c r="F222">
        <f>+'at Cin'!F222+'vs Den'!F222+'at Oak'!F222+'vs KC'!F222+'at SD'!F222+'at Hou'!F222+'vs NYG'!F222+'at NYJ'!F222+'at GB'!F222+'vs Pit'!F222+'vs SD'!F222+'at KC'!F222+'vs Oak'!F222+'vs NYJ'!F222+'at Den'!F222+'vs Cle'!F222</f>
        <v>0</v>
      </c>
      <c r="G222">
        <f>+'at Cin'!G222+'vs Den'!G222+'at Oak'!G222+'vs KC'!G222+'at SD'!G222+'at Hou'!G222+'vs NYG'!G222+'at NYJ'!G222+'at GB'!G222+'vs Pit'!G222+'vs SD'!G222+'at KC'!G222+'vs Oak'!G222+'vs NYJ'!G222+'at Den'!G222+'vs Cle'!G222</f>
        <v>0</v>
      </c>
    </row>
    <row r="223" spans="1:7" ht="12">
      <c r="A223" t="s">
        <v>135</v>
      </c>
      <c r="B223" t="s">
        <v>167</v>
      </c>
      <c r="C223">
        <f>+'at Cin'!C223+'vs Den'!C223+'at Oak'!C223+'vs KC'!C223+'at SD'!C223+'at Hou'!C223+'vs NYG'!C223+'at NYJ'!C223+'at GB'!C223+'vs Pit'!C223+'vs SD'!C223+'at KC'!C223+'vs Oak'!C223+'vs NYJ'!C223+'at Den'!C223+'vs Cle'!C223</f>
        <v>0</v>
      </c>
      <c r="D223">
        <f>+'at Cin'!D223+'vs Den'!D223+'at Oak'!D223+'vs KC'!D223+'at SD'!D223+'at Hou'!D223+'vs NYG'!D223+'at NYJ'!D223+'at GB'!D223+'vs Pit'!D223+'vs SD'!D223+'at KC'!D223+'vs Oak'!D223+'vs NYJ'!D223+'at Den'!D223+'vs Cle'!D223</f>
        <v>0</v>
      </c>
      <c r="E223">
        <f>MAX('at Cin'!E223,'vs Den'!E223,'at Oak'!E223,'vs KC'!E223,'at SD'!E223,'at Hou'!E223,'vs NYG'!E223,'at NYJ'!E223,'at GB'!E223,'vs Pit'!E223,'vs SD'!E223,'at KC'!E223,'vs Oak'!E223,'vs NYJ'!E223,'at Den'!E223,'vs Cle'!E223)</f>
        <v>0</v>
      </c>
      <c r="F223">
        <f>+'at Cin'!F223+'vs Den'!F223+'at Oak'!F223+'vs KC'!F223+'at SD'!F223+'at Hou'!F223+'vs NYG'!F223+'at NYJ'!F223+'at GB'!F223+'vs Pit'!F223+'vs SD'!F223+'at KC'!F223+'vs Oak'!F223+'vs NYJ'!F223+'at Den'!F223+'vs Cle'!F223</f>
        <v>0</v>
      </c>
      <c r="G223">
        <f>+'at Cin'!G223+'vs Den'!G223+'at Oak'!G223+'vs KC'!G223+'at SD'!G223+'at Hou'!G223+'vs NYG'!G223+'at NYJ'!G223+'at GB'!G223+'vs Pit'!G223+'vs SD'!G223+'at KC'!G223+'vs Oak'!G223+'vs NYJ'!G223+'at Den'!G223+'vs Cle'!G223</f>
        <v>0</v>
      </c>
    </row>
    <row r="224" spans="1:7" ht="12">
      <c r="A224" t="s">
        <v>129</v>
      </c>
      <c r="B224" t="s">
        <v>167</v>
      </c>
      <c r="C224">
        <f>+'at Cin'!C224+'vs Den'!C224+'at Oak'!C224+'vs KC'!C224+'at SD'!C224+'at Hou'!C224+'vs NYG'!C224+'at NYJ'!C224+'at GB'!C224+'vs Pit'!C224+'vs SD'!C224+'at KC'!C224+'vs Oak'!C224+'vs NYJ'!C224+'at Den'!C224+'vs Cle'!C224</f>
        <v>0</v>
      </c>
      <c r="D224">
        <f>+'at Cin'!D224+'vs Den'!D224+'at Oak'!D224+'vs KC'!D224+'at SD'!D224+'at Hou'!D224+'vs NYG'!D224+'at NYJ'!D224+'at GB'!D224+'vs Pit'!D224+'vs SD'!D224+'at KC'!D224+'vs Oak'!D224+'vs NYJ'!D224+'at Den'!D224+'vs Cle'!D224</f>
        <v>0</v>
      </c>
      <c r="E224">
        <f>MAX('at Cin'!E224,'vs Den'!E224,'at Oak'!E224,'vs KC'!E224,'at SD'!E224,'at Hou'!E224,'vs NYG'!E224,'at NYJ'!E224,'at GB'!E224,'vs Pit'!E224,'vs SD'!E224,'at KC'!E224,'vs Oak'!E224,'vs NYJ'!E224,'at Den'!E224,'vs Cle'!E224)</f>
        <v>0</v>
      </c>
      <c r="F224">
        <f>+'at Cin'!F224+'vs Den'!F224+'at Oak'!F224+'vs KC'!F224+'at SD'!F224+'at Hou'!F224+'vs NYG'!F224+'at NYJ'!F224+'at GB'!F224+'vs Pit'!F224+'vs SD'!F224+'at KC'!F224+'vs Oak'!F224+'vs NYJ'!F224+'at Den'!F224+'vs Cle'!F224</f>
        <v>0</v>
      </c>
      <c r="G224">
        <f>+'at Cin'!G224+'vs Den'!G224+'at Oak'!G224+'vs KC'!G224+'at SD'!G224+'at Hou'!G224+'vs NYG'!G224+'at NYJ'!G224+'at GB'!G224+'vs Pit'!G224+'vs SD'!G224+'at KC'!G224+'vs Oak'!G224+'vs NYJ'!G224+'at Den'!G224+'vs Cle'!G224</f>
        <v>0</v>
      </c>
    </row>
    <row r="225" spans="1:7" ht="12">
      <c r="A225" t="s">
        <v>130</v>
      </c>
      <c r="B225" t="s">
        <v>167</v>
      </c>
      <c r="C225">
        <f>+'at Cin'!C225+'vs Den'!C225+'at Oak'!C225+'vs KC'!C225+'at SD'!C225+'at Hou'!C225+'vs NYG'!C225+'at NYJ'!C225+'at GB'!C225+'vs Pit'!C225+'vs SD'!C225+'at KC'!C225+'vs Oak'!C225+'vs NYJ'!C225+'at Den'!C225+'vs Cle'!C225</f>
        <v>0</v>
      </c>
      <c r="D225">
        <f>+'at Cin'!D225+'vs Den'!D225+'at Oak'!D225+'vs KC'!D225+'at SD'!D225+'at Hou'!D225+'vs NYG'!D225+'at NYJ'!D225+'at GB'!D225+'vs Pit'!D225+'vs SD'!D225+'at KC'!D225+'vs Oak'!D225+'vs NYJ'!D225+'at Den'!D225+'vs Cle'!D225</f>
        <v>0</v>
      </c>
      <c r="E225">
        <f>MAX('at Cin'!E225,'vs Den'!E225,'at Oak'!E225,'vs KC'!E225,'at SD'!E225,'at Hou'!E225,'vs NYG'!E225,'at NYJ'!E225,'at GB'!E225,'vs Pit'!E225,'vs SD'!E225,'at KC'!E225,'vs Oak'!E225,'vs NYJ'!E225,'at Den'!E225,'vs Cle'!E225)</f>
        <v>0</v>
      </c>
      <c r="F225">
        <f>+'at Cin'!F225+'vs Den'!F225+'at Oak'!F225+'vs KC'!F225+'at SD'!F225+'at Hou'!F225+'vs NYG'!F225+'at NYJ'!F225+'at GB'!F225+'vs Pit'!F225+'vs SD'!F225+'at KC'!F225+'vs Oak'!F225+'vs NYJ'!F225+'at Den'!F225+'vs Cle'!F225</f>
        <v>0</v>
      </c>
      <c r="G225">
        <f>+'at Cin'!G225+'vs Den'!G225+'at Oak'!G225+'vs KC'!G225+'at SD'!G225+'at Hou'!G225+'vs NYG'!G225+'at NYJ'!G225+'at GB'!G225+'vs Pit'!G225+'vs SD'!G225+'at KC'!G225+'vs Oak'!G225+'vs NYJ'!G225+'at Den'!G225+'vs Cle'!G225</f>
        <v>0</v>
      </c>
    </row>
    <row r="226" spans="1:7" ht="12">
      <c r="A226" t="s">
        <v>121</v>
      </c>
      <c r="B226" t="s">
        <v>167</v>
      </c>
      <c r="C226">
        <f>+'at Cin'!C226+'vs Den'!C226+'at Oak'!C226+'vs KC'!C226+'at SD'!C226+'at Hou'!C226+'vs NYG'!C226+'at NYJ'!C226+'at GB'!C226+'vs Pit'!C226+'vs SD'!C226+'at KC'!C226+'vs Oak'!C226+'vs NYJ'!C226+'at Den'!C226+'vs Cle'!C226</f>
        <v>0</v>
      </c>
      <c r="D226">
        <f>+'at Cin'!D226+'vs Den'!D226+'at Oak'!D226+'vs KC'!D226+'at SD'!D226+'at Hou'!D226+'vs NYG'!D226+'at NYJ'!D226+'at GB'!D226+'vs Pit'!D226+'vs SD'!D226+'at KC'!D226+'vs Oak'!D226+'vs NYJ'!D226+'at Den'!D226+'vs Cle'!D226</f>
        <v>0</v>
      </c>
      <c r="E226">
        <f>MAX('at Cin'!E226,'vs Den'!E226,'at Oak'!E226,'vs KC'!E226,'at SD'!E226,'at Hou'!E226,'vs NYG'!E226,'at NYJ'!E226,'at GB'!E226,'vs Pit'!E226,'vs SD'!E226,'at KC'!E226,'vs Oak'!E226,'vs NYJ'!E226,'at Den'!E226,'vs Cle'!E226)</f>
        <v>0</v>
      </c>
      <c r="F226">
        <f>+'at Cin'!F226+'vs Den'!F226+'at Oak'!F226+'vs KC'!F226+'at SD'!F226+'at Hou'!F226+'vs NYG'!F226+'at NYJ'!F226+'at GB'!F226+'vs Pit'!F226+'vs SD'!F226+'at KC'!F226+'vs Oak'!F226+'vs NYJ'!F226+'at Den'!F226+'vs Cle'!F226</f>
        <v>0</v>
      </c>
      <c r="G226">
        <f>+'at Cin'!G226+'vs Den'!G226+'at Oak'!G226+'vs KC'!G226+'at SD'!G226+'at Hou'!G226+'vs NYG'!G226+'at NYJ'!G226+'at GB'!G226+'vs Pit'!G226+'vs SD'!G226+'at KC'!G226+'vs Oak'!G226+'vs NYJ'!G226+'at Den'!G226+'vs Cle'!G226</f>
        <v>0</v>
      </c>
    </row>
    <row r="227" spans="1:7" ht="12">
      <c r="A227" t="s">
        <v>161</v>
      </c>
      <c r="B227" t="s">
        <v>167</v>
      </c>
      <c r="C227">
        <f>+'at Cin'!C227+'vs Den'!C227+'at Oak'!C227+'vs KC'!C227+'at SD'!C227+'at Hou'!C227+'vs NYG'!C227+'at NYJ'!C227+'at GB'!C227+'vs Pit'!C227+'vs SD'!C227+'at KC'!C227+'vs Oak'!C227+'vs NYJ'!C227+'at Den'!C227+'vs Cle'!C227</f>
        <v>0</v>
      </c>
      <c r="D227">
        <f>+'at Cin'!D227+'vs Den'!D227+'at Oak'!D227+'vs KC'!D227+'at SD'!D227+'at Hou'!D227+'vs NYG'!D227+'at NYJ'!D227+'at GB'!D227+'vs Pit'!D227+'vs SD'!D227+'at KC'!D227+'vs Oak'!D227+'vs NYJ'!D227+'at Den'!D227+'vs Cle'!D227</f>
        <v>0</v>
      </c>
      <c r="E227">
        <f>MAX('at Cin'!E227,'vs Den'!E227,'at Oak'!E227,'vs KC'!E227,'at SD'!E227,'at Hou'!E227,'vs NYG'!E227,'at NYJ'!E227,'at GB'!E227,'vs Pit'!E227,'vs SD'!E227,'at KC'!E227,'vs Oak'!E227,'vs NYJ'!E227,'at Den'!E227,'vs Cle'!E227)</f>
        <v>0</v>
      </c>
      <c r="F227">
        <f>+'at Cin'!F227+'vs Den'!F227+'at Oak'!F227+'vs KC'!F227+'at SD'!F227+'at Hou'!F227+'vs NYG'!F227+'at NYJ'!F227+'at GB'!F227+'vs Pit'!F227+'vs SD'!F227+'at KC'!F227+'vs Oak'!F227+'vs NYJ'!F227+'at Den'!F227+'vs Cle'!F227</f>
        <v>0</v>
      </c>
      <c r="G227">
        <f>+'at Cin'!G227+'vs Den'!G227+'at Oak'!G227+'vs KC'!G227+'at SD'!G227+'at Hou'!G227+'vs NYG'!G227+'at NYJ'!G227+'at GB'!G227+'vs Pit'!G227+'vs SD'!G227+'at KC'!G227+'vs Oak'!G227+'vs NYJ'!G227+'at Den'!G227+'vs Cle'!G227</f>
        <v>0</v>
      </c>
    </row>
    <row r="228" spans="1:7" ht="12">
      <c r="A228" t="s">
        <v>122</v>
      </c>
      <c r="B228" t="s">
        <v>167</v>
      </c>
      <c r="C228">
        <f>+'at Cin'!C228+'vs Den'!C228+'at Oak'!C228+'vs KC'!C228+'at SD'!C228+'at Hou'!C228+'vs NYG'!C228+'at NYJ'!C228+'at GB'!C228+'vs Pit'!C228+'vs SD'!C228+'at KC'!C228+'vs Oak'!C228+'vs NYJ'!C228+'at Den'!C228+'vs Cle'!C228</f>
        <v>0</v>
      </c>
      <c r="D228">
        <f>+'at Cin'!D228+'vs Den'!D228+'at Oak'!D228+'vs KC'!D228+'at SD'!D228+'at Hou'!D228+'vs NYG'!D228+'at NYJ'!D228+'at GB'!D228+'vs Pit'!D228+'vs SD'!D228+'at KC'!D228+'vs Oak'!D228+'vs NYJ'!D228+'at Den'!D228+'vs Cle'!D228</f>
        <v>0</v>
      </c>
      <c r="E228">
        <f>MAX('at Cin'!E228,'vs Den'!E228,'at Oak'!E228,'vs KC'!E228,'at SD'!E228,'at Hou'!E228,'vs NYG'!E228,'at NYJ'!E228,'at GB'!E228,'vs Pit'!E228,'vs SD'!E228,'at KC'!E228,'vs Oak'!E228,'vs NYJ'!E228,'at Den'!E228,'vs Cle'!E228)</f>
        <v>0</v>
      </c>
      <c r="F228">
        <f>+'at Cin'!F228+'vs Den'!F228+'at Oak'!F228+'vs KC'!F228+'at SD'!F228+'at Hou'!F228+'vs NYG'!F228+'at NYJ'!F228+'at GB'!F228+'vs Pit'!F228+'vs SD'!F228+'at KC'!F228+'vs Oak'!F228+'vs NYJ'!F228+'at Den'!F228+'vs Cle'!F228</f>
        <v>0</v>
      </c>
      <c r="G228">
        <f>+'at Cin'!G228+'vs Den'!G228+'at Oak'!G228+'vs KC'!G228+'at SD'!G228+'at Hou'!G228+'vs NYG'!G228+'at NYJ'!G228+'at GB'!G228+'vs Pit'!G228+'vs SD'!G228+'at KC'!G228+'vs Oak'!G228+'vs NYJ'!G228+'at Den'!G228+'vs Cle'!G228</f>
        <v>0</v>
      </c>
    </row>
    <row r="229" spans="1:7" ht="12">
      <c r="A229" t="s">
        <v>162</v>
      </c>
      <c r="B229" t="s">
        <v>167</v>
      </c>
      <c r="C229">
        <f>+'at Cin'!C229+'vs Den'!C229+'at Oak'!C229+'vs KC'!C229+'at SD'!C229+'at Hou'!C229+'vs NYG'!C229+'at NYJ'!C229+'at GB'!C229+'vs Pit'!C229+'vs SD'!C229+'at KC'!C229+'vs Oak'!C229+'vs NYJ'!C229+'at Den'!C229+'vs Cle'!C229</f>
        <v>4</v>
      </c>
      <c r="D229">
        <f>+'at Cin'!D229+'vs Den'!D229+'at Oak'!D229+'vs KC'!D229+'at SD'!D229+'at Hou'!D229+'vs NYG'!D229+'at NYJ'!D229+'at GB'!D229+'vs Pit'!D229+'vs SD'!D229+'at KC'!D229+'vs Oak'!D229+'vs NYJ'!D229+'at Den'!D229+'vs Cle'!D229</f>
        <v>0</v>
      </c>
      <c r="E229">
        <f>MAX('at Cin'!E229,'vs Den'!E229,'at Oak'!E229,'vs KC'!E229,'at SD'!E229,'at Hou'!E229,'vs NYG'!E229,'at NYJ'!E229,'at GB'!E229,'vs Pit'!E229,'vs SD'!E229,'at KC'!E229,'vs Oak'!E229,'vs NYJ'!E229,'at Den'!E229,'vs Cle'!E229)</f>
        <v>0</v>
      </c>
      <c r="F229">
        <f>+'at Cin'!F229+'vs Den'!F229+'at Oak'!F229+'vs KC'!F229+'at SD'!F229+'at Hou'!F229+'vs NYG'!F229+'at NYJ'!F229+'at GB'!F229+'vs Pit'!F229+'vs SD'!F229+'at KC'!F229+'vs Oak'!F229+'vs NYJ'!F229+'at Den'!F229+'vs Cle'!F229</f>
        <v>0</v>
      </c>
      <c r="G229">
        <f>+'at Cin'!G229+'vs Den'!G229+'at Oak'!G229+'vs KC'!G229+'at SD'!G229+'at Hou'!G229+'vs NYG'!G229+'at NYJ'!G229+'at GB'!G229+'vs Pit'!G229+'vs SD'!G229+'at KC'!G229+'vs Oak'!G229+'vs NYJ'!G229+'at Den'!G229+'vs Cle'!G229</f>
        <v>0</v>
      </c>
    </row>
    <row r="230" spans="1:7" ht="12">
      <c r="A230" t="s">
        <v>163</v>
      </c>
      <c r="B230" t="s">
        <v>167</v>
      </c>
      <c r="C230">
        <f>+'at Cin'!C230+'vs Den'!C230+'at Oak'!C230+'vs KC'!C230+'at SD'!C230+'at Hou'!C230+'vs NYG'!C230+'at NYJ'!C230+'at GB'!C230+'vs Pit'!C230+'vs SD'!C230+'at KC'!C230+'vs Oak'!C230+'vs NYJ'!C230+'at Den'!C230+'vs Cle'!C230</f>
        <v>3</v>
      </c>
      <c r="D230">
        <f>+'at Cin'!D230+'vs Den'!D230+'at Oak'!D230+'vs KC'!D230+'at SD'!D230+'at Hou'!D230+'vs NYG'!D230+'at NYJ'!D230+'at GB'!D230+'vs Pit'!D230+'vs SD'!D230+'at KC'!D230+'vs Oak'!D230+'vs NYJ'!D230+'at Den'!D230+'vs Cle'!D230</f>
        <v>0</v>
      </c>
      <c r="E230">
        <f>MAX('at Cin'!E230,'vs Den'!E230,'at Oak'!E230,'vs KC'!E230,'at SD'!E230,'at Hou'!E230,'vs NYG'!E230,'at NYJ'!E230,'at GB'!E230,'vs Pit'!E230,'vs SD'!E230,'at KC'!E230,'vs Oak'!E230,'vs NYJ'!E230,'at Den'!E230,'vs Cle'!E230)</f>
        <v>0</v>
      </c>
      <c r="F230">
        <f>+'at Cin'!F230+'vs Den'!F230+'at Oak'!F230+'vs KC'!F230+'at SD'!F230+'at Hou'!F230+'vs NYG'!F230+'at NYJ'!F230+'at GB'!F230+'vs Pit'!F230+'vs SD'!F230+'at KC'!F230+'vs Oak'!F230+'vs NYJ'!F230+'at Den'!F230+'vs Cle'!F230</f>
        <v>0</v>
      </c>
      <c r="G230">
        <f>+'at Cin'!G230+'vs Den'!G230+'at Oak'!G230+'vs KC'!G230+'at SD'!G230+'at Hou'!G230+'vs NYG'!G230+'at NYJ'!G230+'at GB'!G230+'vs Pit'!G230+'vs SD'!G230+'at KC'!G230+'vs Oak'!G230+'vs NYJ'!G230+'at Den'!G230+'vs Cle'!G230</f>
        <v>0</v>
      </c>
    </row>
    <row r="231" spans="1:7" ht="12">
      <c r="A231" t="s">
        <v>131</v>
      </c>
      <c r="B231" t="s">
        <v>167</v>
      </c>
      <c r="C231">
        <f>+'at Cin'!C231+'vs Den'!C231+'at Oak'!C231+'vs KC'!C231+'at SD'!C231+'at Hou'!C231+'vs NYG'!C231+'at NYJ'!C231+'at GB'!C231+'vs Pit'!C231+'vs SD'!C231+'at KC'!C231+'vs Oak'!C231+'vs NYJ'!C231+'at Den'!C231+'vs Cle'!C231</f>
        <v>0</v>
      </c>
      <c r="D231">
        <f>+'at Cin'!D231+'vs Den'!D231+'at Oak'!D231+'vs KC'!D231+'at SD'!D231+'at Hou'!D231+'vs NYG'!D231+'at NYJ'!D231+'at GB'!D231+'vs Pit'!D231+'vs SD'!D231+'at KC'!D231+'vs Oak'!D231+'vs NYJ'!D231+'at Den'!D231+'vs Cle'!D231</f>
        <v>0</v>
      </c>
      <c r="E231">
        <f>MAX('at Cin'!E231,'vs Den'!E231,'at Oak'!E231,'vs KC'!E231,'at SD'!E231,'at Hou'!E231,'vs NYG'!E231,'at NYJ'!E231,'at GB'!E231,'vs Pit'!E231,'vs SD'!E231,'at KC'!E231,'vs Oak'!E231,'vs NYJ'!E231,'at Den'!E231,'vs Cle'!E231)</f>
        <v>0</v>
      </c>
      <c r="F231">
        <f>+'at Cin'!F231+'vs Den'!F231+'at Oak'!F231+'vs KC'!F231+'at SD'!F231+'at Hou'!F231+'vs NYG'!F231+'at NYJ'!F231+'at GB'!F231+'vs Pit'!F231+'vs SD'!F231+'at KC'!F231+'vs Oak'!F231+'vs NYJ'!F231+'at Den'!F231+'vs Cle'!F231</f>
        <v>0</v>
      </c>
      <c r="G231">
        <f>+'at Cin'!G231+'vs Den'!G231+'at Oak'!G231+'vs KC'!G231+'at SD'!G231+'at Hou'!G231+'vs NYG'!G231+'at NYJ'!G231+'at GB'!G231+'vs Pit'!G231+'vs SD'!G231+'at KC'!G231+'vs Oak'!G231+'vs NYJ'!G231+'at Den'!G231+'vs Cle'!G231</f>
        <v>0</v>
      </c>
    </row>
    <row r="232" spans="1:7" ht="12">
      <c r="A232" t="s">
        <v>132</v>
      </c>
      <c r="B232" t="s">
        <v>167</v>
      </c>
      <c r="C232">
        <f>+'at Cin'!C232+'vs Den'!C232+'at Oak'!C232+'vs KC'!C232+'at SD'!C232+'at Hou'!C232+'vs NYG'!C232+'at NYJ'!C232+'at GB'!C232+'vs Pit'!C232+'vs SD'!C232+'at KC'!C232+'vs Oak'!C232+'vs NYJ'!C232+'at Den'!C232+'vs Cle'!C232</f>
        <v>0</v>
      </c>
      <c r="D232">
        <f>+'at Cin'!D232+'vs Den'!D232+'at Oak'!D232+'vs KC'!D232+'at SD'!D232+'at Hou'!D232+'vs NYG'!D232+'at NYJ'!D232+'at GB'!D232+'vs Pit'!D232+'vs SD'!D232+'at KC'!D232+'vs Oak'!D232+'vs NYJ'!D232+'at Den'!D232+'vs Cle'!D232</f>
        <v>0</v>
      </c>
      <c r="E232">
        <f>MAX('at Cin'!E232,'vs Den'!E232,'at Oak'!E232,'vs KC'!E232,'at SD'!E232,'at Hou'!E232,'vs NYG'!E232,'at NYJ'!E232,'at GB'!E232,'vs Pit'!E232,'vs SD'!E232,'at KC'!E232,'vs Oak'!E232,'vs NYJ'!E232,'at Den'!E232,'vs Cle'!E232)</f>
        <v>0</v>
      </c>
      <c r="F232">
        <f>+'at Cin'!F232+'vs Den'!F232+'at Oak'!F232+'vs KC'!F232+'at SD'!F232+'at Hou'!F232+'vs NYG'!F232+'at NYJ'!F232+'at GB'!F232+'vs Pit'!F232+'vs SD'!F232+'at KC'!F232+'vs Oak'!F232+'vs NYJ'!F232+'at Den'!F232+'vs Cle'!F232</f>
        <v>0</v>
      </c>
      <c r="G232">
        <f>+'at Cin'!G232+'vs Den'!G232+'at Oak'!G232+'vs KC'!G232+'at SD'!G232+'at Hou'!G232+'vs NYG'!G232+'at NYJ'!G232+'at GB'!G232+'vs Pit'!G232+'vs SD'!G232+'at KC'!G232+'vs Oak'!G232+'vs NYJ'!G232+'at Den'!G232+'vs Cle'!G232</f>
        <v>0</v>
      </c>
    </row>
    <row r="233" spans="1:7" ht="12">
      <c r="A233" t="s">
        <v>146</v>
      </c>
      <c r="B233" t="s">
        <v>167</v>
      </c>
      <c r="C233">
        <f>+'at Cin'!C233+'vs Den'!C233+'at Oak'!C233+'vs KC'!C233+'at SD'!C233+'at Hou'!C233+'vs NYG'!C233+'at NYJ'!C233+'at GB'!C233+'vs Pit'!C233+'vs SD'!C233+'at KC'!C233+'vs Oak'!C233+'vs NYJ'!C233+'at Den'!C233+'vs Cle'!C233</f>
        <v>2</v>
      </c>
      <c r="D233">
        <f>+'at Cin'!D233+'vs Den'!D233+'at Oak'!D233+'vs KC'!D233+'at SD'!D233+'at Hou'!D233+'vs NYG'!D233+'at NYJ'!D233+'at GB'!D233+'vs Pit'!D233+'vs SD'!D233+'at KC'!D233+'vs Oak'!D233+'vs NYJ'!D233+'at Den'!D233+'vs Cle'!D233</f>
        <v>0</v>
      </c>
      <c r="E233">
        <f>MAX('at Cin'!E233,'vs Den'!E233,'at Oak'!E233,'vs KC'!E233,'at SD'!E233,'at Hou'!E233,'vs NYG'!E233,'at NYJ'!E233,'at GB'!E233,'vs Pit'!E233,'vs SD'!E233,'at KC'!E233,'vs Oak'!E233,'vs NYJ'!E233,'at Den'!E233,'vs Cle'!E233)</f>
        <v>0</v>
      </c>
      <c r="F233">
        <f>+'at Cin'!F233+'vs Den'!F233+'at Oak'!F233+'vs KC'!F233+'at SD'!F233+'at Hou'!F233+'vs NYG'!F233+'at NYJ'!F233+'at GB'!F233+'vs Pit'!F233+'vs SD'!F233+'at KC'!F233+'vs Oak'!F233+'vs NYJ'!F233+'at Den'!F233+'vs Cle'!F233</f>
        <v>0</v>
      </c>
      <c r="G233">
        <f>+'at Cin'!G233+'vs Den'!G233+'at Oak'!G233+'vs KC'!G233+'at SD'!G233+'at Hou'!G233+'vs NYG'!G233+'at NYJ'!G233+'at GB'!G233+'vs Pit'!G233+'vs SD'!G233+'at KC'!G233+'vs Oak'!G233+'vs NYJ'!G233+'at Den'!G233+'vs Cle'!G233</f>
        <v>0</v>
      </c>
    </row>
    <row r="234" spans="1:7" ht="12">
      <c r="A234" t="s">
        <v>123</v>
      </c>
      <c r="B234" t="s">
        <v>167</v>
      </c>
      <c r="C234">
        <f>+'at Cin'!C234+'vs Den'!C234+'at Oak'!C234+'vs KC'!C234+'at SD'!C234+'at Hou'!C234+'vs NYG'!C234+'at NYJ'!C234+'at GB'!C234+'vs Pit'!C234+'vs SD'!C234+'at KC'!C234+'vs Oak'!C234+'vs NYJ'!C234+'at Den'!C234+'vs Cle'!C234</f>
        <v>0</v>
      </c>
      <c r="D234">
        <f>+'at Cin'!D234+'vs Den'!D234+'at Oak'!D234+'vs KC'!D234+'at SD'!D234+'at Hou'!D234+'vs NYG'!D234+'at NYJ'!D234+'at GB'!D234+'vs Pit'!D234+'vs SD'!D234+'at KC'!D234+'vs Oak'!D234+'vs NYJ'!D234+'at Den'!D234+'vs Cle'!D234</f>
        <v>0</v>
      </c>
      <c r="E234">
        <f>MAX('at Cin'!E234,'vs Den'!E234,'at Oak'!E234,'vs KC'!E234,'at SD'!E234,'at Hou'!E234,'vs NYG'!E234,'at NYJ'!E234,'at GB'!E234,'vs Pit'!E234,'vs SD'!E234,'at KC'!E234,'vs Oak'!E234,'vs NYJ'!E234,'at Den'!E234,'vs Cle'!E234)</f>
        <v>0</v>
      </c>
      <c r="F234">
        <f>+'at Cin'!F234+'vs Den'!F234+'at Oak'!F234+'vs KC'!F234+'at SD'!F234+'at Hou'!F234+'vs NYG'!F234+'at NYJ'!F234+'at GB'!F234+'vs Pit'!F234+'vs SD'!F234+'at KC'!F234+'vs Oak'!F234+'vs NYJ'!F234+'at Den'!F234+'vs Cle'!F234</f>
        <v>0</v>
      </c>
      <c r="G234">
        <f>+'at Cin'!G234+'vs Den'!G234+'at Oak'!G234+'vs KC'!G234+'at SD'!G234+'at Hou'!G234+'vs NYG'!G234+'at NYJ'!G234+'at GB'!G234+'vs Pit'!G234+'vs SD'!G234+'at KC'!G234+'vs Oak'!G234+'vs NYJ'!G234+'at Den'!G234+'vs Cle'!G234</f>
        <v>0</v>
      </c>
    </row>
    <row r="235" spans="1:7" ht="12">
      <c r="A235" t="s">
        <v>149</v>
      </c>
      <c r="B235" t="s">
        <v>167</v>
      </c>
      <c r="C235">
        <f>+'at Cin'!C235+'vs Den'!C235+'at Oak'!C235+'vs KC'!C235+'at SD'!C235+'at Hou'!C235+'vs NYG'!C235+'at NYJ'!C235+'at GB'!C235+'vs Pit'!C235+'vs SD'!C235+'at KC'!C235+'vs Oak'!C235+'vs NYJ'!C235+'at Den'!C235+'vs Cle'!C235</f>
        <v>0</v>
      </c>
      <c r="D235">
        <f>+'at Cin'!D235+'vs Den'!D235+'at Oak'!D235+'vs KC'!D235+'at SD'!D235+'at Hou'!D235+'vs NYG'!D235+'at NYJ'!D235+'at GB'!D235+'vs Pit'!D235+'vs SD'!D235+'at KC'!D235+'vs Oak'!D235+'vs NYJ'!D235+'at Den'!D235+'vs Cle'!D235</f>
        <v>0</v>
      </c>
      <c r="E235">
        <f>MAX('at Cin'!E235,'vs Den'!E235,'at Oak'!E235,'vs KC'!E235,'at SD'!E235,'at Hou'!E235,'vs NYG'!E235,'at NYJ'!E235,'at GB'!E235,'vs Pit'!E235,'vs SD'!E235,'at KC'!E235,'vs Oak'!E235,'vs NYJ'!E235,'at Den'!E235,'vs Cle'!E235)</f>
        <v>0</v>
      </c>
      <c r="F235">
        <f>+'at Cin'!F235+'vs Den'!F235+'at Oak'!F235+'vs KC'!F235+'at SD'!F235+'at Hou'!F235+'vs NYG'!F235+'at NYJ'!F235+'at GB'!F235+'vs Pit'!F235+'vs SD'!F235+'at KC'!F235+'vs Oak'!F235+'vs NYJ'!F235+'at Den'!F235+'vs Cle'!F235</f>
        <v>0</v>
      </c>
      <c r="G235">
        <f>+'at Cin'!G235+'vs Den'!G235+'at Oak'!G235+'vs KC'!G235+'at SD'!G235+'at Hou'!G235+'vs NYG'!G235+'at NYJ'!G235+'at GB'!G235+'vs Pit'!G235+'vs SD'!G235+'at KC'!G235+'vs Oak'!G235+'vs NYJ'!G235+'at Den'!G235+'vs Cle'!G235</f>
        <v>0</v>
      </c>
    </row>
    <row r="236" spans="1:7" ht="12">
      <c r="A236" t="s">
        <v>164</v>
      </c>
      <c r="B236" t="s">
        <v>167</v>
      </c>
      <c r="C236">
        <f>+'at Cin'!C236+'vs Den'!C236+'at Oak'!C236+'vs KC'!C236+'at SD'!C236+'at Hou'!C236+'vs NYG'!C236+'at NYJ'!C236+'at GB'!C236+'vs Pit'!C236+'vs SD'!C236+'at KC'!C236+'vs Oak'!C236+'vs NYJ'!C236+'at Den'!C236+'vs Cle'!C236</f>
        <v>1</v>
      </c>
      <c r="D236">
        <f>+'at Cin'!D236+'vs Den'!D236+'at Oak'!D236+'vs KC'!D236+'at SD'!D236+'at Hou'!D236+'vs NYG'!D236+'at NYJ'!D236+'at GB'!D236+'vs Pit'!D236+'vs SD'!D236+'at KC'!D236+'vs Oak'!D236+'vs NYJ'!D236+'at Den'!D236+'vs Cle'!D236</f>
        <v>15</v>
      </c>
      <c r="E236">
        <f>MAX('at Cin'!E236,'vs Den'!E236,'at Oak'!E236,'vs KC'!E236,'at SD'!E236,'at Hou'!E236,'vs NYG'!E236,'at NYJ'!E236,'at GB'!E236,'vs Pit'!E236,'vs SD'!E236,'at KC'!E236,'vs Oak'!E236,'vs NYJ'!E236,'at Den'!E236,'vs Cle'!E236)</f>
        <v>15</v>
      </c>
      <c r="F236">
        <f>+'at Cin'!F236+'vs Den'!F236+'at Oak'!F236+'vs KC'!F236+'at SD'!F236+'at Hou'!F236+'vs NYG'!F236+'at NYJ'!F236+'at GB'!F236+'vs Pit'!F236+'vs SD'!F236+'at KC'!F236+'vs Oak'!F236+'vs NYJ'!F236+'at Den'!F236+'vs Cle'!F236</f>
        <v>1</v>
      </c>
      <c r="G236">
        <f>+'at Cin'!G236+'vs Den'!G236+'at Oak'!G236+'vs KC'!G236+'at SD'!G236+'at Hou'!G236+'vs NYG'!G236+'at NYJ'!G236+'at GB'!G236+'vs Pit'!G236+'vs SD'!G236+'at KC'!G236+'vs Oak'!G236+'vs NYJ'!G236+'at Den'!G236+'vs Cle'!G236</f>
        <v>0</v>
      </c>
    </row>
    <row r="237" spans="1:7" ht="12">
      <c r="A237" t="s">
        <v>133</v>
      </c>
      <c r="B237" t="s">
        <v>167</v>
      </c>
      <c r="C237">
        <f>+'at Cin'!C237+'vs Den'!C237+'at Oak'!C237+'vs KC'!C237+'at SD'!C237+'at Hou'!C237+'vs NYG'!C237+'at NYJ'!C237+'at GB'!C237+'vs Pit'!C237+'vs SD'!C237+'at KC'!C237+'vs Oak'!C237+'vs NYJ'!C237+'at Den'!C237+'vs Cle'!C237</f>
        <v>0</v>
      </c>
      <c r="D237">
        <f>+'at Cin'!D237+'vs Den'!D237+'at Oak'!D237+'vs KC'!D237+'at SD'!D237+'at Hou'!D237+'vs NYG'!D237+'at NYJ'!D237+'at GB'!D237+'vs Pit'!D237+'vs SD'!D237+'at KC'!D237+'vs Oak'!D237+'vs NYJ'!D237+'at Den'!D237+'vs Cle'!D237</f>
        <v>0</v>
      </c>
      <c r="E237">
        <f>MAX('at Cin'!E237,'vs Den'!E237,'at Oak'!E237,'vs KC'!E237,'at SD'!E237,'at Hou'!E237,'vs NYG'!E237,'at NYJ'!E237,'at GB'!E237,'vs Pit'!E237,'vs SD'!E237,'at KC'!E237,'vs Oak'!E237,'vs NYJ'!E237,'at Den'!E237,'vs Cle'!E237)</f>
        <v>0</v>
      </c>
      <c r="F237">
        <f>+'at Cin'!F237+'vs Den'!F237+'at Oak'!F237+'vs KC'!F237+'at SD'!F237+'at Hou'!F237+'vs NYG'!F237+'at NYJ'!F237+'at GB'!F237+'vs Pit'!F237+'vs SD'!F237+'at KC'!F237+'vs Oak'!F237+'vs NYJ'!F237+'at Den'!F237+'vs Cle'!F237</f>
        <v>0</v>
      </c>
      <c r="G237">
        <f>+'at Cin'!G237+'vs Den'!G237+'at Oak'!G237+'vs KC'!G237+'at SD'!G237+'at Hou'!G237+'vs NYG'!G237+'at NYJ'!G237+'at GB'!G237+'vs Pit'!G237+'vs SD'!G237+'at KC'!G237+'vs Oak'!G237+'vs NYJ'!G237+'at Den'!G237+'vs Cle'!G237</f>
        <v>0</v>
      </c>
    </row>
    <row r="238" spans="1:7" ht="12">
      <c r="A238" t="s">
        <v>150</v>
      </c>
      <c r="B238" t="s">
        <v>167</v>
      </c>
      <c r="C238">
        <f>+'at Cin'!C238+'vs Den'!C238+'at Oak'!C238+'vs KC'!C238+'at SD'!C238+'at Hou'!C238+'vs NYG'!C238+'at NYJ'!C238+'at GB'!C238+'vs Pit'!C238+'vs SD'!C238+'at KC'!C238+'vs Oak'!C238+'vs NYJ'!C238+'at Den'!C238+'vs Cle'!C238</f>
        <v>2</v>
      </c>
      <c r="D238">
        <f>+'at Cin'!D238+'vs Den'!D238+'at Oak'!D238+'vs KC'!D238+'at SD'!D238+'at Hou'!D238+'vs NYG'!D238+'at NYJ'!D238+'at GB'!D238+'vs Pit'!D238+'vs SD'!D238+'at KC'!D238+'vs Oak'!D238+'vs NYJ'!D238+'at Den'!D238+'vs Cle'!D238</f>
        <v>0</v>
      </c>
      <c r="E238">
        <f>MAX('at Cin'!E238,'vs Den'!E238,'at Oak'!E238,'vs KC'!E238,'at SD'!E238,'at Hou'!E238,'vs NYG'!E238,'at NYJ'!E238,'at GB'!E238,'vs Pit'!E238,'vs SD'!E238,'at KC'!E238,'vs Oak'!E238,'vs NYJ'!E238,'at Den'!E238,'vs Cle'!E238)</f>
        <v>0</v>
      </c>
      <c r="F238">
        <f>+'at Cin'!F238+'vs Den'!F238+'at Oak'!F238+'vs KC'!F238+'at SD'!F238+'at Hou'!F238+'vs NYG'!F238+'at NYJ'!F238+'at GB'!F238+'vs Pit'!F238+'vs SD'!F238+'at KC'!F238+'vs Oak'!F238+'vs NYJ'!F238+'at Den'!F238+'vs Cle'!F238</f>
        <v>0</v>
      </c>
      <c r="G238">
        <f>+'at Cin'!G238+'vs Den'!G238+'at Oak'!G238+'vs KC'!G238+'at SD'!G238+'at Hou'!G238+'vs NYG'!G238+'at NYJ'!G238+'at GB'!G238+'vs Pit'!G238+'vs SD'!G238+'at KC'!G238+'vs Oak'!G238+'vs NYJ'!G238+'at Den'!G238+'vs Cle'!G238</f>
        <v>0</v>
      </c>
    </row>
    <row r="239" spans="1:7" ht="12">
      <c r="A239" t="s">
        <v>165</v>
      </c>
      <c r="B239" t="s">
        <v>167</v>
      </c>
      <c r="C239">
        <f>+'at Cin'!C239+'vs Den'!C239+'at Oak'!C239+'vs KC'!C239+'at SD'!C239+'at Hou'!C239+'vs NYG'!C239+'at NYJ'!C239+'at GB'!C239+'vs Pit'!C239+'vs SD'!C239+'at KC'!C239+'vs Oak'!C239+'vs NYJ'!C239+'at Den'!C239+'vs Cle'!C239</f>
        <v>0</v>
      </c>
      <c r="D239">
        <f>+'at Cin'!D239+'vs Den'!D239+'at Oak'!D239+'vs KC'!D239+'at SD'!D239+'at Hou'!D239+'vs NYG'!D239+'at NYJ'!D239+'at GB'!D239+'vs Pit'!D239+'vs SD'!D239+'at KC'!D239+'vs Oak'!D239+'vs NYJ'!D239+'at Den'!D239+'vs Cle'!D239</f>
        <v>0</v>
      </c>
      <c r="E239">
        <f>MAX('at Cin'!E239,'vs Den'!E239,'at Oak'!E239,'vs KC'!E239,'at SD'!E239,'at Hou'!E239,'vs NYG'!E239,'at NYJ'!E239,'at GB'!E239,'vs Pit'!E239,'vs SD'!E239,'at KC'!E239,'vs Oak'!E239,'vs NYJ'!E239,'at Den'!E239,'vs Cle'!E239)</f>
        <v>0</v>
      </c>
      <c r="F239">
        <f>+'at Cin'!F239+'vs Den'!F239+'at Oak'!F239+'vs KC'!F239+'at SD'!F239+'at Hou'!F239+'vs NYG'!F239+'at NYJ'!F239+'at GB'!F239+'vs Pit'!F239+'vs SD'!F239+'at KC'!F239+'vs Oak'!F239+'vs NYJ'!F239+'at Den'!F239+'vs Cle'!F239</f>
        <v>0</v>
      </c>
      <c r="G239">
        <f>+'at Cin'!G239+'vs Den'!G239+'at Oak'!G239+'vs KC'!G239+'at SD'!G239+'at Hou'!G239+'vs NYG'!G239+'at NYJ'!G239+'at GB'!G239+'vs Pit'!G239+'vs SD'!G239+'at KC'!G239+'vs Oak'!G239+'vs NYJ'!G239+'at Den'!G239+'vs Cle'!G239</f>
        <v>0</v>
      </c>
    </row>
    <row r="240" spans="1:7" ht="12">
      <c r="A240" t="s">
        <v>124</v>
      </c>
      <c r="B240" t="s">
        <v>167</v>
      </c>
      <c r="C240">
        <f>+'at Cin'!C240+'vs Den'!C240+'at Oak'!C240+'vs KC'!C240+'at SD'!C240+'at Hou'!C240+'vs NYG'!C240+'at NYJ'!C240+'at GB'!C240+'vs Pit'!C240+'vs SD'!C240+'at KC'!C240+'vs Oak'!C240+'vs NYJ'!C240+'at Den'!C240+'vs Cle'!C240</f>
        <v>0</v>
      </c>
      <c r="D240">
        <f>+'at Cin'!D240+'vs Den'!D240+'at Oak'!D240+'vs KC'!D240+'at SD'!D240+'at Hou'!D240+'vs NYG'!D240+'at NYJ'!D240+'at GB'!D240+'vs Pit'!D240+'vs SD'!D240+'at KC'!D240+'vs Oak'!D240+'vs NYJ'!D240+'at Den'!D240+'vs Cle'!D240</f>
        <v>0</v>
      </c>
      <c r="E240">
        <f>MAX('at Cin'!E240,'vs Den'!E240,'at Oak'!E240,'vs KC'!E240,'at SD'!E240,'at Hou'!E240,'vs NYG'!E240,'at NYJ'!E240,'at GB'!E240,'vs Pit'!E240,'vs SD'!E240,'at KC'!E240,'vs Oak'!E240,'vs NYJ'!E240,'at Den'!E240,'vs Cle'!E240)</f>
        <v>0</v>
      </c>
      <c r="F240">
        <f>+'at Cin'!F240+'vs Den'!F240+'at Oak'!F240+'vs KC'!F240+'at SD'!F240+'at Hou'!F240+'vs NYG'!F240+'at NYJ'!F240+'at GB'!F240+'vs Pit'!F240+'vs SD'!F240+'at KC'!F240+'vs Oak'!F240+'vs NYJ'!F240+'at Den'!F240+'vs Cle'!F240</f>
        <v>0</v>
      </c>
      <c r="G240">
        <f>+'at Cin'!G240+'vs Den'!G240+'at Oak'!G240+'vs KC'!G240+'at SD'!G240+'at Hou'!G240+'vs NYG'!G240+'at NYJ'!G240+'at GB'!G240+'vs Pit'!G240+'vs SD'!G240+'at KC'!G240+'vs Oak'!G240+'vs NYJ'!G240+'at Den'!G240+'vs Cle'!G240</f>
        <v>0</v>
      </c>
    </row>
    <row r="241" spans="1:7" ht="12">
      <c r="A241" t="s">
        <v>151</v>
      </c>
      <c r="B241" t="s">
        <v>167</v>
      </c>
      <c r="C241">
        <f>+'at Cin'!C241+'vs Den'!C241+'at Oak'!C241+'vs KC'!C241+'at SD'!C241+'at Hou'!C241+'vs NYG'!C241+'at NYJ'!C241+'at GB'!C241+'vs Pit'!C241+'vs SD'!C241+'at KC'!C241+'vs Oak'!C241+'vs NYJ'!C241+'at Den'!C241+'vs Cle'!C241</f>
        <v>5</v>
      </c>
      <c r="D241">
        <f>+'at Cin'!D241+'vs Den'!D241+'at Oak'!D241+'vs KC'!D241+'at SD'!D241+'at Hou'!D241+'vs NYG'!D241+'at NYJ'!D241+'at GB'!D241+'vs Pit'!D241+'vs SD'!D241+'at KC'!D241+'vs Oak'!D241+'vs NYJ'!D241+'at Den'!D241+'vs Cle'!D241</f>
        <v>0</v>
      </c>
      <c r="E241">
        <f>MAX('at Cin'!E241,'vs Den'!E241,'at Oak'!E241,'vs KC'!E241,'at SD'!E241,'at Hou'!E241,'vs NYG'!E241,'at NYJ'!E241,'at GB'!E241,'vs Pit'!E241,'vs SD'!E241,'at KC'!E241,'vs Oak'!E241,'vs NYJ'!E241,'at Den'!E241,'vs Cle'!E241)</f>
        <v>0</v>
      </c>
      <c r="F241">
        <f>+'at Cin'!F241+'vs Den'!F241+'at Oak'!F241+'vs KC'!F241+'at SD'!F241+'at Hou'!F241+'vs NYG'!F241+'at NYJ'!F241+'at GB'!F241+'vs Pit'!F241+'vs SD'!F241+'at KC'!F241+'vs Oak'!F241+'vs NYJ'!F241+'at Den'!F241+'vs Cle'!F241</f>
        <v>0</v>
      </c>
      <c r="G241">
        <f>+'at Cin'!G241+'vs Den'!G241+'at Oak'!G241+'vs KC'!G241+'at SD'!G241+'at Hou'!G241+'vs NYG'!G241+'at NYJ'!G241+'at GB'!G241+'vs Pit'!G241+'vs SD'!G241+'at KC'!G241+'vs Oak'!G241+'vs NYJ'!G241+'at Den'!G241+'vs Cle'!G241</f>
        <v>0</v>
      </c>
    </row>
    <row r="242" spans="1:7" ht="12">
      <c r="A242" t="s">
        <v>166</v>
      </c>
      <c r="B242" t="s">
        <v>167</v>
      </c>
      <c r="C242">
        <f>+'at Cin'!C242+'vs Den'!C242+'at Oak'!C242+'vs KC'!C242+'at SD'!C242+'at Hou'!C242+'vs NYG'!C242+'at NYJ'!C242+'at GB'!C242+'vs Pit'!C242+'vs SD'!C242+'at KC'!C242+'vs Oak'!C242+'vs NYJ'!C242+'at Den'!C242+'vs Cle'!C242</f>
        <v>1</v>
      </c>
      <c r="D242">
        <f>+'at Cin'!D242+'vs Den'!D242+'at Oak'!D242+'vs KC'!D242+'at SD'!D242+'at Hou'!D242+'vs NYG'!D242+'at NYJ'!D242+'at GB'!D242+'vs Pit'!D242+'vs SD'!D242+'at KC'!D242+'vs Oak'!D242+'vs NYJ'!D242+'at Den'!D242+'vs Cle'!D242</f>
        <v>0</v>
      </c>
      <c r="E242">
        <f>MAX('at Cin'!E242,'vs Den'!E242,'at Oak'!E242,'vs KC'!E242,'at SD'!E242,'at Hou'!E242,'vs NYG'!E242,'at NYJ'!E242,'at GB'!E242,'vs Pit'!E242,'vs SD'!E242,'at KC'!E242,'vs Oak'!E242,'vs NYJ'!E242,'at Den'!E242,'vs Cle'!E242)</f>
        <v>0</v>
      </c>
      <c r="F242">
        <f>+'at Cin'!F242+'vs Den'!F242+'at Oak'!F242+'vs KC'!F242+'at SD'!F242+'at Hou'!F242+'vs NYG'!F242+'at NYJ'!F242+'at GB'!F242+'vs Pit'!F242+'vs SD'!F242+'at KC'!F242+'vs Oak'!F242+'vs NYJ'!F242+'at Den'!F242+'vs Cle'!F242</f>
        <v>0</v>
      </c>
      <c r="G242">
        <f>+'at Cin'!G242+'vs Den'!G242+'at Oak'!G242+'vs KC'!G242+'at SD'!G242+'at Hou'!G242+'vs NYG'!G242+'at NYJ'!G242+'at GB'!G242+'vs Pit'!G242+'vs SD'!G242+'at KC'!G242+'vs Oak'!G242+'vs NYJ'!G242+'at Den'!G242+'vs Cle'!G242</f>
        <v>0</v>
      </c>
    </row>
    <row r="243" spans="1:7" ht="12">
      <c r="A243" t="s">
        <v>125</v>
      </c>
      <c r="B243" t="s">
        <v>167</v>
      </c>
      <c r="C243">
        <f>+'at Cin'!C243+'vs Den'!C243+'at Oak'!C243+'vs KC'!C243+'at SD'!C243+'at Hou'!C243+'vs NYG'!C243+'at NYJ'!C243+'at GB'!C243+'vs Pit'!C243+'vs SD'!C243+'at KC'!C243+'vs Oak'!C243+'vs NYJ'!C243+'at Den'!C243+'vs Cle'!C243</f>
        <v>0</v>
      </c>
      <c r="D243">
        <f>+'at Cin'!D243+'vs Den'!D243+'at Oak'!D243+'vs KC'!D243+'at SD'!D243+'at Hou'!D243+'vs NYG'!D243+'at NYJ'!D243+'at GB'!D243+'vs Pit'!D243+'vs SD'!D243+'at KC'!D243+'vs Oak'!D243+'vs NYJ'!D243+'at Den'!D243+'vs Cle'!D243</f>
        <v>0</v>
      </c>
      <c r="E243">
        <f>MAX('at Cin'!E243,'vs Den'!E243,'at Oak'!E243,'vs KC'!E243,'at SD'!E243,'at Hou'!E243,'vs NYG'!E243,'at NYJ'!E243,'at GB'!E243,'vs Pit'!E243,'vs SD'!E243,'at KC'!E243,'vs Oak'!E243,'vs NYJ'!E243,'at Den'!E243,'vs Cle'!E243)</f>
        <v>0</v>
      </c>
      <c r="F243">
        <f>+'at Cin'!F243+'vs Den'!F243+'at Oak'!F243+'vs KC'!F243+'at SD'!F243+'at Hou'!F243+'vs NYG'!F243+'at NYJ'!F243+'at GB'!F243+'vs Pit'!F243+'vs SD'!F243+'at KC'!F243+'vs Oak'!F243+'vs NYJ'!F243+'at Den'!F243+'vs Cle'!F243</f>
        <v>0</v>
      </c>
      <c r="G243">
        <f>+'at Cin'!G243+'vs Den'!G243+'at Oak'!G243+'vs KC'!G243+'at SD'!G243+'at Hou'!G243+'vs NYG'!G243+'at NYJ'!G243+'at GB'!G243+'vs Pit'!G243+'vs SD'!G243+'at KC'!G243+'vs Oak'!G243+'vs NYJ'!G243+'at Den'!G243+'vs Cle'!G243</f>
        <v>0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B13" sqref="B13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13</v>
      </c>
      <c r="H6" s="1" t="s">
        <v>29</v>
      </c>
      <c r="M6" s="2">
        <v>26</v>
      </c>
    </row>
    <row r="7" spans="1:13" ht="12">
      <c r="A7" s="18" t="s">
        <v>95</v>
      </c>
      <c r="D7" s="2">
        <v>9</v>
      </c>
      <c r="H7" s="18" t="s">
        <v>95</v>
      </c>
      <c r="M7" s="2">
        <v>14</v>
      </c>
    </row>
    <row r="8" spans="1:13" ht="12">
      <c r="A8" s="18" t="s">
        <v>96</v>
      </c>
      <c r="D8" s="2">
        <v>4</v>
      </c>
      <c r="H8" s="18" t="s">
        <v>96</v>
      </c>
      <c r="M8" s="2">
        <v>9</v>
      </c>
    </row>
    <row r="9" spans="1:13" ht="12">
      <c r="A9" s="18" t="s">
        <v>97</v>
      </c>
      <c r="D9" s="2">
        <v>0</v>
      </c>
      <c r="H9" s="18" t="s">
        <v>97</v>
      </c>
      <c r="M9" s="2">
        <v>3</v>
      </c>
    </row>
    <row r="10" spans="1:14" ht="12">
      <c r="A10" s="21" t="s">
        <v>168</v>
      </c>
      <c r="C10">
        <v>3</v>
      </c>
      <c r="D10" s="2">
        <v>10</v>
      </c>
      <c r="E10" s="22">
        <f>+C10/D10</f>
        <v>0.3</v>
      </c>
      <c r="H10" s="21" t="s">
        <v>168</v>
      </c>
      <c r="L10">
        <v>8</v>
      </c>
      <c r="M10" s="2">
        <v>17</v>
      </c>
      <c r="N10" s="22">
        <f>+L10/M10</f>
        <v>0.47058823529411764</v>
      </c>
    </row>
    <row r="12" spans="1:23" ht="12">
      <c r="A12" t="s">
        <v>1</v>
      </c>
      <c r="D12" s="2">
        <f>11+4+3+1+2+1+1+2</f>
        <v>25</v>
      </c>
      <c r="H12" t="s">
        <v>1</v>
      </c>
      <c r="M12" s="2">
        <f>22+15+12+2+2</f>
        <v>53</v>
      </c>
      <c r="V12">
        <f>+D12</f>
        <v>25</v>
      </c>
      <c r="W12">
        <f>+M12</f>
        <v>53</v>
      </c>
    </row>
    <row r="13" spans="1:23" ht="12">
      <c r="A13" t="s">
        <v>2</v>
      </c>
      <c r="D13" s="2">
        <f>54+15+17+1+5+1+8+25</f>
        <v>126</v>
      </c>
      <c r="H13" t="s">
        <v>2</v>
      </c>
      <c r="M13" s="2">
        <f>96+41+54+4+4</f>
        <v>199</v>
      </c>
      <c r="U13" s="13"/>
      <c r="V13">
        <f>+D17</f>
        <v>9</v>
      </c>
      <c r="W13">
        <f>+M17</f>
        <v>20</v>
      </c>
    </row>
    <row r="14" spans="1:23" ht="12">
      <c r="A14" s="1" t="s">
        <v>3</v>
      </c>
      <c r="D14" s="8">
        <f>+D13/D12</f>
        <v>5.04</v>
      </c>
      <c r="H14" s="1" t="s">
        <v>3</v>
      </c>
      <c r="M14" s="8">
        <f>+M13/M12</f>
        <v>3.7547169811320753</v>
      </c>
      <c r="V14">
        <f>+(D16-D17)/2</f>
        <v>9</v>
      </c>
      <c r="W14">
        <f>+(M16-M17)/2</f>
        <v>3.5</v>
      </c>
    </row>
    <row r="15" spans="22:23" ht="12">
      <c r="V15">
        <f>+D39/2</f>
        <v>3.5</v>
      </c>
      <c r="W15">
        <f>+M39/2</f>
        <v>2</v>
      </c>
    </row>
    <row r="16" spans="1:23" ht="12">
      <c r="A16" t="s">
        <v>4</v>
      </c>
      <c r="D16" s="2">
        <f>20+3+4</f>
        <v>27</v>
      </c>
      <c r="H16" t="s">
        <v>4</v>
      </c>
      <c r="M16" s="2">
        <v>27</v>
      </c>
      <c r="V16">
        <f>+D43/2</f>
        <v>1</v>
      </c>
      <c r="W16">
        <f>+M43/2</f>
        <v>2.5</v>
      </c>
    </row>
    <row r="17" spans="1:23" ht="12">
      <c r="A17" t="s">
        <v>5</v>
      </c>
      <c r="D17" s="2">
        <f>5+1+3</f>
        <v>9</v>
      </c>
      <c r="H17" t="s">
        <v>5</v>
      </c>
      <c r="M17" s="2">
        <v>20</v>
      </c>
      <c r="V17">
        <f>+D48/2</f>
        <v>2.5</v>
      </c>
      <c r="W17">
        <f>+M48/2</f>
        <v>0</v>
      </c>
    </row>
    <row r="18" spans="1:13" ht="12">
      <c r="A18" t="s">
        <v>6</v>
      </c>
      <c r="D18" s="8">
        <f>+D17/D16*100</f>
        <v>33.33333333333333</v>
      </c>
      <c r="H18" t="s">
        <v>6</v>
      </c>
      <c r="M18" s="8">
        <f>+M17/M16*100</f>
        <v>74.07407407407408</v>
      </c>
    </row>
    <row r="19" spans="1:24" ht="12">
      <c r="A19" t="s">
        <v>7</v>
      </c>
      <c r="D19" s="2">
        <f>56+27+41</f>
        <v>124</v>
      </c>
      <c r="H19" t="s">
        <v>7</v>
      </c>
      <c r="M19" s="2">
        <v>176</v>
      </c>
      <c r="V19">
        <f>SUM(V12:V17)</f>
        <v>50</v>
      </c>
      <c r="W19">
        <f>SUM(W12:W17)</f>
        <v>81</v>
      </c>
      <c r="X19">
        <f>+W19+V19</f>
        <v>131</v>
      </c>
    </row>
    <row r="20" spans="1:23" ht="12">
      <c r="A20" t="s">
        <v>8</v>
      </c>
      <c r="D20" s="2">
        <v>1</v>
      </c>
      <c r="H20" t="s">
        <v>8</v>
      </c>
      <c r="M20" s="2">
        <v>0</v>
      </c>
      <c r="V20">
        <f>+V19/X19</f>
        <v>0.3816793893129771</v>
      </c>
      <c r="W20">
        <f>+W19/X19</f>
        <v>0.6183206106870229</v>
      </c>
    </row>
    <row r="21" spans="1:23" ht="12">
      <c r="A21" t="s">
        <v>9</v>
      </c>
      <c r="D21" s="2">
        <v>5</v>
      </c>
      <c r="H21" t="s">
        <v>9</v>
      </c>
      <c r="M21" s="2">
        <v>0</v>
      </c>
      <c r="V21">
        <f>+V20*60</f>
        <v>22.900763358778626</v>
      </c>
      <c r="W21">
        <f>+W20*60</f>
        <v>37.099236641221374</v>
      </c>
    </row>
    <row r="22" spans="1:23" ht="12">
      <c r="A22" t="s">
        <v>10</v>
      </c>
      <c r="D22">
        <f>+D19-D21</f>
        <v>119</v>
      </c>
      <c r="H22" t="s">
        <v>10</v>
      </c>
      <c r="M22">
        <f>+M19-M21</f>
        <v>176</v>
      </c>
      <c r="V22">
        <f>+V21-INT(V21)</f>
        <v>0.9007633587786259</v>
      </c>
      <c r="W22">
        <f>+W21-INT(W21)</f>
        <v>0.0992366412213741</v>
      </c>
    </row>
    <row r="23" spans="1:23" ht="12">
      <c r="A23" t="s">
        <v>11</v>
      </c>
      <c r="D23" s="7">
        <f>+D22/(D16+D20)</f>
        <v>4.25</v>
      </c>
      <c r="H23" t="s">
        <v>11</v>
      </c>
      <c r="M23" s="7">
        <f>+M22/(M16+M20)</f>
        <v>6.518518518518518</v>
      </c>
      <c r="V23">
        <f>+V22*60</f>
        <v>54.045801526717554</v>
      </c>
      <c r="W23">
        <f>+W22*60</f>
        <v>5.954198473282446</v>
      </c>
    </row>
    <row r="24" spans="1:23" ht="12">
      <c r="A24" t="s">
        <v>12</v>
      </c>
      <c r="D24" s="7">
        <f>+D19/D17</f>
        <v>13.777777777777779</v>
      </c>
      <c r="H24" t="s">
        <v>12</v>
      </c>
      <c r="M24" s="7">
        <f>+M19/M17</f>
        <v>8.8</v>
      </c>
      <c r="U24">
        <v>0</v>
      </c>
      <c r="V24" s="11">
        <f>ROUND(V23,0)</f>
        <v>54</v>
      </c>
      <c r="W24">
        <f>ROUND(W23,0)</f>
        <v>6</v>
      </c>
    </row>
    <row r="25" spans="22:23" ht="12">
      <c r="V25">
        <f>INT(V21)</f>
        <v>22</v>
      </c>
      <c r="W25">
        <f>INT(W21)</f>
        <v>37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245</v>
      </c>
      <c r="H27" t="s">
        <v>14</v>
      </c>
      <c r="M27">
        <f>+M22+M13</f>
        <v>375</v>
      </c>
      <c r="V27" s="14" t="str">
        <f>+V25&amp;V26&amp;V24</f>
        <v>22:54</v>
      </c>
      <c r="W27" s="9" t="str">
        <f>+W25&amp;W26&amp;W24</f>
        <v>37:6</v>
      </c>
    </row>
    <row r="28" spans="1:23" ht="12">
      <c r="A28" t="s">
        <v>15</v>
      </c>
      <c r="D28" s="7">
        <f>+D13/D27*100</f>
        <v>51.42857142857142</v>
      </c>
      <c r="H28" t="s">
        <v>15</v>
      </c>
      <c r="M28" s="7">
        <f>+M13/M27*100</f>
        <v>53.06666666666666</v>
      </c>
      <c r="V28" s="9" t="str">
        <f>IF(V24&lt;10,+V25&amp;V26&amp;$U$24&amp;V24,+V25&amp;V26&amp;V24)</f>
        <v>22:54</v>
      </c>
      <c r="W28" s="9" t="str">
        <f>IF(W24&lt;10,+W25&amp;W26&amp;$U$24&amp;W24,+W25&amp;W26&amp;W24)</f>
        <v>37:06</v>
      </c>
    </row>
    <row r="29" spans="1:13" ht="12">
      <c r="A29" s="1" t="s">
        <v>90</v>
      </c>
      <c r="D29" s="7">
        <f>+D22/D27*100</f>
        <v>48.57142857142857</v>
      </c>
      <c r="H29" s="1" t="s">
        <v>90</v>
      </c>
      <c r="M29" s="7">
        <f>+M22/M27*100</f>
        <v>46.93333333333333</v>
      </c>
    </row>
    <row r="31" spans="1:13" ht="12">
      <c r="A31" t="s">
        <v>16</v>
      </c>
      <c r="D31">
        <f>+D12+D16+D20</f>
        <v>53</v>
      </c>
      <c r="H31" t="s">
        <v>16</v>
      </c>
      <c r="M31">
        <f>+M12+M16+M20</f>
        <v>80</v>
      </c>
    </row>
    <row r="32" spans="1:13" ht="12">
      <c r="A32" t="s">
        <v>17</v>
      </c>
      <c r="D32" s="8">
        <f>+D27/D31</f>
        <v>4.622641509433962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4.6875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3</v>
      </c>
      <c r="H35" t="s">
        <v>19</v>
      </c>
      <c r="M35" s="2">
        <v>1</v>
      </c>
    </row>
    <row r="36" spans="1:13" ht="12">
      <c r="A36" t="s">
        <v>20</v>
      </c>
      <c r="D36" s="2">
        <v>40</v>
      </c>
      <c r="H36" t="s">
        <v>20</v>
      </c>
      <c r="M36" s="2">
        <v>0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7</v>
      </c>
      <c r="H39" t="s">
        <v>22</v>
      </c>
      <c r="M39" s="2">
        <v>4</v>
      </c>
    </row>
    <row r="40" spans="1:13" ht="12">
      <c r="A40" t="s">
        <v>23</v>
      </c>
      <c r="D40" s="2">
        <f>55+40+34+41+34+39+33</f>
        <v>276</v>
      </c>
      <c r="H40" t="s">
        <v>23</v>
      </c>
      <c r="M40" s="2">
        <f>41+37+18+42</f>
        <v>138</v>
      </c>
    </row>
    <row r="41" spans="1:13" ht="12">
      <c r="A41" t="s">
        <v>24</v>
      </c>
      <c r="D41" s="8">
        <f>+D40/D39</f>
        <v>39.42857142857143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34.5</v>
      </c>
    </row>
    <row r="43" spans="1:13" ht="12">
      <c r="A43" t="s">
        <v>25</v>
      </c>
      <c r="D43" s="2">
        <v>2</v>
      </c>
      <c r="H43" t="s">
        <v>25</v>
      </c>
      <c r="M43" s="2">
        <v>5</v>
      </c>
    </row>
    <row r="44" spans="1:13" ht="12">
      <c r="A44" t="s">
        <v>26</v>
      </c>
      <c r="D44" s="2">
        <v>28</v>
      </c>
      <c r="H44" t="s">
        <v>26</v>
      </c>
      <c r="M44" s="2">
        <v>6</v>
      </c>
    </row>
    <row r="45" spans="1:13" ht="12">
      <c r="A45" t="s">
        <v>27</v>
      </c>
      <c r="D45" s="8">
        <f>+D44/D43</f>
        <v>14</v>
      </c>
      <c r="H45" t="s">
        <v>27</v>
      </c>
      <c r="M45" s="8">
        <f>+M44/M43</f>
        <v>1.2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5</v>
      </c>
      <c r="H48" t="s">
        <v>30</v>
      </c>
      <c r="M48" s="2">
        <v>0</v>
      </c>
    </row>
    <row r="49" spans="1:13" ht="12">
      <c r="A49" t="s">
        <v>26</v>
      </c>
      <c r="D49" s="2">
        <f>10+11+17+13+9</f>
        <v>60</v>
      </c>
      <c r="H49" t="s">
        <v>26</v>
      </c>
      <c r="M49" s="2">
        <v>0</v>
      </c>
    </row>
    <row r="50" spans="1:13" ht="12">
      <c r="A50" t="s">
        <v>27</v>
      </c>
      <c r="D50" s="8">
        <f>+D49/D48</f>
        <v>12</v>
      </c>
      <c r="H50" t="s">
        <v>27</v>
      </c>
      <c r="M50" s="8" t="e">
        <f>+M49/M48</f>
        <v>#DIV/0!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5</v>
      </c>
      <c r="H53" t="s">
        <v>31</v>
      </c>
      <c r="M53" s="2">
        <v>4</v>
      </c>
    </row>
    <row r="54" spans="1:13" ht="12">
      <c r="A54" t="s">
        <v>32</v>
      </c>
      <c r="D54" s="2">
        <v>46</v>
      </c>
      <c r="H54" t="s">
        <v>32</v>
      </c>
      <c r="M54" s="2">
        <v>25</v>
      </c>
    </row>
    <row r="56" spans="1:13" ht="12">
      <c r="A56" t="s">
        <v>33</v>
      </c>
      <c r="D56" s="2">
        <v>2</v>
      </c>
      <c r="H56" t="s">
        <v>33</v>
      </c>
      <c r="M56" s="2">
        <v>0</v>
      </c>
    </row>
    <row r="57" spans="1:13" ht="12">
      <c r="A57" t="s">
        <v>34</v>
      </c>
      <c r="D57" s="2">
        <v>0</v>
      </c>
      <c r="H57" t="s">
        <v>34</v>
      </c>
      <c r="M57" s="2">
        <v>0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0</v>
      </c>
      <c r="H59" t="s">
        <v>36</v>
      </c>
      <c r="M59" s="2">
        <v>1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6" ht="12">
      <c r="A62" t="s">
        <v>38</v>
      </c>
      <c r="D62" s="2">
        <v>7</v>
      </c>
      <c r="H62" t="s">
        <v>38</v>
      </c>
      <c r="M62" s="2">
        <v>29</v>
      </c>
      <c r="P62" t="s">
        <v>107</v>
      </c>
    </row>
    <row r="63" spans="1:13" ht="12">
      <c r="A63" t="s">
        <v>39</v>
      </c>
      <c r="D63" s="2">
        <v>1</v>
      </c>
      <c r="H63" t="s">
        <v>39</v>
      </c>
      <c r="M63" s="2">
        <v>2</v>
      </c>
    </row>
    <row r="64" spans="1:13" ht="12">
      <c r="A64" t="s">
        <v>40</v>
      </c>
      <c r="D64" s="2">
        <v>1</v>
      </c>
      <c r="H64" t="s">
        <v>40</v>
      </c>
      <c r="M64" s="2">
        <v>2</v>
      </c>
    </row>
    <row r="65" spans="1:13" ht="12">
      <c r="A65" t="s">
        <v>41</v>
      </c>
      <c r="D65" s="2">
        <v>0</v>
      </c>
      <c r="H65" t="s">
        <v>41</v>
      </c>
      <c r="M65" s="2">
        <v>0</v>
      </c>
    </row>
    <row r="66" spans="1:13" ht="12">
      <c r="A66" t="s">
        <v>42</v>
      </c>
      <c r="D66" s="2">
        <v>0</v>
      </c>
      <c r="H66" t="s">
        <v>42</v>
      </c>
      <c r="M66" s="2">
        <v>0</v>
      </c>
    </row>
    <row r="67" spans="1:13" ht="12">
      <c r="A67" t="s">
        <v>43</v>
      </c>
      <c r="D67" s="2">
        <v>1</v>
      </c>
      <c r="H67" t="s">
        <v>43</v>
      </c>
      <c r="M67" s="2">
        <v>2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0</v>
      </c>
      <c r="H69" t="s">
        <v>45</v>
      </c>
      <c r="M69" s="2">
        <v>5</v>
      </c>
    </row>
    <row r="70" spans="1:13" ht="12">
      <c r="A70" t="s">
        <v>46</v>
      </c>
      <c r="D70" s="2">
        <v>0</v>
      </c>
      <c r="H70" t="s">
        <v>46</v>
      </c>
      <c r="M70" s="2">
        <v>6</v>
      </c>
    </row>
    <row r="71" spans="1:13" ht="12">
      <c r="A71" t="s">
        <v>47</v>
      </c>
      <c r="D71" s="8" t="e">
        <f>+D69/D70*100</f>
        <v>#DIV/0!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83.33333333333334</v>
      </c>
    </row>
    <row r="72" spans="1:13" ht="12">
      <c r="A72" t="s">
        <v>93</v>
      </c>
      <c r="D72" s="10" t="str">
        <f>IF(V24&lt;10,V28,V27)</f>
        <v>22:54</v>
      </c>
      <c r="E72" s="8"/>
      <c r="F72" s="8"/>
      <c r="H72" t="s">
        <v>93</v>
      </c>
      <c r="M72" s="10" t="str">
        <f>IF(W24&lt;10,W28,W27)</f>
        <v>37:06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8" ht="12">
      <c r="A77" t="s">
        <v>113</v>
      </c>
      <c r="C77">
        <v>11</v>
      </c>
      <c r="D77">
        <v>54</v>
      </c>
      <c r="E77" s="12">
        <f>+D77/C77</f>
        <v>4.909090909090909</v>
      </c>
      <c r="F77">
        <v>18</v>
      </c>
      <c r="H77">
        <v>1</v>
      </c>
    </row>
    <row r="78" spans="1:6" ht="12">
      <c r="A78" t="s">
        <v>114</v>
      </c>
      <c r="C78">
        <v>3</v>
      </c>
      <c r="D78">
        <v>17</v>
      </c>
      <c r="E78" s="12">
        <f>+D78/C78</f>
        <v>5.666666666666667</v>
      </c>
      <c r="F78">
        <v>9</v>
      </c>
    </row>
    <row r="79" spans="1:7" ht="12">
      <c r="A79" t="s">
        <v>115</v>
      </c>
      <c r="C79">
        <v>1</v>
      </c>
      <c r="D79">
        <v>1</v>
      </c>
      <c r="E79" s="12">
        <f aca="true" t="shared" si="0" ref="E79:E85">+D79/C79</f>
        <v>1</v>
      </c>
      <c r="F79">
        <v>1</v>
      </c>
      <c r="G79">
        <v>1</v>
      </c>
    </row>
    <row r="80" spans="1:5" ht="12">
      <c r="A80" t="s">
        <v>116</v>
      </c>
      <c r="E80" s="12" t="e">
        <f t="shared" si="0"/>
        <v>#DIV/0!</v>
      </c>
    </row>
    <row r="81" spans="1:6" ht="12">
      <c r="A81" t="s">
        <v>117</v>
      </c>
      <c r="C81">
        <v>2</v>
      </c>
      <c r="D81">
        <v>5</v>
      </c>
      <c r="E81" s="12">
        <f t="shared" si="0"/>
        <v>2.5</v>
      </c>
      <c r="F81">
        <v>4</v>
      </c>
    </row>
    <row r="82" spans="1:6" ht="12">
      <c r="A82" t="s">
        <v>118</v>
      </c>
      <c r="C82">
        <v>1</v>
      </c>
      <c r="D82">
        <v>8</v>
      </c>
      <c r="E82" s="12">
        <f t="shared" si="0"/>
        <v>8</v>
      </c>
      <c r="F82">
        <v>8</v>
      </c>
    </row>
    <row r="83" spans="1:6" ht="12">
      <c r="A83" t="s">
        <v>119</v>
      </c>
      <c r="C83">
        <v>1</v>
      </c>
      <c r="D83">
        <v>1</v>
      </c>
      <c r="E83" s="12">
        <f t="shared" si="0"/>
        <v>1</v>
      </c>
      <c r="F83">
        <v>1</v>
      </c>
    </row>
    <row r="84" spans="1:5" ht="12">
      <c r="A84" t="s">
        <v>120</v>
      </c>
      <c r="E84" s="12" t="e">
        <f t="shared" si="0"/>
        <v>#DIV/0!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6" ht="12">
      <c r="A87" t="s">
        <v>123</v>
      </c>
      <c r="C87">
        <v>4</v>
      </c>
      <c r="D87">
        <v>15</v>
      </c>
      <c r="E87" s="12">
        <f>+D87/C87</f>
        <v>3.75</v>
      </c>
      <c r="F87">
        <v>14</v>
      </c>
    </row>
    <row r="88" spans="1:5" ht="12">
      <c r="A88" t="s">
        <v>124</v>
      </c>
      <c r="E88" s="8"/>
    </row>
    <row r="89" spans="1:6" ht="12">
      <c r="A89" t="s">
        <v>125</v>
      </c>
      <c r="C89">
        <v>2</v>
      </c>
      <c r="D89">
        <v>25</v>
      </c>
      <c r="E89" s="8"/>
      <c r="F89">
        <v>23</v>
      </c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5" ht="12">
      <c r="A94" t="s">
        <v>113</v>
      </c>
      <c r="E94" s="12" t="e">
        <f t="shared" si="1"/>
        <v>#DIV/0!</v>
      </c>
    </row>
    <row r="95" spans="1:6" ht="12">
      <c r="A95" t="s">
        <v>114</v>
      </c>
      <c r="C95">
        <v>1</v>
      </c>
      <c r="D95">
        <v>4</v>
      </c>
      <c r="E95" s="12">
        <f t="shared" si="1"/>
        <v>4</v>
      </c>
      <c r="F95">
        <v>4</v>
      </c>
    </row>
    <row r="96" spans="1:6" ht="12">
      <c r="A96" t="s">
        <v>115</v>
      </c>
      <c r="C96">
        <v>1</v>
      </c>
      <c r="D96">
        <v>6</v>
      </c>
      <c r="E96" s="12">
        <f t="shared" si="1"/>
        <v>6</v>
      </c>
      <c r="F96">
        <v>6</v>
      </c>
    </row>
    <row r="97" spans="1:5" ht="12">
      <c r="A97" t="s">
        <v>117</v>
      </c>
      <c r="E97" s="12" t="e">
        <f t="shared" si="1"/>
        <v>#DIV/0!</v>
      </c>
    </row>
    <row r="98" spans="1:5" ht="12">
      <c r="A98" t="s">
        <v>128</v>
      </c>
      <c r="E98" s="12" t="e">
        <f t="shared" si="1"/>
        <v>#DIV/0!</v>
      </c>
    </row>
    <row r="99" spans="1:6" ht="12">
      <c r="A99" t="s">
        <v>119</v>
      </c>
      <c r="C99">
        <v>1</v>
      </c>
      <c r="D99">
        <v>33</v>
      </c>
      <c r="E99" s="12">
        <f t="shared" si="1"/>
        <v>33</v>
      </c>
      <c r="F99">
        <v>33</v>
      </c>
    </row>
    <row r="100" spans="1:6" ht="12">
      <c r="A100" t="s">
        <v>120</v>
      </c>
      <c r="C100">
        <v>4</v>
      </c>
      <c r="D100">
        <v>75</v>
      </c>
      <c r="E100" s="12">
        <f t="shared" si="1"/>
        <v>18.75</v>
      </c>
      <c r="F100">
        <v>27</v>
      </c>
    </row>
    <row r="101" spans="1:6" ht="12">
      <c r="A101" t="s">
        <v>129</v>
      </c>
      <c r="C101">
        <v>1</v>
      </c>
      <c r="D101">
        <v>4</v>
      </c>
      <c r="E101" s="12">
        <f t="shared" si="1"/>
        <v>4</v>
      </c>
      <c r="F101">
        <v>4</v>
      </c>
    </row>
    <row r="102" spans="1:5" ht="12">
      <c r="A102" t="s">
        <v>130</v>
      </c>
      <c r="E102" s="12" t="e">
        <f t="shared" si="1"/>
        <v>#DIV/0!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5" ht="12">
      <c r="A105" t="s">
        <v>132</v>
      </c>
      <c r="E105" s="12" t="e">
        <f>+D105/C105</f>
        <v>#DIV/0!</v>
      </c>
    </row>
    <row r="106" spans="1:6" ht="12">
      <c r="A106" t="s">
        <v>123</v>
      </c>
      <c r="C106">
        <v>1</v>
      </c>
      <c r="D106">
        <v>2</v>
      </c>
      <c r="E106" s="12"/>
      <c r="F106">
        <v>2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C113">
        <v>4</v>
      </c>
      <c r="D113">
        <v>3</v>
      </c>
      <c r="E113" s="12">
        <f aca="true" t="shared" si="2" ref="E113:E118">+D113/C113*100</f>
        <v>75</v>
      </c>
      <c r="F113">
        <v>41</v>
      </c>
      <c r="H113">
        <v>33</v>
      </c>
      <c r="J113" s="8">
        <f>+G113/C113*100</f>
        <v>0</v>
      </c>
      <c r="K113" s="12">
        <f aca="true" t="shared" si="3" ref="K113:K118">+I113/C113*100</f>
        <v>0</v>
      </c>
      <c r="L113" s="12">
        <f aca="true" t="shared" si="4" ref="L113:L118">+F113/C113</f>
        <v>10.25</v>
      </c>
      <c r="M113" s="12">
        <f aca="true" t="shared" si="5" ref="M113:M118">100*(S113+U113+W113+Y113)/6</f>
        <v>107.29166666666667</v>
      </c>
      <c r="O113">
        <v>1</v>
      </c>
      <c r="R113">
        <f aca="true" t="shared" si="6" ref="R113:R118">+(E113-30)/20</f>
        <v>2.25</v>
      </c>
      <c r="S113" s="2">
        <f aca="true" t="shared" si="7" ref="S113:S118">IF(R113&lt;0,0,R113)</f>
        <v>2.25</v>
      </c>
      <c r="T113" s="6">
        <f aca="true" t="shared" si="8" ref="T113:T118">+(L113-3)/4</f>
        <v>1.8125</v>
      </c>
      <c r="U113" s="2">
        <f aca="true" t="shared" si="9" ref="U113:U118">IF(T113&lt;0,0,T113)</f>
        <v>1.8125</v>
      </c>
      <c r="V113">
        <f aca="true" t="shared" si="10" ref="V113:V118">+J113/5</f>
        <v>0</v>
      </c>
      <c r="W113" s="2">
        <f aca="true" t="shared" si="11" ref="W113:W118">IF(V113&lt;0,0,V113)</f>
        <v>0</v>
      </c>
      <c r="X113">
        <f aca="true" t="shared" si="12" ref="X113:X118">(9.5-K113)/4</f>
        <v>2.375</v>
      </c>
      <c r="Y113" s="2">
        <f aca="true" t="shared" si="13" ref="Y113:Y118">IF(X113&lt;0,0,X113)</f>
        <v>2.375</v>
      </c>
    </row>
    <row r="114" spans="1:25" ht="12">
      <c r="A114" t="s">
        <v>118</v>
      </c>
      <c r="C114">
        <v>3</v>
      </c>
      <c r="D114">
        <v>1</v>
      </c>
      <c r="E114" s="12">
        <f t="shared" si="2"/>
        <v>33.33333333333333</v>
      </c>
      <c r="F114">
        <v>27</v>
      </c>
      <c r="H114">
        <v>27</v>
      </c>
      <c r="I114">
        <v>1</v>
      </c>
      <c r="J114" s="8">
        <f>+G114/C114*100</f>
        <v>0</v>
      </c>
      <c r="K114" s="12">
        <f t="shared" si="3"/>
        <v>33.33333333333333</v>
      </c>
      <c r="L114" s="12">
        <f t="shared" si="4"/>
        <v>9</v>
      </c>
      <c r="M114" s="12">
        <f t="shared" si="5"/>
        <v>27.777777777777775</v>
      </c>
      <c r="R114">
        <f t="shared" si="6"/>
        <v>0.16666666666666644</v>
      </c>
      <c r="S114" s="2">
        <f t="shared" si="7"/>
        <v>0.16666666666666644</v>
      </c>
      <c r="T114" s="6">
        <f t="shared" si="8"/>
        <v>1.5</v>
      </c>
      <c r="U114" s="2">
        <f t="shared" si="9"/>
        <v>1.5</v>
      </c>
      <c r="V114">
        <f t="shared" si="10"/>
        <v>0</v>
      </c>
      <c r="W114" s="2">
        <f t="shared" si="11"/>
        <v>0</v>
      </c>
      <c r="X114">
        <f t="shared" si="12"/>
        <v>-5.958333333333332</v>
      </c>
      <c r="Y114" s="2">
        <f t="shared" si="13"/>
        <v>0</v>
      </c>
    </row>
    <row r="115" spans="1:25" ht="12">
      <c r="A115" t="s">
        <v>120</v>
      </c>
      <c r="E115" s="12" t="e">
        <f t="shared" si="2"/>
        <v>#DIV/0!</v>
      </c>
      <c r="J115" s="8"/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>
        <f t="shared" si="10"/>
        <v>0</v>
      </c>
      <c r="W115" s="2">
        <f t="shared" si="11"/>
        <v>0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/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>
        <f t="shared" si="10"/>
        <v>0</v>
      </c>
      <c r="W116" s="2">
        <f t="shared" si="11"/>
        <v>0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C117">
        <v>20</v>
      </c>
      <c r="D117">
        <v>5</v>
      </c>
      <c r="E117" s="12">
        <f t="shared" si="2"/>
        <v>25</v>
      </c>
      <c r="F117">
        <v>56</v>
      </c>
      <c r="H117">
        <v>23</v>
      </c>
      <c r="I117">
        <v>2</v>
      </c>
      <c r="J117" s="8"/>
      <c r="K117" s="12">
        <f t="shared" si="3"/>
        <v>10</v>
      </c>
      <c r="L117" s="12">
        <f t="shared" si="4"/>
        <v>2.8</v>
      </c>
      <c r="M117" s="12">
        <f t="shared" si="5"/>
        <v>0</v>
      </c>
      <c r="R117">
        <f t="shared" si="6"/>
        <v>-0.25</v>
      </c>
      <c r="S117" s="2">
        <f t="shared" si="7"/>
        <v>0</v>
      </c>
      <c r="T117" s="6">
        <f t="shared" si="8"/>
        <v>-0.050000000000000044</v>
      </c>
      <c r="U117" s="2">
        <f t="shared" si="9"/>
        <v>0</v>
      </c>
      <c r="V117">
        <f t="shared" si="10"/>
        <v>0</v>
      </c>
      <c r="W117" s="2">
        <f t="shared" si="11"/>
        <v>0</v>
      </c>
      <c r="X117">
        <f t="shared" si="12"/>
        <v>-0.125</v>
      </c>
      <c r="Y117" s="2">
        <f t="shared" si="13"/>
        <v>0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1</v>
      </c>
      <c r="E121">
        <v>28</v>
      </c>
      <c r="F121" s="12">
        <f aca="true" t="shared" si="14" ref="F121:F126">+E121/C121</f>
        <v>28</v>
      </c>
      <c r="G121">
        <v>28</v>
      </c>
    </row>
    <row r="122" spans="1:6" ht="12">
      <c r="A122" t="s">
        <v>134</v>
      </c>
      <c r="F122" s="12" t="e">
        <f t="shared" si="14"/>
        <v>#DIV/0!</v>
      </c>
    </row>
    <row r="123" spans="1:7" ht="12">
      <c r="A123" t="s">
        <v>135</v>
      </c>
      <c r="C123">
        <v>1</v>
      </c>
      <c r="D123">
        <v>1</v>
      </c>
      <c r="E123">
        <v>0</v>
      </c>
      <c r="F123" s="12">
        <f t="shared" si="14"/>
        <v>0</v>
      </c>
      <c r="G123">
        <v>0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6" ht="12">
      <c r="A132" t="s">
        <v>137</v>
      </c>
      <c r="C132">
        <v>1</v>
      </c>
      <c r="D132">
        <v>13</v>
      </c>
      <c r="E132" s="12">
        <f t="shared" si="15"/>
        <v>13</v>
      </c>
      <c r="F132">
        <v>13</v>
      </c>
    </row>
    <row r="133" spans="1:5" ht="12">
      <c r="A133" t="s">
        <v>116</v>
      </c>
      <c r="E133" s="12" t="e">
        <f t="shared" si="15"/>
        <v>#DIV/0!</v>
      </c>
    </row>
    <row r="134" spans="1:5" ht="12">
      <c r="A134" t="s">
        <v>128</v>
      </c>
      <c r="E134" s="12" t="e">
        <f t="shared" si="15"/>
        <v>#DIV/0!</v>
      </c>
    </row>
    <row r="135" spans="1:6" ht="12">
      <c r="A135" t="s">
        <v>134</v>
      </c>
      <c r="C135">
        <v>1</v>
      </c>
      <c r="D135">
        <v>9</v>
      </c>
      <c r="E135" s="12">
        <f t="shared" si="15"/>
        <v>9</v>
      </c>
      <c r="F135">
        <v>9</v>
      </c>
    </row>
    <row r="136" spans="1:5" ht="12">
      <c r="A136" t="s">
        <v>119</v>
      </c>
      <c r="E136" s="12" t="e">
        <f t="shared" si="15"/>
        <v>#DIV/0!</v>
      </c>
    </row>
    <row r="137" spans="1:8" ht="12">
      <c r="A137" t="s">
        <v>135</v>
      </c>
      <c r="C137">
        <v>3</v>
      </c>
      <c r="D137">
        <f>10+11+17</f>
        <v>38</v>
      </c>
      <c r="E137" s="12">
        <f>+D137/C137</f>
        <v>12.666666666666666</v>
      </c>
      <c r="F137">
        <v>17</v>
      </c>
      <c r="H137">
        <v>1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7</v>
      </c>
      <c r="D143">
        <f>55+40+34+41+34+39+33</f>
        <v>276</v>
      </c>
      <c r="F143">
        <v>55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9" ht="12">
      <c r="A151" t="s">
        <v>140</v>
      </c>
      <c r="C151">
        <v>2</v>
      </c>
      <c r="D151">
        <v>2</v>
      </c>
      <c r="E151">
        <v>1</v>
      </c>
      <c r="F151">
        <v>1</v>
      </c>
      <c r="I151" s="12" t="e">
        <f>+H151/G151*100</f>
        <v>#DIV/0!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5" ht="12">
      <c r="A158" t="s">
        <v>143</v>
      </c>
      <c r="E158" s="12" t="e">
        <f t="shared" si="16"/>
        <v>#DIV/0!</v>
      </c>
    </row>
    <row r="159" spans="1:5" ht="12">
      <c r="A159" t="s">
        <v>144</v>
      </c>
      <c r="C159">
        <v>1</v>
      </c>
      <c r="E159" s="12">
        <f t="shared" si="16"/>
        <v>0</v>
      </c>
    </row>
    <row r="160" spans="1:5" ht="12">
      <c r="A160" t="s">
        <v>145</v>
      </c>
      <c r="E160" s="12" t="e">
        <f t="shared" si="16"/>
        <v>#DIV/0!</v>
      </c>
    </row>
    <row r="161" spans="1:5" ht="12">
      <c r="A161" t="s">
        <v>146</v>
      </c>
      <c r="E161" s="12" t="e">
        <f t="shared" si="16"/>
        <v>#DIV/0!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/>
      <c r="D172" s="3"/>
    </row>
    <row r="173" spans="1:4" ht="12">
      <c r="A173" t="s">
        <v>148</v>
      </c>
      <c r="C173" s="3"/>
      <c r="D173" s="3"/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/>
      <c r="D176" s="3"/>
    </row>
    <row r="177" spans="1:4" ht="12">
      <c r="A177" t="s">
        <v>151</v>
      </c>
      <c r="C177" s="3"/>
      <c r="D177" s="3"/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ht="12">
      <c r="A241" t="s">
        <v>151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M10" sqref="M10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20</v>
      </c>
      <c r="H6" s="1" t="s">
        <v>29</v>
      </c>
      <c r="M6" s="2">
        <v>23</v>
      </c>
    </row>
    <row r="7" spans="1:13" ht="12">
      <c r="A7" s="18" t="s">
        <v>95</v>
      </c>
      <c r="D7" s="2">
        <v>8</v>
      </c>
      <c r="H7" s="18" t="s">
        <v>95</v>
      </c>
      <c r="M7" s="2">
        <v>13</v>
      </c>
    </row>
    <row r="8" spans="1:13" ht="12">
      <c r="A8" s="18" t="s">
        <v>96</v>
      </c>
      <c r="D8" s="2">
        <v>10</v>
      </c>
      <c r="H8" s="18" t="s">
        <v>96</v>
      </c>
      <c r="M8" s="2">
        <v>8</v>
      </c>
    </row>
    <row r="9" spans="1:13" ht="12">
      <c r="A9" s="18" t="s">
        <v>97</v>
      </c>
      <c r="D9" s="2">
        <v>2</v>
      </c>
      <c r="H9" s="18" t="s">
        <v>97</v>
      </c>
      <c r="M9" s="2">
        <v>2</v>
      </c>
    </row>
    <row r="10" spans="1:14" ht="12">
      <c r="A10" s="21" t="s">
        <v>168</v>
      </c>
      <c r="C10">
        <v>6</v>
      </c>
      <c r="D10" s="2">
        <v>14</v>
      </c>
      <c r="E10" s="22">
        <f>+C10/D10</f>
        <v>0.42857142857142855</v>
      </c>
      <c r="H10" s="21" t="s">
        <v>168</v>
      </c>
      <c r="L10">
        <v>1</v>
      </c>
      <c r="M10" s="2">
        <v>7</v>
      </c>
      <c r="N10" s="22">
        <f>+L10/M10</f>
        <v>0.14285714285714285</v>
      </c>
    </row>
    <row r="12" spans="1:23" ht="12">
      <c r="A12" t="s">
        <v>1</v>
      </c>
      <c r="D12" s="2">
        <f>13+3+2+3+3+1+4</f>
        <v>29</v>
      </c>
      <c r="H12" t="s">
        <v>1</v>
      </c>
      <c r="M12" s="2">
        <f>13+8+3+8+1</f>
        <v>33</v>
      </c>
      <c r="V12">
        <f>+D12</f>
        <v>29</v>
      </c>
      <c r="W12">
        <f>+M12</f>
        <v>33</v>
      </c>
    </row>
    <row r="13" spans="1:23" ht="12">
      <c r="A13" t="s">
        <v>2</v>
      </c>
      <c r="D13" s="2">
        <f>69+6+6+13+14-1+48</f>
        <v>155</v>
      </c>
      <c r="H13" t="s">
        <v>2</v>
      </c>
      <c r="M13" s="2">
        <f>52+45+9+37+3</f>
        <v>146</v>
      </c>
      <c r="U13" s="13"/>
      <c r="V13">
        <f>+D17</f>
        <v>23</v>
      </c>
      <c r="W13">
        <f>+M17</f>
        <v>16</v>
      </c>
    </row>
    <row r="14" spans="1:23" ht="12">
      <c r="A14" s="1" t="s">
        <v>3</v>
      </c>
      <c r="D14" s="8">
        <f>+D13/D12</f>
        <v>5.344827586206897</v>
      </c>
      <c r="H14" s="1" t="s">
        <v>3</v>
      </c>
      <c r="M14" s="8">
        <f>+M13/M12</f>
        <v>4.424242424242424</v>
      </c>
      <c r="V14">
        <f>+(D16-D17)/2</f>
        <v>7</v>
      </c>
      <c r="W14">
        <f>+(M16-M17)/2</f>
        <v>3.5</v>
      </c>
    </row>
    <row r="15" spans="22:23" ht="12">
      <c r="V15">
        <f>+D39/2</f>
        <v>3</v>
      </c>
      <c r="W15">
        <f>+M39/2</f>
        <v>3</v>
      </c>
    </row>
    <row r="16" spans="1:23" ht="12">
      <c r="A16" t="s">
        <v>4</v>
      </c>
      <c r="D16" s="2">
        <v>37</v>
      </c>
      <c r="H16" t="s">
        <v>4</v>
      </c>
      <c r="M16" s="2">
        <v>23</v>
      </c>
      <c r="V16">
        <f>+D43/2</f>
        <v>2.5</v>
      </c>
      <c r="W16">
        <f>+M43/2</f>
        <v>2.5</v>
      </c>
    </row>
    <row r="17" spans="1:23" ht="12">
      <c r="A17" t="s">
        <v>5</v>
      </c>
      <c r="D17" s="2">
        <v>23</v>
      </c>
      <c r="H17" t="s">
        <v>5</v>
      </c>
      <c r="M17" s="2">
        <v>16</v>
      </c>
      <c r="V17">
        <f>+D48/2</f>
        <v>1.5</v>
      </c>
      <c r="W17">
        <f>+M48/2</f>
        <v>1.5</v>
      </c>
    </row>
    <row r="18" spans="1:13" ht="12">
      <c r="A18" t="s">
        <v>6</v>
      </c>
      <c r="D18" s="8">
        <f>+D17/D16*100</f>
        <v>62.16216216216216</v>
      </c>
      <c r="H18" t="s">
        <v>6</v>
      </c>
      <c r="M18" s="8">
        <f>+M17/M16*100</f>
        <v>69.56521739130434</v>
      </c>
    </row>
    <row r="19" spans="1:24" ht="12">
      <c r="A19" t="s">
        <v>7</v>
      </c>
      <c r="D19" s="2">
        <v>176</v>
      </c>
      <c r="H19" t="s">
        <v>7</v>
      </c>
      <c r="M19" s="2">
        <v>189</v>
      </c>
      <c r="V19">
        <f>SUM(V12:V17)</f>
        <v>66</v>
      </c>
      <c r="W19">
        <f>SUM(W12:W17)</f>
        <v>59.5</v>
      </c>
      <c r="X19">
        <f>+W19+V19</f>
        <v>125.5</v>
      </c>
    </row>
    <row r="20" spans="1:23" ht="12">
      <c r="A20" t="s">
        <v>8</v>
      </c>
      <c r="D20" s="2">
        <v>2</v>
      </c>
      <c r="H20" t="s">
        <v>8</v>
      </c>
      <c r="M20" s="2">
        <v>0</v>
      </c>
      <c r="V20">
        <f>+V19/X19</f>
        <v>0.5258964143426295</v>
      </c>
      <c r="W20">
        <f>+W19/X19</f>
        <v>0.47410358565737054</v>
      </c>
    </row>
    <row r="21" spans="1:23" ht="12">
      <c r="A21" t="s">
        <v>9</v>
      </c>
      <c r="D21" s="2">
        <v>13</v>
      </c>
      <c r="H21" t="s">
        <v>9</v>
      </c>
      <c r="M21" s="2">
        <v>0</v>
      </c>
      <c r="V21">
        <f>+V20*60</f>
        <v>31.55378486055777</v>
      </c>
      <c r="W21">
        <f>+W20*60</f>
        <v>28.44621513944223</v>
      </c>
    </row>
    <row r="22" spans="1:23" ht="12">
      <c r="A22" t="s">
        <v>10</v>
      </c>
      <c r="D22">
        <f>+D19-D21</f>
        <v>163</v>
      </c>
      <c r="H22" t="s">
        <v>10</v>
      </c>
      <c r="M22">
        <f>+M19-M21</f>
        <v>189</v>
      </c>
      <c r="V22">
        <f>+V21-INT(V21)</f>
        <v>0.5537848605577693</v>
      </c>
      <c r="W22">
        <f>+W21-INT(W21)</f>
        <v>0.4462151394422307</v>
      </c>
    </row>
    <row r="23" spans="1:23" ht="12">
      <c r="A23" t="s">
        <v>11</v>
      </c>
      <c r="D23" s="7">
        <f>+D22/(D16+D20)</f>
        <v>4.17948717948718</v>
      </c>
      <c r="H23" t="s">
        <v>11</v>
      </c>
      <c r="M23" s="7">
        <f>+M22/(M16+M20)</f>
        <v>8.217391304347826</v>
      </c>
      <c r="V23">
        <f>+V22*60</f>
        <v>33.22709163346616</v>
      </c>
      <c r="W23">
        <f>+W22*60</f>
        <v>26.77290836653384</v>
      </c>
    </row>
    <row r="24" spans="1:23" ht="12">
      <c r="A24" t="s">
        <v>12</v>
      </c>
      <c r="D24" s="7">
        <f>+D19/D17</f>
        <v>7.6521739130434785</v>
      </c>
      <c r="H24" t="s">
        <v>12</v>
      </c>
      <c r="M24" s="7">
        <f>+M19/M17</f>
        <v>11.8125</v>
      </c>
      <c r="U24">
        <v>0</v>
      </c>
      <c r="V24" s="11">
        <f>ROUND(V23,0)</f>
        <v>33</v>
      </c>
      <c r="W24">
        <f>ROUND(W23,0)</f>
        <v>27</v>
      </c>
    </row>
    <row r="25" spans="22:23" ht="12">
      <c r="V25">
        <f>INT(V21)</f>
        <v>31</v>
      </c>
      <c r="W25">
        <f>INT(W21)</f>
        <v>28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318</v>
      </c>
      <c r="H27" t="s">
        <v>14</v>
      </c>
      <c r="M27">
        <f>+M22+M13</f>
        <v>335</v>
      </c>
      <c r="V27" s="14" t="str">
        <f>+V25&amp;V26&amp;V24</f>
        <v>31:33</v>
      </c>
      <c r="W27" s="9" t="str">
        <f>+W25&amp;W26&amp;W24</f>
        <v>28:27</v>
      </c>
    </row>
    <row r="28" spans="1:23" ht="12">
      <c r="A28" t="s">
        <v>15</v>
      </c>
      <c r="D28" s="7">
        <f>+D13/D27*100</f>
        <v>48.742138364779876</v>
      </c>
      <c r="H28" t="s">
        <v>15</v>
      </c>
      <c r="M28" s="7">
        <f>+M13/M27*100</f>
        <v>43.582089552238806</v>
      </c>
      <c r="V28" s="9" t="str">
        <f>IF(V24&lt;10,+V25&amp;V26&amp;$U$24&amp;V24,+V25&amp;V26&amp;V24)</f>
        <v>31:33</v>
      </c>
      <c r="W28" s="9" t="str">
        <f>IF(W24&lt;10,+W25&amp;W26&amp;$U$24&amp;W24,+W25&amp;W26&amp;W24)</f>
        <v>28:27</v>
      </c>
    </row>
    <row r="29" spans="1:13" ht="12">
      <c r="A29" s="1" t="s">
        <v>90</v>
      </c>
      <c r="D29" s="7">
        <f>+D22/D27*100</f>
        <v>51.257861635220124</v>
      </c>
      <c r="H29" s="1" t="s">
        <v>90</v>
      </c>
      <c r="M29" s="7">
        <f>+M22/M27*100</f>
        <v>56.4179104477612</v>
      </c>
    </row>
    <row r="31" spans="1:13" ht="12">
      <c r="A31" t="s">
        <v>16</v>
      </c>
      <c r="D31">
        <f>+D12+D16+D20</f>
        <v>68</v>
      </c>
      <c r="H31" t="s">
        <v>16</v>
      </c>
      <c r="M31">
        <f>+M12+M16+M20</f>
        <v>56</v>
      </c>
    </row>
    <row r="32" spans="1:13" ht="12">
      <c r="A32" t="s">
        <v>17</v>
      </c>
      <c r="D32" s="8">
        <f>+D27/D31</f>
        <v>4.676470588235294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5.982142857142857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0</v>
      </c>
      <c r="H35" t="s">
        <v>19</v>
      </c>
      <c r="M35" s="2">
        <v>0</v>
      </c>
    </row>
    <row r="36" spans="1:13" ht="12">
      <c r="A36" t="s">
        <v>20</v>
      </c>
      <c r="D36" s="2">
        <v>0</v>
      </c>
      <c r="H36" t="s">
        <v>20</v>
      </c>
      <c r="M36" s="2">
        <v>0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6</v>
      </c>
      <c r="H39" t="s">
        <v>22</v>
      </c>
      <c r="M39" s="2">
        <v>6</v>
      </c>
    </row>
    <row r="40" spans="1:13" ht="12">
      <c r="A40" t="s">
        <v>23</v>
      </c>
      <c r="D40" s="2">
        <f>34+42+34+33+40+41</f>
        <v>224</v>
      </c>
      <c r="H40" t="s">
        <v>23</v>
      </c>
      <c r="M40" s="2">
        <f>40+49+54+54+45+41</f>
        <v>283</v>
      </c>
    </row>
    <row r="41" spans="1:13" ht="12">
      <c r="A41" t="s">
        <v>24</v>
      </c>
      <c r="D41" s="8">
        <f>+D40/D39</f>
        <v>37.333333333333336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47.166666666666664</v>
      </c>
    </row>
    <row r="43" spans="1:13" ht="12">
      <c r="A43" t="s">
        <v>25</v>
      </c>
      <c r="D43" s="2">
        <v>5</v>
      </c>
      <c r="H43" t="s">
        <v>25</v>
      </c>
      <c r="M43" s="2">
        <v>5</v>
      </c>
    </row>
    <row r="44" spans="1:13" ht="12">
      <c r="A44" t="s">
        <v>26</v>
      </c>
      <c r="D44" s="2">
        <f>31+0+14+2+4</f>
        <v>51</v>
      </c>
      <c r="H44" t="s">
        <v>26</v>
      </c>
      <c r="M44" s="2">
        <f>8+4+10-4+6</f>
        <v>24</v>
      </c>
    </row>
    <row r="45" spans="1:13" ht="12">
      <c r="A45" t="s">
        <v>27</v>
      </c>
      <c r="D45" s="8">
        <f>+D44/D43</f>
        <v>10.2</v>
      </c>
      <c r="H45" t="s">
        <v>27</v>
      </c>
      <c r="M45" s="8">
        <f>+M44/M43</f>
        <v>4.8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3</v>
      </c>
      <c r="H48" t="s">
        <v>30</v>
      </c>
      <c r="M48" s="2">
        <v>3</v>
      </c>
    </row>
    <row r="49" spans="1:13" ht="12">
      <c r="A49" t="s">
        <v>26</v>
      </c>
      <c r="D49" s="2">
        <f>19+10+20</f>
        <v>49</v>
      </c>
      <c r="H49" t="s">
        <v>26</v>
      </c>
      <c r="M49" s="2">
        <f>29+22+25</f>
        <v>76</v>
      </c>
    </row>
    <row r="50" spans="1:13" ht="12">
      <c r="A50" t="s">
        <v>27</v>
      </c>
      <c r="D50" s="8">
        <f>+D49/D48</f>
        <v>16.333333333333332</v>
      </c>
      <c r="H50" t="s">
        <v>27</v>
      </c>
      <c r="M50" s="8">
        <f>+M49/M48</f>
        <v>25.333333333333332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8</v>
      </c>
      <c r="H53" t="s">
        <v>31</v>
      </c>
      <c r="M53" s="2">
        <v>6</v>
      </c>
    </row>
    <row r="54" spans="1:13" ht="12">
      <c r="A54" t="s">
        <v>32</v>
      </c>
      <c r="D54" s="2">
        <v>56</v>
      </c>
      <c r="H54" t="s">
        <v>32</v>
      </c>
      <c r="M54" s="2">
        <v>54</v>
      </c>
    </row>
    <row r="56" spans="1:13" ht="12">
      <c r="A56" t="s">
        <v>33</v>
      </c>
      <c r="D56" s="2">
        <v>0</v>
      </c>
      <c r="H56" t="s">
        <v>33</v>
      </c>
      <c r="M56" s="2">
        <v>0</v>
      </c>
    </row>
    <row r="57" spans="1:13" ht="12">
      <c r="A57" t="s">
        <v>34</v>
      </c>
      <c r="D57" s="2">
        <v>0</v>
      </c>
      <c r="H57" t="s">
        <v>34</v>
      </c>
      <c r="M57" s="2">
        <v>0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0</v>
      </c>
      <c r="H59" t="s">
        <v>36</v>
      </c>
      <c r="M59" s="2">
        <v>0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3" ht="12">
      <c r="A62" t="s">
        <v>38</v>
      </c>
      <c r="D62" s="2">
        <v>20</v>
      </c>
      <c r="H62" t="s">
        <v>38</v>
      </c>
      <c r="M62" s="2">
        <v>30</v>
      </c>
    </row>
    <row r="63" spans="1:13" ht="12">
      <c r="A63" t="s">
        <v>39</v>
      </c>
      <c r="D63" s="2">
        <v>2</v>
      </c>
      <c r="H63" t="s">
        <v>39</v>
      </c>
      <c r="M63" s="2">
        <v>4</v>
      </c>
    </row>
    <row r="64" spans="1:13" ht="12">
      <c r="A64" t="s">
        <v>40</v>
      </c>
      <c r="D64" s="2">
        <v>1</v>
      </c>
      <c r="H64" t="s">
        <v>40</v>
      </c>
      <c r="M64" s="2">
        <v>4</v>
      </c>
    </row>
    <row r="65" spans="1:13" ht="12">
      <c r="A65" t="s">
        <v>41</v>
      </c>
      <c r="D65" s="2">
        <v>1</v>
      </c>
      <c r="H65" t="s">
        <v>41</v>
      </c>
      <c r="M65" s="2">
        <v>0</v>
      </c>
    </row>
    <row r="66" spans="1:13" ht="12">
      <c r="A66" t="s">
        <v>42</v>
      </c>
      <c r="D66" s="2">
        <v>0</v>
      </c>
      <c r="H66" t="s">
        <v>42</v>
      </c>
      <c r="M66" s="2">
        <v>0</v>
      </c>
    </row>
    <row r="67" spans="1:13" ht="12">
      <c r="A67" t="s">
        <v>43</v>
      </c>
      <c r="D67" s="2">
        <v>2</v>
      </c>
      <c r="H67" t="s">
        <v>43</v>
      </c>
      <c r="M67" s="2">
        <v>3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2</v>
      </c>
      <c r="H69" t="s">
        <v>45</v>
      </c>
      <c r="M69" s="2">
        <v>1</v>
      </c>
    </row>
    <row r="70" spans="1:13" ht="12">
      <c r="A70" t="s">
        <v>46</v>
      </c>
      <c r="D70" s="2">
        <v>2</v>
      </c>
      <c r="H70" t="s">
        <v>46</v>
      </c>
      <c r="M70" s="2">
        <v>1</v>
      </c>
    </row>
    <row r="71" spans="1:13" ht="12">
      <c r="A71" t="s">
        <v>47</v>
      </c>
      <c r="D71" s="8">
        <f>+D69/D70*100</f>
        <v>100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100</v>
      </c>
    </row>
    <row r="72" spans="1:13" ht="12">
      <c r="A72" t="s">
        <v>93</v>
      </c>
      <c r="D72" s="10" t="str">
        <f>IF(V24&lt;10,V28,V27)</f>
        <v>31:33</v>
      </c>
      <c r="E72" s="8"/>
      <c r="F72" s="8"/>
      <c r="H72" t="s">
        <v>93</v>
      </c>
      <c r="M72" s="10" t="str">
        <f>IF(W24&lt;10,W28,W27)</f>
        <v>28:27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7" ht="12">
      <c r="A77" t="s">
        <v>113</v>
      </c>
      <c r="C77">
        <v>13</v>
      </c>
      <c r="D77">
        <v>69</v>
      </c>
      <c r="E77" s="12">
        <f>+D77/C77</f>
        <v>5.3076923076923075</v>
      </c>
      <c r="F77">
        <v>19</v>
      </c>
      <c r="G77">
        <v>1</v>
      </c>
    </row>
    <row r="78" spans="1:6" ht="12">
      <c r="A78" t="s">
        <v>114</v>
      </c>
      <c r="C78">
        <v>2</v>
      </c>
      <c r="D78">
        <v>6</v>
      </c>
      <c r="E78" s="12">
        <f>+D78/C78</f>
        <v>3</v>
      </c>
      <c r="F78">
        <v>4</v>
      </c>
    </row>
    <row r="79" spans="1:6" ht="12">
      <c r="A79" t="s">
        <v>115</v>
      </c>
      <c r="C79">
        <v>3</v>
      </c>
      <c r="D79">
        <v>13</v>
      </c>
      <c r="E79" s="12">
        <f aca="true" t="shared" si="0" ref="E79:E85">+D79/C79</f>
        <v>4.333333333333333</v>
      </c>
      <c r="F79">
        <v>12</v>
      </c>
    </row>
    <row r="80" spans="1:5" ht="12">
      <c r="A80" t="s">
        <v>116</v>
      </c>
      <c r="E80" s="12" t="e">
        <f t="shared" si="0"/>
        <v>#DIV/0!</v>
      </c>
    </row>
    <row r="81" spans="1:6" ht="12">
      <c r="A81" t="s">
        <v>117</v>
      </c>
      <c r="C81">
        <v>3</v>
      </c>
      <c r="D81">
        <v>14</v>
      </c>
      <c r="E81" s="12">
        <f t="shared" si="0"/>
        <v>4.666666666666667</v>
      </c>
      <c r="F81">
        <v>6</v>
      </c>
    </row>
    <row r="82" spans="1:5" ht="12">
      <c r="A82" t="s">
        <v>118</v>
      </c>
      <c r="E82" s="12" t="e">
        <f t="shared" si="0"/>
        <v>#DIV/0!</v>
      </c>
    </row>
    <row r="83" spans="1:6" ht="12">
      <c r="A83" t="s">
        <v>119</v>
      </c>
      <c r="C83">
        <v>1</v>
      </c>
      <c r="D83">
        <v>-1</v>
      </c>
      <c r="E83" s="12">
        <f t="shared" si="0"/>
        <v>-1</v>
      </c>
      <c r="F83">
        <v>-1</v>
      </c>
    </row>
    <row r="84" spans="1:5" ht="12">
      <c r="A84" t="s">
        <v>120</v>
      </c>
      <c r="E84" s="12" t="e">
        <f t="shared" si="0"/>
        <v>#DIV/0!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6" ht="12">
      <c r="A87" t="s">
        <v>123</v>
      </c>
      <c r="C87">
        <v>3</v>
      </c>
      <c r="D87">
        <v>6</v>
      </c>
      <c r="E87" s="12">
        <f>+D87/C87</f>
        <v>2</v>
      </c>
      <c r="F87">
        <v>3</v>
      </c>
    </row>
    <row r="88" spans="1:5" ht="12">
      <c r="A88" t="s">
        <v>124</v>
      </c>
      <c r="E88" s="8"/>
    </row>
    <row r="89" spans="1:6" ht="12">
      <c r="A89" t="s">
        <v>125</v>
      </c>
      <c r="C89">
        <v>4</v>
      </c>
      <c r="D89">
        <v>48</v>
      </c>
      <c r="E89" s="8"/>
      <c r="F89">
        <v>21</v>
      </c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6" ht="12">
      <c r="A94" t="s">
        <v>113</v>
      </c>
      <c r="C94">
        <v>1</v>
      </c>
      <c r="D94">
        <v>12</v>
      </c>
      <c r="E94" s="12">
        <f t="shared" si="1"/>
        <v>12</v>
      </c>
      <c r="F94">
        <v>12</v>
      </c>
    </row>
    <row r="95" spans="1:7" ht="12">
      <c r="A95" t="s">
        <v>114</v>
      </c>
      <c r="C95">
        <v>3</v>
      </c>
      <c r="D95">
        <v>32</v>
      </c>
      <c r="E95" s="12">
        <f t="shared" si="1"/>
        <v>10.666666666666666</v>
      </c>
      <c r="F95">
        <v>19</v>
      </c>
      <c r="G95">
        <v>1</v>
      </c>
    </row>
    <row r="96" spans="1:6" ht="12">
      <c r="A96" t="s">
        <v>115</v>
      </c>
      <c r="C96">
        <v>4</v>
      </c>
      <c r="D96">
        <v>20</v>
      </c>
      <c r="E96" s="12">
        <f t="shared" si="1"/>
        <v>5</v>
      </c>
      <c r="F96">
        <v>15</v>
      </c>
    </row>
    <row r="97" spans="1:5" ht="12">
      <c r="A97" t="s">
        <v>117</v>
      </c>
      <c r="E97" s="12" t="e">
        <f t="shared" si="1"/>
        <v>#DIV/0!</v>
      </c>
    </row>
    <row r="98" spans="1:5" ht="12">
      <c r="A98" t="s">
        <v>128</v>
      </c>
      <c r="E98" s="12" t="e">
        <f t="shared" si="1"/>
        <v>#DIV/0!</v>
      </c>
    </row>
    <row r="99" spans="1:6" ht="12">
      <c r="A99" t="s">
        <v>119</v>
      </c>
      <c r="C99">
        <v>1</v>
      </c>
      <c r="D99">
        <v>1</v>
      </c>
      <c r="E99" s="12">
        <f t="shared" si="1"/>
        <v>1</v>
      </c>
      <c r="F99">
        <v>1</v>
      </c>
    </row>
    <row r="100" spans="1:6" ht="12">
      <c r="A100" t="s">
        <v>120</v>
      </c>
      <c r="C100">
        <v>6</v>
      </c>
      <c r="D100">
        <v>59</v>
      </c>
      <c r="E100" s="12">
        <f t="shared" si="1"/>
        <v>9.833333333333334</v>
      </c>
      <c r="F100">
        <v>26</v>
      </c>
    </row>
    <row r="101" spans="1:6" ht="12">
      <c r="A101" t="s">
        <v>129</v>
      </c>
      <c r="C101">
        <v>4</v>
      </c>
      <c r="D101">
        <v>33</v>
      </c>
      <c r="E101" s="12">
        <f t="shared" si="1"/>
        <v>8.25</v>
      </c>
      <c r="F101">
        <v>14</v>
      </c>
    </row>
    <row r="102" spans="1:5" ht="12">
      <c r="A102" t="s">
        <v>130</v>
      </c>
      <c r="E102" s="12" t="e">
        <f t="shared" si="1"/>
        <v>#DIV/0!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5" ht="12">
      <c r="A105" t="s">
        <v>132</v>
      </c>
      <c r="E105" s="12" t="e">
        <f>+D105/C105</f>
        <v>#DIV/0!</v>
      </c>
    </row>
    <row r="106" spans="1:6" ht="12">
      <c r="A106" t="s">
        <v>123</v>
      </c>
      <c r="C106">
        <v>3</v>
      </c>
      <c r="D106">
        <v>11</v>
      </c>
      <c r="E106" s="12"/>
      <c r="F106">
        <v>9</v>
      </c>
    </row>
    <row r="107" spans="1:6" ht="12">
      <c r="A107" t="s">
        <v>133</v>
      </c>
      <c r="C107">
        <v>1</v>
      </c>
      <c r="D107">
        <v>8</v>
      </c>
      <c r="E107" s="12"/>
      <c r="F107">
        <v>8</v>
      </c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>+G113/C113*100</f>
        <v>#DIV/0!</v>
      </c>
      <c r="K113" s="12" t="e">
        <f aca="true" t="shared" si="3" ref="K113:K118">+I113/C113*100</f>
        <v>#DIV/0!</v>
      </c>
      <c r="L113" s="12" t="e">
        <f aca="true" t="shared" si="4" ref="L113:L118">+F113/C113</f>
        <v>#DIV/0!</v>
      </c>
      <c r="M113" s="12" t="e">
        <f aca="true" t="shared" si="5" ref="M113:M118">100*(S113+U113+W113+Y113)/6</f>
        <v>#DIV/0!</v>
      </c>
      <c r="R113" t="e">
        <f aca="true" t="shared" si="6" ref="R113:R118">+(E113-30)/20</f>
        <v>#DIV/0!</v>
      </c>
      <c r="S113" s="2" t="e">
        <f aca="true" t="shared" si="7" ref="S113:S118">IF(R113&lt;0,0,R113)</f>
        <v>#DIV/0!</v>
      </c>
      <c r="T113" s="6" t="e">
        <f aca="true" t="shared" si="8" ref="T113:T118">+(L113-3)/4</f>
        <v>#DIV/0!</v>
      </c>
      <c r="U113" s="2" t="e">
        <f aca="true" t="shared" si="9" ref="U113:U118">IF(T113&lt;0,0,T113)</f>
        <v>#DIV/0!</v>
      </c>
      <c r="V113" t="e">
        <f aca="true" t="shared" si="10" ref="V113:V118">+J113/5</f>
        <v>#DIV/0!</v>
      </c>
      <c r="W113" s="2" t="e">
        <f aca="true" t="shared" si="11" ref="W113:W118">IF(V113&lt;0,0,V113)</f>
        <v>#DIV/0!</v>
      </c>
      <c r="X113" t="e">
        <f aca="true" t="shared" si="12" ref="X113:X118">(9.5-K113)/4</f>
        <v>#DIV/0!</v>
      </c>
      <c r="Y113" s="2" t="e">
        <f aca="true" t="shared" si="13" ref="Y113:Y118">IF(X113&lt;0,0,X113)</f>
        <v>#DIV/0!</v>
      </c>
    </row>
    <row r="114" spans="1:25" ht="12">
      <c r="A114" t="s">
        <v>118</v>
      </c>
      <c r="E114" s="12" t="e">
        <f t="shared" si="2"/>
        <v>#DIV/0!</v>
      </c>
      <c r="J114" s="8" t="e">
        <f>+G114/C114*100</f>
        <v>#DIV/0!</v>
      </c>
      <c r="K114" s="12" t="e">
        <f t="shared" si="3"/>
        <v>#DIV/0!</v>
      </c>
      <c r="L114" s="12" t="e">
        <f t="shared" si="4"/>
        <v>#DIV/0!</v>
      </c>
      <c r="M114" s="12" t="e">
        <f t="shared" si="5"/>
        <v>#DIV/0!</v>
      </c>
      <c r="R114" t="e">
        <f t="shared" si="6"/>
        <v>#DIV/0!</v>
      </c>
      <c r="S114" s="2" t="e">
        <f t="shared" si="7"/>
        <v>#DIV/0!</v>
      </c>
      <c r="T114" s="6" t="e">
        <f t="shared" si="8"/>
        <v>#DIV/0!</v>
      </c>
      <c r="U114" s="2" t="e">
        <f t="shared" si="9"/>
        <v>#DIV/0!</v>
      </c>
      <c r="V114" t="e">
        <f t="shared" si="10"/>
        <v>#DIV/0!</v>
      </c>
      <c r="W114" s="2" t="e">
        <f t="shared" si="11"/>
        <v>#DIV/0!</v>
      </c>
      <c r="X114" t="e">
        <f t="shared" si="12"/>
        <v>#DIV/0!</v>
      </c>
      <c r="Y114" s="2" t="e">
        <f t="shared" si="13"/>
        <v>#DIV/0!</v>
      </c>
    </row>
    <row r="115" spans="1:25" ht="12">
      <c r="A115" t="s">
        <v>120</v>
      </c>
      <c r="E115" s="12" t="e">
        <f t="shared" si="2"/>
        <v>#DIV/0!</v>
      </c>
      <c r="J115" s="8"/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>
        <f t="shared" si="10"/>
        <v>0</v>
      </c>
      <c r="W115" s="2">
        <f t="shared" si="11"/>
        <v>0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/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>
        <f t="shared" si="10"/>
        <v>0</v>
      </c>
      <c r="W116" s="2">
        <f t="shared" si="11"/>
        <v>0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C117">
        <v>37</v>
      </c>
      <c r="D117">
        <v>23</v>
      </c>
      <c r="E117" s="12">
        <f t="shared" si="2"/>
        <v>62.16216216216216</v>
      </c>
      <c r="F117">
        <v>176</v>
      </c>
      <c r="G117">
        <v>1</v>
      </c>
      <c r="H117">
        <v>26</v>
      </c>
      <c r="J117" s="8">
        <f>+G117/C117*100</f>
        <v>2.7027027027027026</v>
      </c>
      <c r="K117" s="12">
        <f t="shared" si="3"/>
        <v>0</v>
      </c>
      <c r="L117" s="12">
        <f t="shared" si="4"/>
        <v>4.756756756756757</v>
      </c>
      <c r="M117" s="12">
        <f t="shared" si="5"/>
        <v>82.71396396396396</v>
      </c>
      <c r="O117">
        <v>2</v>
      </c>
      <c r="R117">
        <f t="shared" si="6"/>
        <v>1.6081081081081081</v>
      </c>
      <c r="S117" s="2">
        <f t="shared" si="7"/>
        <v>1.6081081081081081</v>
      </c>
      <c r="T117" s="6">
        <f t="shared" si="8"/>
        <v>0.43918918918918926</v>
      </c>
      <c r="U117" s="2">
        <f t="shared" si="9"/>
        <v>0.43918918918918926</v>
      </c>
      <c r="V117">
        <f t="shared" si="10"/>
        <v>0.5405405405405406</v>
      </c>
      <c r="W117" s="2">
        <f t="shared" si="11"/>
        <v>0.5405405405405406</v>
      </c>
      <c r="X117">
        <f t="shared" si="12"/>
        <v>2.375</v>
      </c>
      <c r="Y117" s="2">
        <f t="shared" si="13"/>
        <v>2.375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3</v>
      </c>
      <c r="E121">
        <f>31+0+14</f>
        <v>45</v>
      </c>
      <c r="F121" s="12">
        <f aca="true" t="shared" si="14" ref="F121:F126">+E121/C121</f>
        <v>15</v>
      </c>
      <c r="G121">
        <v>31</v>
      </c>
    </row>
    <row r="122" spans="1:6" ht="12">
      <c r="A122" t="s">
        <v>134</v>
      </c>
      <c r="F122" s="12" t="e">
        <f t="shared" si="14"/>
        <v>#DIV/0!</v>
      </c>
    </row>
    <row r="123" spans="1:7" ht="12">
      <c r="A123" t="s">
        <v>135</v>
      </c>
      <c r="C123">
        <v>2</v>
      </c>
      <c r="E123">
        <v>6</v>
      </c>
      <c r="F123" s="12">
        <f t="shared" si="14"/>
        <v>3</v>
      </c>
      <c r="G123">
        <v>4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5" ht="12">
      <c r="A132" t="s">
        <v>137</v>
      </c>
      <c r="E132" s="12" t="e">
        <f t="shared" si="15"/>
        <v>#DIV/0!</v>
      </c>
    </row>
    <row r="133" spans="1:5" ht="12">
      <c r="A133" t="s">
        <v>116</v>
      </c>
      <c r="E133" s="12" t="e">
        <f t="shared" si="15"/>
        <v>#DIV/0!</v>
      </c>
    </row>
    <row r="134" spans="1:5" ht="12">
      <c r="A134" t="s">
        <v>128</v>
      </c>
      <c r="E134" s="12" t="e">
        <f t="shared" si="15"/>
        <v>#DIV/0!</v>
      </c>
    </row>
    <row r="135" spans="1:6" ht="12">
      <c r="A135" t="s">
        <v>134</v>
      </c>
      <c r="C135">
        <v>1</v>
      </c>
      <c r="D135">
        <v>19</v>
      </c>
      <c r="E135" s="12">
        <f t="shared" si="15"/>
        <v>19</v>
      </c>
      <c r="F135">
        <v>19</v>
      </c>
    </row>
    <row r="136" spans="1:5" ht="12">
      <c r="A136" t="s">
        <v>119</v>
      </c>
      <c r="E136" s="12" t="e">
        <f t="shared" si="15"/>
        <v>#DIV/0!</v>
      </c>
    </row>
    <row r="137" spans="1:6" ht="12">
      <c r="A137" t="s">
        <v>135</v>
      </c>
      <c r="C137">
        <v>2</v>
      </c>
      <c r="D137">
        <v>30</v>
      </c>
      <c r="E137" s="12">
        <f>+D137/C137</f>
        <v>15</v>
      </c>
      <c r="F137">
        <v>20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6</v>
      </c>
      <c r="D143">
        <f>34+42+34+33+40+41</f>
        <v>224</v>
      </c>
      <c r="F143">
        <v>42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15" ht="12">
      <c r="A151" t="s">
        <v>140</v>
      </c>
      <c r="C151">
        <v>5</v>
      </c>
      <c r="D151">
        <v>2</v>
      </c>
      <c r="E151">
        <v>2</v>
      </c>
      <c r="F151">
        <v>2</v>
      </c>
      <c r="G151">
        <v>2</v>
      </c>
      <c r="H151">
        <v>2</v>
      </c>
      <c r="I151" s="12">
        <f>+H151/G151*100</f>
        <v>100</v>
      </c>
      <c r="J151">
        <v>27</v>
      </c>
      <c r="L151">
        <v>1</v>
      </c>
      <c r="M151">
        <v>1</v>
      </c>
      <c r="N151">
        <v>1</v>
      </c>
      <c r="O151">
        <v>1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5" ht="12">
      <c r="A158" t="s">
        <v>143</v>
      </c>
      <c r="E158" s="12" t="e">
        <f t="shared" si="16"/>
        <v>#DIV/0!</v>
      </c>
    </row>
    <row r="159" spans="1:5" ht="12">
      <c r="A159" t="s">
        <v>144</v>
      </c>
      <c r="E159" s="12" t="e">
        <f t="shared" si="16"/>
        <v>#DIV/0!</v>
      </c>
    </row>
    <row r="160" spans="1:5" ht="12">
      <c r="A160" t="s">
        <v>145</v>
      </c>
      <c r="E160" s="12" t="e">
        <f t="shared" si="16"/>
        <v>#DIV/0!</v>
      </c>
    </row>
    <row r="161" spans="1:5" ht="12">
      <c r="A161" t="s">
        <v>146</v>
      </c>
      <c r="E161" s="12" t="e">
        <f t="shared" si="16"/>
        <v>#DIV/0!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/>
      <c r="D172" s="3"/>
    </row>
    <row r="173" spans="1:4" ht="12">
      <c r="A173" t="s">
        <v>148</v>
      </c>
      <c r="C173" s="3"/>
      <c r="D173" s="3"/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/>
      <c r="D176" s="3"/>
    </row>
    <row r="177" spans="1:4" ht="12">
      <c r="A177" t="s">
        <v>151</v>
      </c>
      <c r="C177" s="3"/>
      <c r="D177" s="3"/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ht="12">
      <c r="A241" t="s">
        <v>151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C204" sqref="C204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22</v>
      </c>
      <c r="H6" s="1" t="s">
        <v>29</v>
      </c>
      <c r="M6" s="2">
        <v>19</v>
      </c>
    </row>
    <row r="7" spans="1:13" ht="12">
      <c r="A7" s="18" t="s">
        <v>95</v>
      </c>
      <c r="D7" s="2">
        <v>12</v>
      </c>
      <c r="H7" s="18" t="s">
        <v>95</v>
      </c>
      <c r="M7" s="2">
        <v>4</v>
      </c>
    </row>
    <row r="8" spans="1:13" ht="12">
      <c r="A8" s="18" t="s">
        <v>96</v>
      </c>
      <c r="D8" s="2">
        <v>10</v>
      </c>
      <c r="H8" s="18" t="s">
        <v>96</v>
      </c>
      <c r="M8" s="2">
        <v>13</v>
      </c>
    </row>
    <row r="9" spans="1:13" ht="12">
      <c r="A9" s="18" t="s">
        <v>97</v>
      </c>
      <c r="D9" s="2">
        <v>0</v>
      </c>
      <c r="H9" s="18" t="s">
        <v>97</v>
      </c>
      <c r="M9" s="2">
        <v>2</v>
      </c>
    </row>
    <row r="10" spans="1:14" ht="12">
      <c r="A10" s="21" t="s">
        <v>168</v>
      </c>
      <c r="C10">
        <v>6</v>
      </c>
      <c r="D10" s="2">
        <v>14</v>
      </c>
      <c r="E10" s="22">
        <f>+C10/D10</f>
        <v>0.42857142857142855</v>
      </c>
      <c r="H10" s="21" t="s">
        <v>168</v>
      </c>
      <c r="L10">
        <v>1</v>
      </c>
      <c r="M10" s="2">
        <v>8</v>
      </c>
      <c r="N10" s="22">
        <f>+L10/M10</f>
        <v>0.125</v>
      </c>
    </row>
    <row r="12" spans="1:23" ht="12">
      <c r="A12" t="s">
        <v>1</v>
      </c>
      <c r="D12" s="2">
        <f>16+3+4+5+3+2+4+2+1</f>
        <v>40</v>
      </c>
      <c r="H12" t="s">
        <v>1</v>
      </c>
      <c r="M12" s="2">
        <f>14+2+3+1+1</f>
        <v>21</v>
      </c>
      <c r="V12">
        <f>+D12</f>
        <v>40</v>
      </c>
      <c r="W12">
        <f>+M12</f>
        <v>21</v>
      </c>
    </row>
    <row r="13" spans="1:23" ht="12">
      <c r="A13" t="s">
        <v>2</v>
      </c>
      <c r="D13" s="2">
        <f>60+9+9+26+19+8+1+28+8</f>
        <v>168</v>
      </c>
      <c r="H13" t="s">
        <v>2</v>
      </c>
      <c r="M13" s="2">
        <f>76+20+8+0-3</f>
        <v>101</v>
      </c>
      <c r="U13" s="13"/>
      <c r="V13">
        <f>+D17</f>
        <v>23</v>
      </c>
      <c r="W13">
        <f>+M17</f>
        <v>22</v>
      </c>
    </row>
    <row r="14" spans="1:23" ht="12">
      <c r="A14" s="1" t="s">
        <v>3</v>
      </c>
      <c r="D14" s="8">
        <f>+D13/D12</f>
        <v>4.2</v>
      </c>
      <c r="H14" s="1" t="s">
        <v>3</v>
      </c>
      <c r="M14" s="8">
        <f>+M13/M12</f>
        <v>4.809523809523809</v>
      </c>
      <c r="V14">
        <f>+(D16-D17)/2</f>
        <v>5.5</v>
      </c>
      <c r="W14">
        <f>+(M16-M17)/2</f>
        <v>7.5</v>
      </c>
    </row>
    <row r="15" spans="22:23" ht="12">
      <c r="V15">
        <f>+D39/2</f>
        <v>3</v>
      </c>
      <c r="W15">
        <f>+M39/2</f>
        <v>3.5</v>
      </c>
    </row>
    <row r="16" spans="1:23" ht="12">
      <c r="A16" t="s">
        <v>4</v>
      </c>
      <c r="D16" s="2">
        <v>34</v>
      </c>
      <c r="H16" t="s">
        <v>4</v>
      </c>
      <c r="M16" s="2">
        <v>37</v>
      </c>
      <c r="V16">
        <f>+D43/2</f>
        <v>2</v>
      </c>
      <c r="W16">
        <f>+M43/2</f>
        <v>1</v>
      </c>
    </row>
    <row r="17" spans="1:23" ht="12">
      <c r="A17" t="s">
        <v>5</v>
      </c>
      <c r="D17" s="2">
        <v>23</v>
      </c>
      <c r="H17" t="s">
        <v>5</v>
      </c>
      <c r="M17" s="2">
        <v>22</v>
      </c>
      <c r="V17">
        <f>+D48/2</f>
        <v>2</v>
      </c>
      <c r="W17">
        <f>+M48/2</f>
        <v>2</v>
      </c>
    </row>
    <row r="18" spans="1:13" ht="12">
      <c r="A18" t="s">
        <v>6</v>
      </c>
      <c r="D18" s="8">
        <f>+D17/D16*100</f>
        <v>67.64705882352942</v>
      </c>
      <c r="H18" t="s">
        <v>6</v>
      </c>
      <c r="M18" s="8">
        <f>+M17/M16*100</f>
        <v>59.45945945945946</v>
      </c>
    </row>
    <row r="19" spans="1:24" ht="12">
      <c r="A19" t="s">
        <v>7</v>
      </c>
      <c r="D19" s="2">
        <v>221</v>
      </c>
      <c r="H19" t="s">
        <v>7</v>
      </c>
      <c r="M19" s="2">
        <v>340</v>
      </c>
      <c r="V19">
        <f>SUM(V12:V17)</f>
        <v>75.5</v>
      </c>
      <c r="W19">
        <f>SUM(W12:W17)</f>
        <v>57</v>
      </c>
      <c r="X19">
        <f>+W19+V19</f>
        <v>132.5</v>
      </c>
    </row>
    <row r="20" spans="1:23" ht="12">
      <c r="A20" t="s">
        <v>8</v>
      </c>
      <c r="D20" s="2">
        <v>2</v>
      </c>
      <c r="H20" t="s">
        <v>8</v>
      </c>
      <c r="M20" s="2">
        <v>3</v>
      </c>
      <c r="V20">
        <f>+V19/X19</f>
        <v>0.569811320754717</v>
      </c>
      <c r="W20">
        <f>+W19/X19</f>
        <v>0.43018867924528303</v>
      </c>
    </row>
    <row r="21" spans="1:23" ht="12">
      <c r="A21" t="s">
        <v>9</v>
      </c>
      <c r="D21" s="2">
        <v>19</v>
      </c>
      <c r="H21" t="s">
        <v>9</v>
      </c>
      <c r="M21" s="2">
        <f>13+3+7</f>
        <v>23</v>
      </c>
      <c r="V21">
        <f>+V20*60</f>
        <v>34.18867924528302</v>
      </c>
      <c r="W21">
        <f>+W20*60</f>
        <v>25.81132075471698</v>
      </c>
    </row>
    <row r="22" spans="1:23" ht="12">
      <c r="A22" t="s">
        <v>10</v>
      </c>
      <c r="D22">
        <f>+D19-D21</f>
        <v>202</v>
      </c>
      <c r="H22" t="s">
        <v>10</v>
      </c>
      <c r="M22">
        <f>+M19-M21</f>
        <v>317</v>
      </c>
      <c r="V22">
        <f>+V21-INT(V21)</f>
        <v>0.18867924528301927</v>
      </c>
      <c r="W22">
        <f>+W21-INT(W21)</f>
        <v>0.8113207547169807</v>
      </c>
    </row>
    <row r="23" spans="1:23" ht="12">
      <c r="A23" t="s">
        <v>11</v>
      </c>
      <c r="D23" s="7">
        <f>+D22/(D16+D20)</f>
        <v>5.611111111111111</v>
      </c>
      <c r="H23" t="s">
        <v>11</v>
      </c>
      <c r="M23" s="7">
        <f>+M22/(M16+M20)</f>
        <v>7.925</v>
      </c>
      <c r="V23">
        <f>+V22*60</f>
        <v>11.320754716981156</v>
      </c>
      <c r="W23">
        <f>+W22*60</f>
        <v>48.679245283018844</v>
      </c>
    </row>
    <row r="24" spans="1:23" ht="12">
      <c r="A24" t="s">
        <v>12</v>
      </c>
      <c r="D24" s="7">
        <f>+D19/D17</f>
        <v>9.608695652173912</v>
      </c>
      <c r="H24" t="s">
        <v>12</v>
      </c>
      <c r="M24" s="7">
        <f>+M19/M17</f>
        <v>15.454545454545455</v>
      </c>
      <c r="U24">
        <v>0</v>
      </c>
      <c r="V24" s="11">
        <f>ROUND(V23,0)</f>
        <v>11</v>
      </c>
      <c r="W24">
        <f>ROUND(W23,0)</f>
        <v>49</v>
      </c>
    </row>
    <row r="25" spans="22:23" ht="12">
      <c r="V25">
        <f>INT(V21)</f>
        <v>34</v>
      </c>
      <c r="W25">
        <f>INT(W21)</f>
        <v>25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370</v>
      </c>
      <c r="H27" t="s">
        <v>14</v>
      </c>
      <c r="M27">
        <f>+M22+M13</f>
        <v>418</v>
      </c>
      <c r="V27" s="14" t="str">
        <f>+V25&amp;V26&amp;V24</f>
        <v>34:11</v>
      </c>
      <c r="W27" s="9" t="str">
        <f>+W25&amp;W26&amp;W24</f>
        <v>25:49</v>
      </c>
    </row>
    <row r="28" spans="1:23" ht="12">
      <c r="A28" t="s">
        <v>15</v>
      </c>
      <c r="D28" s="7">
        <f>+D13/D27*100</f>
        <v>45.40540540540541</v>
      </c>
      <c r="H28" t="s">
        <v>15</v>
      </c>
      <c r="M28" s="7">
        <f>+M13/M27*100</f>
        <v>24.16267942583732</v>
      </c>
      <c r="V28" s="9" t="str">
        <f>IF(V24&lt;10,+V25&amp;V26&amp;$U$24&amp;V24,+V25&amp;V26&amp;V24)</f>
        <v>34:11</v>
      </c>
      <c r="W28" s="9" t="str">
        <f>IF(W24&lt;10,+W25&amp;W26&amp;$U$24&amp;W24,+W25&amp;W26&amp;W24)</f>
        <v>25:49</v>
      </c>
    </row>
    <row r="29" spans="1:13" ht="12">
      <c r="A29" s="1" t="s">
        <v>90</v>
      </c>
      <c r="D29" s="7">
        <f>+D22/D27*100</f>
        <v>54.59459459459459</v>
      </c>
      <c r="H29" s="1" t="s">
        <v>90</v>
      </c>
      <c r="M29" s="7">
        <f>+M22/M27*100</f>
        <v>75.83732057416267</v>
      </c>
    </row>
    <row r="31" spans="1:13" ht="12">
      <c r="A31" t="s">
        <v>16</v>
      </c>
      <c r="D31">
        <f>+D12+D16+D20</f>
        <v>76</v>
      </c>
      <c r="H31" t="s">
        <v>16</v>
      </c>
      <c r="M31">
        <f>+M12+M16+M20</f>
        <v>61</v>
      </c>
    </row>
    <row r="32" spans="1:13" ht="12">
      <c r="A32" t="s">
        <v>17</v>
      </c>
      <c r="D32" s="8">
        <f>+D27/D31</f>
        <v>4.868421052631579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6.852459016393443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0</v>
      </c>
      <c r="H35" t="s">
        <v>19</v>
      </c>
      <c r="M35" s="2">
        <v>1</v>
      </c>
    </row>
    <row r="36" spans="1:13" ht="12">
      <c r="A36" t="s">
        <v>20</v>
      </c>
      <c r="D36" s="2">
        <v>0</v>
      </c>
      <c r="H36" t="s">
        <v>20</v>
      </c>
      <c r="M36" s="2">
        <v>44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6</v>
      </c>
      <c r="H39" t="s">
        <v>22</v>
      </c>
      <c r="M39" s="2">
        <v>7</v>
      </c>
    </row>
    <row r="40" spans="1:13" ht="12">
      <c r="A40" t="s">
        <v>23</v>
      </c>
      <c r="D40" s="2">
        <f>34+26+33+41+48+37</f>
        <v>219</v>
      </c>
      <c r="H40" t="s">
        <v>23</v>
      </c>
      <c r="M40" s="2">
        <f>28+40+54+0+40+41+48</f>
        <v>251</v>
      </c>
    </row>
    <row r="41" spans="1:13" ht="12">
      <c r="A41" t="s">
        <v>24</v>
      </c>
      <c r="D41" s="8">
        <f>+D40/D39</f>
        <v>36.5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35.857142857142854</v>
      </c>
    </row>
    <row r="43" spans="1:13" ht="12">
      <c r="A43" t="s">
        <v>25</v>
      </c>
      <c r="D43" s="2">
        <v>4</v>
      </c>
      <c r="H43" t="s">
        <v>25</v>
      </c>
      <c r="M43" s="2">
        <v>2</v>
      </c>
    </row>
    <row r="44" spans="1:13" ht="12">
      <c r="A44" t="s">
        <v>26</v>
      </c>
      <c r="D44" s="2">
        <f>12+4+9+4</f>
        <v>29</v>
      </c>
      <c r="H44" t="s">
        <v>26</v>
      </c>
      <c r="M44" s="2">
        <v>8</v>
      </c>
    </row>
    <row r="45" spans="1:13" ht="12">
      <c r="A45" t="s">
        <v>27</v>
      </c>
      <c r="D45" s="8">
        <f>+D44/D43</f>
        <v>7.25</v>
      </c>
      <c r="H45" t="s">
        <v>27</v>
      </c>
      <c r="M45" s="8">
        <f>+M44/M43</f>
        <v>4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4</v>
      </c>
      <c r="H48" t="s">
        <v>30</v>
      </c>
      <c r="M48" s="2">
        <v>4</v>
      </c>
    </row>
    <row r="49" spans="1:13" ht="12">
      <c r="A49" t="s">
        <v>26</v>
      </c>
      <c r="D49" s="2">
        <f>12+23+23+9</f>
        <v>67</v>
      </c>
      <c r="H49" t="s">
        <v>26</v>
      </c>
      <c r="M49" s="2">
        <f>37+15+12+12</f>
        <v>76</v>
      </c>
    </row>
    <row r="50" spans="1:13" ht="12">
      <c r="A50" t="s">
        <v>27</v>
      </c>
      <c r="D50" s="8">
        <f>+D49/D48</f>
        <v>16.75</v>
      </c>
      <c r="H50" t="s">
        <v>27</v>
      </c>
      <c r="M50" s="8">
        <f>+M49/M48</f>
        <v>19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3</v>
      </c>
      <c r="H53" t="s">
        <v>31</v>
      </c>
      <c r="M53" s="2">
        <v>11</v>
      </c>
    </row>
    <row r="54" spans="1:13" ht="12">
      <c r="A54" t="s">
        <v>32</v>
      </c>
      <c r="D54" s="2">
        <v>50</v>
      </c>
      <c r="H54" t="s">
        <v>32</v>
      </c>
      <c r="M54" s="2">
        <v>113</v>
      </c>
    </row>
    <row r="56" spans="1:13" ht="12">
      <c r="A56" t="s">
        <v>33</v>
      </c>
      <c r="D56" s="2">
        <v>3</v>
      </c>
      <c r="H56" t="s">
        <v>33</v>
      </c>
      <c r="M56" s="2">
        <v>4</v>
      </c>
    </row>
    <row r="57" spans="1:13" ht="12">
      <c r="A57" t="s">
        <v>34</v>
      </c>
      <c r="D57" s="2">
        <v>0</v>
      </c>
      <c r="H57" t="s">
        <v>34</v>
      </c>
      <c r="M57" s="2">
        <v>0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4</v>
      </c>
      <c r="H59" t="s">
        <v>36</v>
      </c>
      <c r="M59" s="2">
        <v>3</v>
      </c>
    </row>
    <row r="60" spans="1:13" ht="12">
      <c r="A60" s="1" t="s">
        <v>37</v>
      </c>
      <c r="D60" s="2">
        <v>1</v>
      </c>
      <c r="H60" s="1" t="s">
        <v>37</v>
      </c>
      <c r="M60" s="2">
        <v>0</v>
      </c>
    </row>
    <row r="62" spans="1:13" ht="12">
      <c r="A62" t="s">
        <v>38</v>
      </c>
      <c r="D62" s="2">
        <v>31</v>
      </c>
      <c r="H62" t="s">
        <v>38</v>
      </c>
      <c r="M62" s="2">
        <v>21</v>
      </c>
    </row>
    <row r="63" spans="1:13" ht="12">
      <c r="A63" t="s">
        <v>39</v>
      </c>
      <c r="D63" s="2">
        <v>4</v>
      </c>
      <c r="H63" t="s">
        <v>39</v>
      </c>
      <c r="M63" s="2">
        <v>3</v>
      </c>
    </row>
    <row r="64" spans="1:13" ht="12">
      <c r="A64" t="s">
        <v>40</v>
      </c>
      <c r="D64" s="2">
        <v>2</v>
      </c>
      <c r="H64" t="s">
        <v>40</v>
      </c>
      <c r="M64" s="2">
        <v>0</v>
      </c>
    </row>
    <row r="65" spans="1:13" ht="12">
      <c r="A65" t="s">
        <v>41</v>
      </c>
      <c r="D65" s="2">
        <v>1</v>
      </c>
      <c r="H65" t="s">
        <v>41</v>
      </c>
      <c r="M65" s="2">
        <v>3</v>
      </c>
    </row>
    <row r="66" spans="1:13" ht="12">
      <c r="A66" t="s">
        <v>42</v>
      </c>
      <c r="D66" s="2">
        <v>1</v>
      </c>
      <c r="H66" t="s">
        <v>42</v>
      </c>
      <c r="M66" s="2">
        <v>0</v>
      </c>
    </row>
    <row r="67" spans="1:13" ht="12">
      <c r="A67" t="s">
        <v>43</v>
      </c>
      <c r="D67" s="2">
        <v>4</v>
      </c>
      <c r="H67" t="s">
        <v>43</v>
      </c>
      <c r="M67" s="2">
        <v>3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1</v>
      </c>
      <c r="H69" t="s">
        <v>45</v>
      </c>
      <c r="M69" s="2">
        <v>0</v>
      </c>
    </row>
    <row r="70" spans="1:13" ht="12">
      <c r="A70" t="s">
        <v>46</v>
      </c>
      <c r="D70" s="2">
        <v>1</v>
      </c>
      <c r="H70" t="s">
        <v>46</v>
      </c>
      <c r="M70" s="2">
        <v>0</v>
      </c>
    </row>
    <row r="71" spans="1:13" ht="12">
      <c r="A71" t="s">
        <v>47</v>
      </c>
      <c r="D71" s="8">
        <f>+D69/D70*100</f>
        <v>100</v>
      </c>
      <c r="E71" s="7"/>
      <c r="F71" s="7"/>
      <c r="G71" s="7"/>
      <c r="H71" s="7" t="s">
        <v>47</v>
      </c>
      <c r="I71" s="7"/>
      <c r="J71" s="7"/>
      <c r="K71" s="7"/>
      <c r="L71" s="7"/>
      <c r="M71" s="7" t="e">
        <f>+M69/M70*100</f>
        <v>#DIV/0!</v>
      </c>
    </row>
    <row r="72" spans="1:13" ht="12">
      <c r="A72" t="s">
        <v>93</v>
      </c>
      <c r="D72" s="10" t="str">
        <f>IF(V24&lt;10,V28,V27)</f>
        <v>34:11</v>
      </c>
      <c r="E72" s="8"/>
      <c r="F72" s="8"/>
      <c r="H72" t="s">
        <v>93</v>
      </c>
      <c r="M72" s="10" t="str">
        <f>IF(W24&lt;10,W28,W27)</f>
        <v>25:49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8" ht="12">
      <c r="A77" t="s">
        <v>113</v>
      </c>
      <c r="C77">
        <v>16</v>
      </c>
      <c r="D77">
        <v>60</v>
      </c>
      <c r="E77" s="12">
        <f>+D77/C77</f>
        <v>3.75</v>
      </c>
      <c r="F77">
        <v>15</v>
      </c>
      <c r="H77">
        <v>1</v>
      </c>
    </row>
    <row r="78" spans="1:6" ht="12">
      <c r="A78" t="s">
        <v>114</v>
      </c>
      <c r="C78">
        <v>3</v>
      </c>
      <c r="D78">
        <v>9</v>
      </c>
      <c r="E78" s="12">
        <f>+D78/C78</f>
        <v>3</v>
      </c>
      <c r="F78">
        <v>5</v>
      </c>
    </row>
    <row r="79" spans="1:6" ht="12">
      <c r="A79" t="s">
        <v>115</v>
      </c>
      <c r="C79">
        <v>5</v>
      </c>
      <c r="D79">
        <v>26</v>
      </c>
      <c r="E79" s="12">
        <f aca="true" t="shared" si="0" ref="E79:E85">+D79/C79</f>
        <v>5.2</v>
      </c>
      <c r="F79">
        <v>13</v>
      </c>
    </row>
    <row r="80" spans="1:7" ht="12">
      <c r="A80" t="s">
        <v>116</v>
      </c>
      <c r="C80">
        <v>4</v>
      </c>
      <c r="D80">
        <v>8</v>
      </c>
      <c r="E80" s="12">
        <f t="shared" si="0"/>
        <v>2</v>
      </c>
      <c r="F80">
        <v>5</v>
      </c>
      <c r="G80">
        <v>1</v>
      </c>
    </row>
    <row r="81" spans="1:8" ht="12">
      <c r="A81" t="s">
        <v>117</v>
      </c>
      <c r="C81">
        <v>2</v>
      </c>
      <c r="D81">
        <v>19</v>
      </c>
      <c r="E81" s="12">
        <f t="shared" si="0"/>
        <v>9.5</v>
      </c>
      <c r="F81">
        <v>15</v>
      </c>
      <c r="H81">
        <v>1</v>
      </c>
    </row>
    <row r="82" spans="1:5" ht="12">
      <c r="A82" t="s">
        <v>118</v>
      </c>
      <c r="E82" s="12" t="e">
        <f t="shared" si="0"/>
        <v>#DIV/0!</v>
      </c>
    </row>
    <row r="83" spans="1:5" ht="12">
      <c r="A83" t="s">
        <v>119</v>
      </c>
      <c r="E83" s="12" t="e">
        <f t="shared" si="0"/>
        <v>#DIV/0!</v>
      </c>
    </row>
    <row r="84" spans="1:6" ht="12">
      <c r="A84" t="s">
        <v>120</v>
      </c>
      <c r="C84">
        <v>1</v>
      </c>
      <c r="D84">
        <v>8</v>
      </c>
      <c r="E84" s="12">
        <f t="shared" si="0"/>
        <v>8</v>
      </c>
      <c r="F84">
        <v>8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7" ht="12">
      <c r="A87" t="s">
        <v>123</v>
      </c>
      <c r="C87">
        <v>4</v>
      </c>
      <c r="D87">
        <v>9</v>
      </c>
      <c r="E87" s="12">
        <f>+D87/C87</f>
        <v>2.25</v>
      </c>
      <c r="F87">
        <v>4</v>
      </c>
      <c r="G87">
        <v>1</v>
      </c>
    </row>
    <row r="88" spans="1:6" ht="12">
      <c r="A88" t="s">
        <v>124</v>
      </c>
      <c r="C88">
        <v>2</v>
      </c>
      <c r="D88">
        <v>28</v>
      </c>
      <c r="E88" s="8"/>
      <c r="F88">
        <v>18</v>
      </c>
    </row>
    <row r="89" spans="1:6" ht="12">
      <c r="A89" t="s">
        <v>125</v>
      </c>
      <c r="C89">
        <v>3</v>
      </c>
      <c r="D89">
        <v>1</v>
      </c>
      <c r="E89" s="8"/>
      <c r="F89">
        <v>3</v>
      </c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6" ht="12">
      <c r="A92" t="s">
        <v>126</v>
      </c>
      <c r="C92">
        <v>1</v>
      </c>
      <c r="D92">
        <v>10</v>
      </c>
      <c r="E92" s="12">
        <f aca="true" t="shared" si="1" ref="E92:E103">+D92/C92</f>
        <v>10</v>
      </c>
      <c r="F92">
        <v>10</v>
      </c>
    </row>
    <row r="93" spans="1:5" ht="12">
      <c r="A93" t="s">
        <v>127</v>
      </c>
      <c r="E93" s="12" t="e">
        <f t="shared" si="1"/>
        <v>#DIV/0!</v>
      </c>
    </row>
    <row r="94" spans="1:6" ht="12">
      <c r="A94" t="s">
        <v>113</v>
      </c>
      <c r="C94">
        <v>5</v>
      </c>
      <c r="D94">
        <v>44</v>
      </c>
      <c r="E94" s="12">
        <f t="shared" si="1"/>
        <v>8.8</v>
      </c>
      <c r="F94">
        <v>19</v>
      </c>
    </row>
    <row r="95" spans="1:7" ht="12">
      <c r="A95" t="s">
        <v>114</v>
      </c>
      <c r="C95">
        <v>1</v>
      </c>
      <c r="D95">
        <v>10</v>
      </c>
      <c r="E95" s="12">
        <f t="shared" si="1"/>
        <v>10</v>
      </c>
      <c r="F95">
        <v>10</v>
      </c>
      <c r="G95">
        <v>1</v>
      </c>
    </row>
    <row r="96" spans="1:6" ht="12">
      <c r="A96" t="s">
        <v>115</v>
      </c>
      <c r="C96">
        <v>1</v>
      </c>
      <c r="D96">
        <v>0</v>
      </c>
      <c r="E96" s="12">
        <f t="shared" si="1"/>
        <v>0</v>
      </c>
      <c r="F96">
        <v>0</v>
      </c>
    </row>
    <row r="97" spans="1:5" ht="12">
      <c r="A97" t="s">
        <v>117</v>
      </c>
      <c r="E97" s="12" t="e">
        <f t="shared" si="1"/>
        <v>#DIV/0!</v>
      </c>
    </row>
    <row r="98" spans="1:5" ht="12">
      <c r="A98" t="s">
        <v>128</v>
      </c>
      <c r="E98" s="12" t="e">
        <f t="shared" si="1"/>
        <v>#DIV/0!</v>
      </c>
    </row>
    <row r="99" spans="1:6" ht="12">
      <c r="A99" t="s">
        <v>119</v>
      </c>
      <c r="C99">
        <v>1</v>
      </c>
      <c r="D99">
        <v>7</v>
      </c>
      <c r="E99" s="12">
        <f t="shared" si="1"/>
        <v>7</v>
      </c>
      <c r="F99">
        <v>7</v>
      </c>
    </row>
    <row r="100" spans="1:8" ht="12">
      <c r="A100" t="s">
        <v>120</v>
      </c>
      <c r="C100">
        <v>5</v>
      </c>
      <c r="D100">
        <v>63</v>
      </c>
      <c r="E100" s="12">
        <f t="shared" si="1"/>
        <v>12.6</v>
      </c>
      <c r="F100">
        <v>25</v>
      </c>
      <c r="H100">
        <v>1</v>
      </c>
    </row>
    <row r="101" spans="1:6" ht="12">
      <c r="A101" t="s">
        <v>129</v>
      </c>
      <c r="C101">
        <v>4</v>
      </c>
      <c r="D101">
        <v>28</v>
      </c>
      <c r="E101" s="12">
        <f t="shared" si="1"/>
        <v>7</v>
      </c>
      <c r="F101">
        <v>12</v>
      </c>
    </row>
    <row r="102" spans="1:5" ht="12">
      <c r="A102" t="s">
        <v>130</v>
      </c>
      <c r="E102" s="12" t="e">
        <f t="shared" si="1"/>
        <v>#DIV/0!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6" ht="12">
      <c r="A105" t="s">
        <v>132</v>
      </c>
      <c r="C105">
        <v>1</v>
      </c>
      <c r="D105">
        <v>11</v>
      </c>
      <c r="E105" s="12">
        <f>+D105/C105</f>
        <v>11</v>
      </c>
      <c r="F105">
        <v>11</v>
      </c>
    </row>
    <row r="106" spans="1:6" ht="12">
      <c r="A106" t="s">
        <v>123</v>
      </c>
      <c r="C106">
        <v>4</v>
      </c>
      <c r="D106">
        <v>48</v>
      </c>
      <c r="E106" s="12"/>
      <c r="F106">
        <v>18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>+G113/C113*100</f>
        <v>#DIV/0!</v>
      </c>
      <c r="K113" s="12" t="e">
        <f aca="true" t="shared" si="3" ref="K113:K118">+I113/C113*100</f>
        <v>#DIV/0!</v>
      </c>
      <c r="L113" s="12" t="e">
        <f aca="true" t="shared" si="4" ref="L113:L118">+F113/C113</f>
        <v>#DIV/0!</v>
      </c>
      <c r="M113" s="12" t="e">
        <f aca="true" t="shared" si="5" ref="M113:M118">100*(S113+U113+W113+Y113)/6</f>
        <v>#DIV/0!</v>
      </c>
      <c r="R113" t="e">
        <f aca="true" t="shared" si="6" ref="R113:R118">+(E113-30)/20</f>
        <v>#DIV/0!</v>
      </c>
      <c r="S113" s="2" t="e">
        <f aca="true" t="shared" si="7" ref="S113:S118">IF(R113&lt;0,0,R113)</f>
        <v>#DIV/0!</v>
      </c>
      <c r="T113" s="6" t="e">
        <f aca="true" t="shared" si="8" ref="T113:T118">+(L113-3)/4</f>
        <v>#DIV/0!</v>
      </c>
      <c r="U113" s="2" t="e">
        <f aca="true" t="shared" si="9" ref="U113:U118">IF(T113&lt;0,0,T113)</f>
        <v>#DIV/0!</v>
      </c>
      <c r="V113" t="e">
        <f aca="true" t="shared" si="10" ref="V113:V118">+J113/5</f>
        <v>#DIV/0!</v>
      </c>
      <c r="W113" s="2" t="e">
        <f aca="true" t="shared" si="11" ref="W113:W118">IF(V113&lt;0,0,V113)</f>
        <v>#DIV/0!</v>
      </c>
      <c r="X113" t="e">
        <f aca="true" t="shared" si="12" ref="X113:X118">(9.5-K113)/4</f>
        <v>#DIV/0!</v>
      </c>
      <c r="Y113" s="2" t="e">
        <f aca="true" t="shared" si="13" ref="Y113:Y118">IF(X113&lt;0,0,X113)</f>
        <v>#DIV/0!</v>
      </c>
    </row>
    <row r="114" spans="1:25" ht="12">
      <c r="A114" t="s">
        <v>118</v>
      </c>
      <c r="E114" s="12" t="e">
        <f t="shared" si="2"/>
        <v>#DIV/0!</v>
      </c>
      <c r="J114" s="8"/>
      <c r="K114" s="12" t="e">
        <f t="shared" si="3"/>
        <v>#DIV/0!</v>
      </c>
      <c r="L114" s="12" t="e">
        <f t="shared" si="4"/>
        <v>#DIV/0!</v>
      </c>
      <c r="M114" s="12" t="e">
        <f t="shared" si="5"/>
        <v>#DIV/0!</v>
      </c>
      <c r="R114" t="e">
        <f t="shared" si="6"/>
        <v>#DIV/0!</v>
      </c>
      <c r="S114" s="2" t="e">
        <f t="shared" si="7"/>
        <v>#DIV/0!</v>
      </c>
      <c r="T114" s="6" t="e">
        <f t="shared" si="8"/>
        <v>#DIV/0!</v>
      </c>
      <c r="U114" s="2" t="e">
        <f t="shared" si="9"/>
        <v>#DIV/0!</v>
      </c>
      <c r="V114">
        <f t="shared" si="10"/>
        <v>0</v>
      </c>
      <c r="W114" s="2">
        <f t="shared" si="11"/>
        <v>0</v>
      </c>
      <c r="X114" t="e">
        <f t="shared" si="12"/>
        <v>#DIV/0!</v>
      </c>
      <c r="Y114" s="2" t="e">
        <f t="shared" si="13"/>
        <v>#DIV/0!</v>
      </c>
    </row>
    <row r="115" spans="1:25" ht="12">
      <c r="A115" t="s">
        <v>120</v>
      </c>
      <c r="E115" s="12" t="e">
        <f t="shared" si="2"/>
        <v>#DIV/0!</v>
      </c>
      <c r="J115" s="8"/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>
        <f t="shared" si="10"/>
        <v>0</v>
      </c>
      <c r="W115" s="2">
        <f t="shared" si="11"/>
        <v>0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/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>
        <f t="shared" si="10"/>
        <v>0</v>
      </c>
      <c r="W116" s="2">
        <f t="shared" si="11"/>
        <v>0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C117">
        <v>34</v>
      </c>
      <c r="D117">
        <v>23</v>
      </c>
      <c r="E117" s="12">
        <f t="shared" si="2"/>
        <v>67.64705882352942</v>
      </c>
      <c r="F117">
        <v>221</v>
      </c>
      <c r="G117">
        <v>1</v>
      </c>
      <c r="H117">
        <v>25</v>
      </c>
      <c r="J117" s="8">
        <f>+G117/C117*100</f>
        <v>2.941176470588235</v>
      </c>
      <c r="K117" s="12">
        <f t="shared" si="3"/>
        <v>0</v>
      </c>
      <c r="L117" s="12">
        <f t="shared" si="4"/>
        <v>6.5</v>
      </c>
      <c r="M117" s="12">
        <f t="shared" si="5"/>
        <v>95.34313725490198</v>
      </c>
      <c r="O117">
        <v>2</v>
      </c>
      <c r="R117">
        <f t="shared" si="6"/>
        <v>1.882352941176471</v>
      </c>
      <c r="S117" s="2">
        <f t="shared" si="7"/>
        <v>1.882352941176471</v>
      </c>
      <c r="T117" s="6">
        <f t="shared" si="8"/>
        <v>0.875</v>
      </c>
      <c r="U117" s="2">
        <f t="shared" si="9"/>
        <v>0.875</v>
      </c>
      <c r="V117">
        <f t="shared" si="10"/>
        <v>0.588235294117647</v>
      </c>
      <c r="W117" s="2">
        <f t="shared" si="11"/>
        <v>0.588235294117647</v>
      </c>
      <c r="X117">
        <f t="shared" si="12"/>
        <v>2.375</v>
      </c>
      <c r="Y117" s="2">
        <f t="shared" si="13"/>
        <v>2.375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3</v>
      </c>
      <c r="D121">
        <v>1</v>
      </c>
      <c r="E121">
        <f>4+9+4</f>
        <v>17</v>
      </c>
      <c r="F121" s="12">
        <f aca="true" t="shared" si="14" ref="F121:F126">+E121/C121</f>
        <v>5.666666666666667</v>
      </c>
      <c r="G121">
        <v>9</v>
      </c>
    </row>
    <row r="122" spans="1:7" ht="12">
      <c r="A122" t="s">
        <v>134</v>
      </c>
      <c r="C122">
        <v>1</v>
      </c>
      <c r="E122">
        <v>12</v>
      </c>
      <c r="F122" s="12">
        <f t="shared" si="14"/>
        <v>12</v>
      </c>
      <c r="G122">
        <v>12</v>
      </c>
    </row>
    <row r="123" spans="1:6" ht="12">
      <c r="A123" t="s">
        <v>135</v>
      </c>
      <c r="F123" s="12" t="e">
        <f t="shared" si="14"/>
        <v>#DIV/0!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5" ht="12">
      <c r="A132" t="s">
        <v>137</v>
      </c>
      <c r="E132" s="12" t="e">
        <f t="shared" si="15"/>
        <v>#DIV/0!</v>
      </c>
    </row>
    <row r="133" spans="1:6" ht="12">
      <c r="A133" t="s">
        <v>116</v>
      </c>
      <c r="C133">
        <v>2</v>
      </c>
      <c r="D133">
        <v>32</v>
      </c>
      <c r="E133" s="12">
        <f t="shared" si="15"/>
        <v>16</v>
      </c>
      <c r="F133">
        <v>23</v>
      </c>
    </row>
    <row r="134" spans="1:5" ht="12">
      <c r="A134" t="s">
        <v>128</v>
      </c>
      <c r="E134" s="12" t="e">
        <f t="shared" si="15"/>
        <v>#DIV/0!</v>
      </c>
    </row>
    <row r="135" spans="1:6" ht="12">
      <c r="A135" t="s">
        <v>134</v>
      </c>
      <c r="C135">
        <v>2</v>
      </c>
      <c r="D135">
        <v>35</v>
      </c>
      <c r="E135" s="12">
        <f t="shared" si="15"/>
        <v>17.5</v>
      </c>
      <c r="F135">
        <v>23</v>
      </c>
    </row>
    <row r="136" spans="1:5" ht="12">
      <c r="A136" t="s">
        <v>119</v>
      </c>
      <c r="E136" s="12" t="e">
        <f t="shared" si="15"/>
        <v>#DIV/0!</v>
      </c>
    </row>
    <row r="137" spans="1:5" ht="12">
      <c r="A137" t="s">
        <v>135</v>
      </c>
      <c r="E137" s="12" t="e">
        <f>+D137/C137</f>
        <v>#DIV/0!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6</v>
      </c>
      <c r="D143">
        <f>34+26+33+41+48+37</f>
        <v>219</v>
      </c>
      <c r="F143">
        <v>48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19" ht="12">
      <c r="A151" t="s">
        <v>140</v>
      </c>
      <c r="C151">
        <v>6</v>
      </c>
      <c r="D151">
        <v>2</v>
      </c>
      <c r="E151">
        <v>4</v>
      </c>
      <c r="F151">
        <v>4</v>
      </c>
      <c r="G151">
        <v>1</v>
      </c>
      <c r="H151">
        <v>1</v>
      </c>
      <c r="I151" s="12">
        <f>+H151/G151*100</f>
        <v>100</v>
      </c>
      <c r="J151">
        <v>41</v>
      </c>
      <c r="R151">
        <v>1</v>
      </c>
      <c r="S151">
        <v>1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6" ht="12">
      <c r="A158" t="s">
        <v>143</v>
      </c>
      <c r="C158">
        <v>1</v>
      </c>
      <c r="D158">
        <v>44</v>
      </c>
      <c r="E158" s="12">
        <f t="shared" si="16"/>
        <v>44</v>
      </c>
      <c r="F158">
        <v>44</v>
      </c>
    </row>
    <row r="159" spans="1:5" ht="12">
      <c r="A159" t="s">
        <v>144</v>
      </c>
      <c r="E159" s="12" t="e">
        <f t="shared" si="16"/>
        <v>#DIV/0!</v>
      </c>
    </row>
    <row r="160" spans="1:5" ht="12">
      <c r="A160" t="s">
        <v>145</v>
      </c>
      <c r="E160" s="12" t="e">
        <f t="shared" si="16"/>
        <v>#DIV/0!</v>
      </c>
    </row>
    <row r="161" spans="1:5" ht="12">
      <c r="A161" t="s">
        <v>146</v>
      </c>
      <c r="E161" s="12" t="e">
        <f t="shared" si="16"/>
        <v>#DIV/0!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>
        <v>1</v>
      </c>
      <c r="D172" s="3">
        <v>13</v>
      </c>
    </row>
    <row r="173" spans="1:4" ht="12">
      <c r="A173" t="s">
        <v>148</v>
      </c>
      <c r="C173" s="3"/>
      <c r="D173" s="3"/>
    </row>
    <row r="174" spans="1:4" ht="12">
      <c r="A174" t="s">
        <v>145</v>
      </c>
      <c r="C174" s="3">
        <v>1</v>
      </c>
      <c r="D174" s="3">
        <v>3</v>
      </c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>
        <v>1</v>
      </c>
      <c r="D176" s="3">
        <v>7</v>
      </c>
    </row>
    <row r="177" spans="1:4" ht="12">
      <c r="A177" t="s">
        <v>151</v>
      </c>
      <c r="C177" s="3"/>
      <c r="D177" s="3"/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spans="1:3" ht="12">
      <c r="A203" t="s">
        <v>143</v>
      </c>
      <c r="C203">
        <v>1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spans="1:3" ht="12">
      <c r="A210" t="s">
        <v>144</v>
      </c>
      <c r="C210">
        <v>2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spans="1:6" ht="12">
      <c r="A218" t="s">
        <v>159</v>
      </c>
      <c r="C218">
        <v>1</v>
      </c>
      <c r="D218">
        <v>26</v>
      </c>
      <c r="E218">
        <v>26</v>
      </c>
      <c r="F218">
        <v>1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ht="12">
      <c r="A241" t="s">
        <v>151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I39" sqref="I39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22</v>
      </c>
      <c r="H6" s="1" t="s">
        <v>29</v>
      </c>
      <c r="M6" s="2">
        <v>23</v>
      </c>
    </row>
    <row r="7" spans="1:13" ht="12">
      <c r="A7" s="18" t="s">
        <v>95</v>
      </c>
      <c r="D7" s="2">
        <v>3</v>
      </c>
      <c r="H7" s="18" t="s">
        <v>95</v>
      </c>
      <c r="M7" s="2">
        <v>12</v>
      </c>
    </row>
    <row r="8" spans="1:13" ht="12">
      <c r="A8" s="18" t="s">
        <v>96</v>
      </c>
      <c r="D8" s="2">
        <v>17</v>
      </c>
      <c r="H8" s="18" t="s">
        <v>96</v>
      </c>
      <c r="M8" s="2">
        <v>11</v>
      </c>
    </row>
    <row r="9" spans="1:13" ht="12">
      <c r="A9" s="18" t="s">
        <v>97</v>
      </c>
      <c r="D9" s="2">
        <v>2</v>
      </c>
      <c r="H9" s="18" t="s">
        <v>97</v>
      </c>
      <c r="M9" s="2">
        <v>0</v>
      </c>
    </row>
    <row r="10" spans="1:14" ht="12">
      <c r="A10" s="21" t="s">
        <v>168</v>
      </c>
      <c r="C10">
        <v>4</v>
      </c>
      <c r="D10" s="2">
        <v>10</v>
      </c>
      <c r="E10" s="22">
        <f>+C10/D10</f>
        <v>0.4</v>
      </c>
      <c r="H10" s="21" t="s">
        <v>168</v>
      </c>
      <c r="L10">
        <v>5</v>
      </c>
      <c r="M10" s="2">
        <v>10</v>
      </c>
      <c r="N10" s="22">
        <f>+L10/M10</f>
        <v>0.5</v>
      </c>
    </row>
    <row r="12" spans="1:23" ht="12">
      <c r="A12" t="s">
        <v>1</v>
      </c>
      <c r="D12" s="2">
        <v>22</v>
      </c>
      <c r="H12" t="s">
        <v>1</v>
      </c>
      <c r="M12" s="2">
        <f>21+4+7+3+4</f>
        <v>39</v>
      </c>
      <c r="V12">
        <f>+D12</f>
        <v>22</v>
      </c>
      <c r="W12">
        <f>+M12</f>
        <v>39</v>
      </c>
    </row>
    <row r="13" spans="1:23" ht="12">
      <c r="A13" t="s">
        <v>2</v>
      </c>
      <c r="D13" s="2">
        <f>28-2+9+9-5+1</f>
        <v>40</v>
      </c>
      <c r="H13" t="s">
        <v>2</v>
      </c>
      <c r="M13" s="2">
        <f>121+15+57+4+33</f>
        <v>230</v>
      </c>
      <c r="U13" s="13"/>
      <c r="V13">
        <f>+D17</f>
        <v>30</v>
      </c>
      <c r="W13">
        <f>+M17</f>
        <v>14</v>
      </c>
    </row>
    <row r="14" spans="1:23" ht="12">
      <c r="A14" s="1" t="s">
        <v>3</v>
      </c>
      <c r="D14" s="8">
        <f>+D13/D12</f>
        <v>1.8181818181818181</v>
      </c>
      <c r="H14" s="1" t="s">
        <v>3</v>
      </c>
      <c r="M14" s="8">
        <f>+M13/M12</f>
        <v>5.897435897435898</v>
      </c>
      <c r="V14">
        <f>+(D16-D17)/2</f>
        <v>10.5</v>
      </c>
      <c r="W14">
        <f>+(M16-M17)/2</f>
        <v>4</v>
      </c>
    </row>
    <row r="15" spans="22:23" ht="12">
      <c r="V15">
        <f>+D39/2</f>
        <v>2</v>
      </c>
      <c r="W15">
        <f>+M39/2</f>
        <v>2</v>
      </c>
    </row>
    <row r="16" spans="1:23" ht="12">
      <c r="A16" t="s">
        <v>4</v>
      </c>
      <c r="D16" s="2">
        <v>51</v>
      </c>
      <c r="H16" t="s">
        <v>4</v>
      </c>
      <c r="M16" s="2">
        <v>22</v>
      </c>
      <c r="V16">
        <f>+D43/2</f>
        <v>1.5</v>
      </c>
      <c r="W16">
        <f>+M43/2</f>
        <v>1.5</v>
      </c>
    </row>
    <row r="17" spans="1:23" ht="12">
      <c r="A17" t="s">
        <v>5</v>
      </c>
      <c r="D17" s="2">
        <v>30</v>
      </c>
      <c r="H17" t="s">
        <v>5</v>
      </c>
      <c r="M17" s="2">
        <v>14</v>
      </c>
      <c r="V17">
        <f>+D48/2</f>
        <v>2.5</v>
      </c>
      <c r="W17">
        <f>+M48/2</f>
        <v>2</v>
      </c>
    </row>
    <row r="18" spans="1:13" ht="12">
      <c r="A18" t="s">
        <v>6</v>
      </c>
      <c r="D18" s="8">
        <f>+D17/D16*100</f>
        <v>58.82352941176471</v>
      </c>
      <c r="H18" t="s">
        <v>6</v>
      </c>
      <c r="M18" s="8">
        <f>+M17/M16*100</f>
        <v>63.63636363636363</v>
      </c>
    </row>
    <row r="19" spans="1:24" ht="12">
      <c r="A19" t="s">
        <v>7</v>
      </c>
      <c r="D19" s="2">
        <v>354</v>
      </c>
      <c r="H19" t="s">
        <v>7</v>
      </c>
      <c r="M19" s="2">
        <v>212</v>
      </c>
      <c r="V19">
        <f>SUM(V12:V17)</f>
        <v>68.5</v>
      </c>
      <c r="W19">
        <f>SUM(W12:W17)</f>
        <v>62.5</v>
      </c>
      <c r="X19">
        <f>+W19+V19</f>
        <v>131</v>
      </c>
    </row>
    <row r="20" spans="1:23" ht="12">
      <c r="A20" t="s">
        <v>8</v>
      </c>
      <c r="D20" s="2">
        <v>0</v>
      </c>
      <c r="H20" t="s">
        <v>8</v>
      </c>
      <c r="M20" s="2">
        <v>2</v>
      </c>
      <c r="V20">
        <f>+V19/X19</f>
        <v>0.5229007633587787</v>
      </c>
      <c r="W20">
        <f>+W19/X19</f>
        <v>0.4770992366412214</v>
      </c>
    </row>
    <row r="21" spans="1:23" ht="12">
      <c r="A21" t="s">
        <v>9</v>
      </c>
      <c r="D21" s="2">
        <v>0</v>
      </c>
      <c r="H21" t="s">
        <v>9</v>
      </c>
      <c r="M21" s="2">
        <v>16</v>
      </c>
      <c r="V21">
        <f>+V20*60</f>
        <v>31.37404580152672</v>
      </c>
      <c r="W21">
        <f>+W20*60</f>
        <v>28.625954198473284</v>
      </c>
    </row>
    <row r="22" spans="1:23" ht="12">
      <c r="A22" t="s">
        <v>10</v>
      </c>
      <c r="D22">
        <f>+D19-D21</f>
        <v>354</v>
      </c>
      <c r="H22" t="s">
        <v>10</v>
      </c>
      <c r="M22">
        <f>+M19-M21</f>
        <v>196</v>
      </c>
      <c r="V22">
        <f>+V21-INT(V21)</f>
        <v>0.3740458015267194</v>
      </c>
      <c r="W22">
        <f>+W21-INT(W21)</f>
        <v>0.6259541984732842</v>
      </c>
    </row>
    <row r="23" spans="1:23" ht="12">
      <c r="A23" t="s">
        <v>11</v>
      </c>
      <c r="D23" s="7">
        <f>+D22/(D16+D20)</f>
        <v>6.9411764705882355</v>
      </c>
      <c r="H23" t="s">
        <v>11</v>
      </c>
      <c r="M23" s="7">
        <f>+M22/(M16+M20)</f>
        <v>8.166666666666666</v>
      </c>
      <c r="V23">
        <f>+V22*60</f>
        <v>22.442748091603164</v>
      </c>
      <c r="W23">
        <f>+W22*60</f>
        <v>37.55725190839705</v>
      </c>
    </row>
    <row r="24" spans="1:23" ht="12">
      <c r="A24" t="s">
        <v>12</v>
      </c>
      <c r="D24" s="7">
        <f>+D19/D17</f>
        <v>11.8</v>
      </c>
      <c r="H24" t="s">
        <v>12</v>
      </c>
      <c r="M24" s="7">
        <f>+M19/M17</f>
        <v>15.142857142857142</v>
      </c>
      <c r="U24">
        <v>0</v>
      </c>
      <c r="V24" s="11">
        <f>ROUND(V23,0)</f>
        <v>22</v>
      </c>
      <c r="W24">
        <f>ROUND(W23,0)</f>
        <v>38</v>
      </c>
    </row>
    <row r="25" spans="22:23" ht="12">
      <c r="V25">
        <f>INT(V21)</f>
        <v>31</v>
      </c>
      <c r="W25">
        <f>INT(W21)</f>
        <v>28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394</v>
      </c>
      <c r="H27" t="s">
        <v>14</v>
      </c>
      <c r="M27">
        <f>+M22+M13</f>
        <v>426</v>
      </c>
      <c r="V27" s="14" t="str">
        <f>+V25&amp;V26&amp;V24</f>
        <v>31:22</v>
      </c>
      <c r="W27" s="9" t="str">
        <f>+W25&amp;W26&amp;W24</f>
        <v>28:38</v>
      </c>
    </row>
    <row r="28" spans="1:23" ht="12">
      <c r="A28" t="s">
        <v>15</v>
      </c>
      <c r="D28" s="7">
        <f>+D13/D27*100</f>
        <v>10.152284263959391</v>
      </c>
      <c r="H28" t="s">
        <v>15</v>
      </c>
      <c r="M28" s="7">
        <f>+M13/M27*100</f>
        <v>53.990610328638496</v>
      </c>
      <c r="V28" s="9" t="str">
        <f>IF(V24&lt;10,+V25&amp;V26&amp;$U$24&amp;V24,+V25&amp;V26&amp;V24)</f>
        <v>31:22</v>
      </c>
      <c r="W28" s="9" t="str">
        <f>IF(W24&lt;10,+W25&amp;W26&amp;$U$24&amp;W24,+W25&amp;W26&amp;W24)</f>
        <v>28:38</v>
      </c>
    </row>
    <row r="29" spans="1:13" ht="12">
      <c r="A29" s="1" t="s">
        <v>90</v>
      </c>
      <c r="D29" s="7">
        <f>+D22/D27*100</f>
        <v>89.84771573604061</v>
      </c>
      <c r="H29" s="1" t="s">
        <v>90</v>
      </c>
      <c r="M29" s="7">
        <f>+M22/M27*100</f>
        <v>46.009389671361504</v>
      </c>
    </row>
    <row r="31" spans="1:13" ht="12">
      <c r="A31" t="s">
        <v>16</v>
      </c>
      <c r="D31">
        <f>+D12+D16+D20</f>
        <v>73</v>
      </c>
      <c r="H31" t="s">
        <v>16</v>
      </c>
      <c r="M31">
        <f>+M12+M16+M20</f>
        <v>63</v>
      </c>
    </row>
    <row r="32" spans="1:13" ht="12">
      <c r="A32" t="s">
        <v>17</v>
      </c>
      <c r="D32" s="8">
        <f>+D27/D31</f>
        <v>5.397260273972603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6.761904761904762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1</v>
      </c>
      <c r="H35" t="s">
        <v>19</v>
      </c>
      <c r="M35" s="2">
        <v>1</v>
      </c>
    </row>
    <row r="36" spans="1:13" ht="12">
      <c r="A36" t="s">
        <v>20</v>
      </c>
      <c r="D36" s="2">
        <v>0</v>
      </c>
      <c r="H36" t="s">
        <v>20</v>
      </c>
      <c r="M36" s="2">
        <v>65</v>
      </c>
    </row>
    <row r="37" spans="1:13" ht="12">
      <c r="A37" t="s">
        <v>21</v>
      </c>
      <c r="D37" s="2">
        <v>0</v>
      </c>
      <c r="H37" t="s">
        <v>21</v>
      </c>
      <c r="M37" s="2">
        <v>1</v>
      </c>
    </row>
    <row r="39" spans="1:13" ht="12">
      <c r="A39" t="s">
        <v>22</v>
      </c>
      <c r="D39" s="2">
        <v>4</v>
      </c>
      <c r="H39" t="s">
        <v>22</v>
      </c>
      <c r="M39" s="2">
        <v>4</v>
      </c>
    </row>
    <row r="40" spans="1:13" ht="12">
      <c r="A40" t="s">
        <v>23</v>
      </c>
      <c r="D40" s="2">
        <f>45+27+31+32</f>
        <v>135</v>
      </c>
      <c r="H40" t="s">
        <v>23</v>
      </c>
      <c r="M40" s="2">
        <f>27+41+41+41</f>
        <v>150</v>
      </c>
    </row>
    <row r="41" spans="1:13" ht="12">
      <c r="A41" t="s">
        <v>24</v>
      </c>
      <c r="D41" s="8">
        <f>+D40/D39</f>
        <v>33.75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37.5</v>
      </c>
    </row>
    <row r="43" spans="1:13" ht="12">
      <c r="A43" t="s">
        <v>25</v>
      </c>
      <c r="D43" s="2">
        <v>3</v>
      </c>
      <c r="H43" t="s">
        <v>25</v>
      </c>
      <c r="M43" s="2">
        <v>3</v>
      </c>
    </row>
    <row r="44" spans="1:13" ht="12">
      <c r="A44" t="s">
        <v>26</v>
      </c>
      <c r="D44" s="2">
        <v>18</v>
      </c>
      <c r="H44" t="s">
        <v>26</v>
      </c>
      <c r="M44" s="2">
        <f>12+5+9</f>
        <v>26</v>
      </c>
    </row>
    <row r="45" spans="1:13" ht="12">
      <c r="A45" t="s">
        <v>27</v>
      </c>
      <c r="D45" s="8">
        <f>+D44/D43</f>
        <v>6</v>
      </c>
      <c r="H45" t="s">
        <v>27</v>
      </c>
      <c r="M45" s="8">
        <f>+M44/M43</f>
        <v>8.666666666666666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5</v>
      </c>
      <c r="H48" t="s">
        <v>30</v>
      </c>
      <c r="M48" s="2">
        <v>4</v>
      </c>
    </row>
    <row r="49" spans="1:13" ht="12">
      <c r="A49" t="s">
        <v>26</v>
      </c>
      <c r="D49" s="2">
        <f>13+15+19+26+20</f>
        <v>93</v>
      </c>
      <c r="H49" t="s">
        <v>26</v>
      </c>
      <c r="M49" s="2">
        <f>0+15+21+12</f>
        <v>48</v>
      </c>
    </row>
    <row r="50" spans="1:13" ht="12">
      <c r="A50" t="s">
        <v>27</v>
      </c>
      <c r="D50" s="8">
        <f>+D49/D48</f>
        <v>18.6</v>
      </c>
      <c r="H50" t="s">
        <v>27</v>
      </c>
      <c r="M50" s="8">
        <f>+M49/M48</f>
        <v>12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3</v>
      </c>
      <c r="H53" t="s">
        <v>31</v>
      </c>
      <c r="M53" s="2">
        <v>8</v>
      </c>
    </row>
    <row r="54" spans="1:13" ht="12">
      <c r="A54" t="s">
        <v>32</v>
      </c>
      <c r="D54" s="2">
        <v>35</v>
      </c>
      <c r="H54" t="s">
        <v>32</v>
      </c>
      <c r="M54" s="2">
        <v>47</v>
      </c>
    </row>
    <row r="56" spans="1:13" ht="12">
      <c r="A56" t="s">
        <v>33</v>
      </c>
      <c r="D56" s="2">
        <v>3</v>
      </c>
      <c r="H56" t="s">
        <v>33</v>
      </c>
      <c r="M56" s="2">
        <v>3</v>
      </c>
    </row>
    <row r="57" spans="1:13" ht="12">
      <c r="A57" t="s">
        <v>34</v>
      </c>
      <c r="D57" s="2">
        <v>1</v>
      </c>
      <c r="H57" t="s">
        <v>34</v>
      </c>
      <c r="M57" s="2">
        <v>1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2</v>
      </c>
      <c r="H59" t="s">
        <v>36</v>
      </c>
      <c r="M59" s="2">
        <v>2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3" ht="12">
      <c r="A62" t="s">
        <v>38</v>
      </c>
      <c r="D62" s="2">
        <v>22</v>
      </c>
      <c r="H62" t="s">
        <v>38</v>
      </c>
      <c r="M62" s="2">
        <v>38</v>
      </c>
    </row>
    <row r="63" spans="1:13" ht="12">
      <c r="A63" t="s">
        <v>39</v>
      </c>
      <c r="D63" s="2">
        <v>2</v>
      </c>
      <c r="H63" t="s">
        <v>39</v>
      </c>
      <c r="M63" s="2">
        <v>5</v>
      </c>
    </row>
    <row r="64" spans="1:13" ht="12">
      <c r="A64" t="s">
        <v>40</v>
      </c>
      <c r="D64" s="2">
        <v>0</v>
      </c>
      <c r="H64" t="s">
        <v>40</v>
      </c>
      <c r="M64" s="2">
        <v>3</v>
      </c>
    </row>
    <row r="65" spans="1:13" ht="12">
      <c r="A65" t="s">
        <v>41</v>
      </c>
      <c r="D65" s="2">
        <v>1</v>
      </c>
      <c r="H65" t="s">
        <v>41</v>
      </c>
      <c r="M65" s="2">
        <v>2</v>
      </c>
    </row>
    <row r="66" spans="1:13" ht="12">
      <c r="A66" t="s">
        <v>42</v>
      </c>
      <c r="D66" s="2">
        <v>1</v>
      </c>
      <c r="H66" t="s">
        <v>42</v>
      </c>
      <c r="M66" s="2">
        <v>0</v>
      </c>
    </row>
    <row r="67" spans="1:13" ht="12">
      <c r="A67" t="s">
        <v>43</v>
      </c>
      <c r="D67" s="2">
        <v>1</v>
      </c>
      <c r="H67" t="s">
        <v>43</v>
      </c>
      <c r="M67" s="2">
        <v>5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3</v>
      </c>
      <c r="H69" t="s">
        <v>45</v>
      </c>
      <c r="M69" s="2">
        <v>1</v>
      </c>
    </row>
    <row r="70" spans="1:13" ht="12">
      <c r="A70" t="s">
        <v>46</v>
      </c>
      <c r="D70" s="2">
        <v>5</v>
      </c>
      <c r="H70" t="s">
        <v>46</v>
      </c>
      <c r="M70" s="2">
        <v>1</v>
      </c>
    </row>
    <row r="71" spans="1:13" ht="12">
      <c r="A71" t="s">
        <v>47</v>
      </c>
      <c r="D71" s="8">
        <f>+D69/D70*100</f>
        <v>60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100</v>
      </c>
    </row>
    <row r="72" spans="1:13" ht="12">
      <c r="A72" t="s">
        <v>93</v>
      </c>
      <c r="D72" s="10" t="str">
        <f>IF(V24&lt;10,V28,V27)</f>
        <v>31:22</v>
      </c>
      <c r="E72" s="8"/>
      <c r="F72" s="8"/>
      <c r="H72" t="s">
        <v>93</v>
      </c>
      <c r="M72" s="10" t="str">
        <f>IF(W24&lt;10,W28,W27)</f>
        <v>28:38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6" ht="12">
      <c r="A77" t="s">
        <v>113</v>
      </c>
      <c r="C77">
        <v>9</v>
      </c>
      <c r="D77">
        <v>28</v>
      </c>
      <c r="E77" s="12">
        <f>+D77/C77</f>
        <v>3.111111111111111</v>
      </c>
      <c r="F77">
        <v>7</v>
      </c>
    </row>
    <row r="78" spans="1:6" ht="12">
      <c r="A78" t="s">
        <v>114</v>
      </c>
      <c r="C78">
        <v>6</v>
      </c>
      <c r="D78">
        <v>9</v>
      </c>
      <c r="E78" s="12">
        <f>+D78/C78</f>
        <v>1.5</v>
      </c>
      <c r="F78">
        <v>5</v>
      </c>
    </row>
    <row r="79" spans="1:5" ht="12">
      <c r="A79" t="s">
        <v>115</v>
      </c>
      <c r="E79" s="12" t="e">
        <f aca="true" t="shared" si="0" ref="E79:E85">+D79/C79</f>
        <v>#DIV/0!</v>
      </c>
    </row>
    <row r="80" spans="1:6" ht="12">
      <c r="A80" t="s">
        <v>116</v>
      </c>
      <c r="C80">
        <v>1</v>
      </c>
      <c r="D80">
        <v>-5</v>
      </c>
      <c r="E80" s="12">
        <f t="shared" si="0"/>
        <v>-5</v>
      </c>
      <c r="F80">
        <v>-5</v>
      </c>
    </row>
    <row r="81" spans="1:6" ht="12">
      <c r="A81" t="s">
        <v>117</v>
      </c>
      <c r="C81">
        <v>3</v>
      </c>
      <c r="D81">
        <v>9</v>
      </c>
      <c r="E81" s="12">
        <f t="shared" si="0"/>
        <v>3</v>
      </c>
      <c r="F81">
        <v>9</v>
      </c>
    </row>
    <row r="82" spans="1:5" ht="12">
      <c r="A82" t="s">
        <v>118</v>
      </c>
      <c r="E82" s="12" t="e">
        <f t="shared" si="0"/>
        <v>#DIV/0!</v>
      </c>
    </row>
    <row r="83" spans="1:5" ht="12">
      <c r="A83" t="s">
        <v>119</v>
      </c>
      <c r="E83" s="12" t="e">
        <f t="shared" si="0"/>
        <v>#DIV/0!</v>
      </c>
    </row>
    <row r="84" spans="1:5" ht="12">
      <c r="A84" t="s">
        <v>120</v>
      </c>
      <c r="E84" s="12" t="e">
        <f t="shared" si="0"/>
        <v>#DIV/0!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6" ht="12">
      <c r="A87" t="s">
        <v>123</v>
      </c>
      <c r="C87">
        <v>2</v>
      </c>
      <c r="D87">
        <v>-2</v>
      </c>
      <c r="E87" s="12">
        <f>+D87/C87</f>
        <v>-1</v>
      </c>
      <c r="F87">
        <v>-1</v>
      </c>
    </row>
    <row r="88" spans="1:5" ht="12">
      <c r="A88" t="s">
        <v>124</v>
      </c>
      <c r="E88" s="8"/>
    </row>
    <row r="89" spans="1:6" ht="12">
      <c r="A89" t="s">
        <v>125</v>
      </c>
      <c r="C89">
        <v>1</v>
      </c>
      <c r="D89">
        <v>1</v>
      </c>
      <c r="E89" s="8"/>
      <c r="F89">
        <v>1</v>
      </c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7" ht="12">
      <c r="A94" t="s">
        <v>113</v>
      </c>
      <c r="C94">
        <v>2</v>
      </c>
      <c r="D94">
        <v>19</v>
      </c>
      <c r="E94" s="12">
        <f t="shared" si="1"/>
        <v>9.5</v>
      </c>
      <c r="F94">
        <v>14</v>
      </c>
      <c r="G94">
        <v>1</v>
      </c>
    </row>
    <row r="95" spans="1:6" ht="12">
      <c r="A95" t="s">
        <v>114</v>
      </c>
      <c r="C95">
        <v>4</v>
      </c>
      <c r="D95">
        <v>59</v>
      </c>
      <c r="E95" s="12">
        <f t="shared" si="1"/>
        <v>14.75</v>
      </c>
      <c r="F95">
        <v>21</v>
      </c>
    </row>
    <row r="96" spans="1:6" ht="12">
      <c r="A96" t="s">
        <v>115</v>
      </c>
      <c r="C96">
        <v>4</v>
      </c>
      <c r="D96">
        <v>14</v>
      </c>
      <c r="E96" s="12">
        <f t="shared" si="1"/>
        <v>3.5</v>
      </c>
      <c r="F96">
        <v>13</v>
      </c>
    </row>
    <row r="97" spans="1:6" ht="12">
      <c r="A97" t="s">
        <v>117</v>
      </c>
      <c r="C97">
        <v>1</v>
      </c>
      <c r="D97">
        <v>5</v>
      </c>
      <c r="E97" s="12">
        <f t="shared" si="1"/>
        <v>5</v>
      </c>
      <c r="F97">
        <v>5</v>
      </c>
    </row>
    <row r="98" spans="1:5" ht="12">
      <c r="A98" t="s">
        <v>128</v>
      </c>
      <c r="E98" s="12" t="e">
        <f t="shared" si="1"/>
        <v>#DIV/0!</v>
      </c>
    </row>
    <row r="99" spans="1:6" ht="12">
      <c r="A99" t="s">
        <v>119</v>
      </c>
      <c r="C99">
        <v>1</v>
      </c>
      <c r="D99">
        <v>2</v>
      </c>
      <c r="E99" s="12">
        <f t="shared" si="1"/>
        <v>2</v>
      </c>
      <c r="F99">
        <v>2</v>
      </c>
    </row>
    <row r="100" spans="1:8" ht="12">
      <c r="A100" t="s">
        <v>120</v>
      </c>
      <c r="C100">
        <v>7</v>
      </c>
      <c r="D100">
        <v>119</v>
      </c>
      <c r="E100" s="12">
        <f t="shared" si="1"/>
        <v>17</v>
      </c>
      <c r="F100">
        <v>27</v>
      </c>
      <c r="H100">
        <v>1</v>
      </c>
    </row>
    <row r="101" spans="1:8" ht="12">
      <c r="A101" t="s">
        <v>129</v>
      </c>
      <c r="C101">
        <v>6</v>
      </c>
      <c r="D101">
        <v>73</v>
      </c>
      <c r="E101" s="12">
        <f t="shared" si="1"/>
        <v>12.166666666666666</v>
      </c>
      <c r="F101">
        <v>23</v>
      </c>
      <c r="H101">
        <v>1</v>
      </c>
    </row>
    <row r="102" spans="1:5" ht="12">
      <c r="A102" t="s">
        <v>130</v>
      </c>
      <c r="E102" s="12" t="e">
        <f t="shared" si="1"/>
        <v>#DIV/0!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6" ht="12">
      <c r="A105" t="s">
        <v>132</v>
      </c>
      <c r="C105">
        <v>1</v>
      </c>
      <c r="D105">
        <v>30</v>
      </c>
      <c r="E105" s="12">
        <f>+D105/C105</f>
        <v>30</v>
      </c>
      <c r="F105">
        <v>30</v>
      </c>
    </row>
    <row r="106" spans="1:8" ht="12">
      <c r="A106" t="s">
        <v>123</v>
      </c>
      <c r="C106">
        <v>4</v>
      </c>
      <c r="D106">
        <v>33</v>
      </c>
      <c r="E106" s="12"/>
      <c r="F106">
        <v>14</v>
      </c>
      <c r="H106">
        <v>1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>+G113/C113*100</f>
        <v>#DIV/0!</v>
      </c>
      <c r="K113" s="12" t="e">
        <f aca="true" t="shared" si="3" ref="K113:K118">+I113/C113*100</f>
        <v>#DIV/0!</v>
      </c>
      <c r="L113" s="12" t="e">
        <f aca="true" t="shared" si="4" ref="L113:L118">+F113/C113</f>
        <v>#DIV/0!</v>
      </c>
      <c r="M113" s="12" t="e">
        <f aca="true" t="shared" si="5" ref="M113:M118">100*(S113+U113+W113+Y113)/6</f>
        <v>#DIV/0!</v>
      </c>
      <c r="R113" t="e">
        <f aca="true" t="shared" si="6" ref="R113:R118">+(E113-30)/20</f>
        <v>#DIV/0!</v>
      </c>
      <c r="S113" s="2" t="e">
        <f aca="true" t="shared" si="7" ref="S113:S118">IF(R113&lt;0,0,R113)</f>
        <v>#DIV/0!</v>
      </c>
      <c r="T113" s="6" t="e">
        <f aca="true" t="shared" si="8" ref="T113:T118">+(L113-3)/4</f>
        <v>#DIV/0!</v>
      </c>
      <c r="U113" s="2" t="e">
        <f aca="true" t="shared" si="9" ref="U113:U118">IF(T113&lt;0,0,T113)</f>
        <v>#DIV/0!</v>
      </c>
      <c r="V113" t="e">
        <f aca="true" t="shared" si="10" ref="V113:V118">+J113/5</f>
        <v>#DIV/0!</v>
      </c>
      <c r="W113" s="2" t="e">
        <f aca="true" t="shared" si="11" ref="W113:W118">IF(V113&lt;0,0,V113)</f>
        <v>#DIV/0!</v>
      </c>
      <c r="X113" t="e">
        <f aca="true" t="shared" si="12" ref="X113:X118">(9.5-K113)/4</f>
        <v>#DIV/0!</v>
      </c>
      <c r="Y113" s="2" t="e">
        <f aca="true" t="shared" si="13" ref="Y113:Y118">IF(X113&lt;0,0,X113)</f>
        <v>#DIV/0!</v>
      </c>
    </row>
    <row r="114" spans="1:25" ht="12">
      <c r="A114" t="s">
        <v>118</v>
      </c>
      <c r="E114" s="12" t="e">
        <f t="shared" si="2"/>
        <v>#DIV/0!</v>
      </c>
      <c r="J114" s="8"/>
      <c r="K114" s="12" t="e">
        <f t="shared" si="3"/>
        <v>#DIV/0!</v>
      </c>
      <c r="L114" s="12" t="e">
        <f t="shared" si="4"/>
        <v>#DIV/0!</v>
      </c>
      <c r="M114" s="12" t="e">
        <f t="shared" si="5"/>
        <v>#DIV/0!</v>
      </c>
      <c r="R114" t="e">
        <f t="shared" si="6"/>
        <v>#DIV/0!</v>
      </c>
      <c r="S114" s="2" t="e">
        <f t="shared" si="7"/>
        <v>#DIV/0!</v>
      </c>
      <c r="T114" s="6" t="e">
        <f t="shared" si="8"/>
        <v>#DIV/0!</v>
      </c>
      <c r="U114" s="2" t="e">
        <f t="shared" si="9"/>
        <v>#DIV/0!</v>
      </c>
      <c r="V114">
        <f t="shared" si="10"/>
        <v>0</v>
      </c>
      <c r="W114" s="2">
        <f t="shared" si="11"/>
        <v>0</v>
      </c>
      <c r="X114" t="e">
        <f t="shared" si="12"/>
        <v>#DIV/0!</v>
      </c>
      <c r="Y114" s="2" t="e">
        <f t="shared" si="13"/>
        <v>#DIV/0!</v>
      </c>
    </row>
    <row r="115" spans="1:25" ht="12">
      <c r="A115" t="s">
        <v>120</v>
      </c>
      <c r="E115" s="12" t="e">
        <f t="shared" si="2"/>
        <v>#DIV/0!</v>
      </c>
      <c r="J115" s="8"/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>
        <f t="shared" si="10"/>
        <v>0</v>
      </c>
      <c r="W115" s="2">
        <f t="shared" si="11"/>
        <v>0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/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>
        <f t="shared" si="10"/>
        <v>0</v>
      </c>
      <c r="W116" s="2">
        <f t="shared" si="11"/>
        <v>0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C117">
        <v>51</v>
      </c>
      <c r="D117">
        <v>30</v>
      </c>
      <c r="E117" s="12">
        <f t="shared" si="2"/>
        <v>58.82352941176471</v>
      </c>
      <c r="F117">
        <v>354</v>
      </c>
      <c r="G117">
        <v>1</v>
      </c>
      <c r="H117">
        <v>30</v>
      </c>
      <c r="I117">
        <v>1</v>
      </c>
      <c r="J117" s="8">
        <f>+G117/C117*100</f>
        <v>1.9607843137254901</v>
      </c>
      <c r="K117" s="12">
        <f t="shared" si="3"/>
        <v>1.9607843137254901</v>
      </c>
      <c r="L117" s="12">
        <f t="shared" si="4"/>
        <v>6.9411764705882355</v>
      </c>
      <c r="M117" s="12">
        <f t="shared" si="5"/>
        <v>78.39052287581698</v>
      </c>
      <c r="R117">
        <f t="shared" si="6"/>
        <v>1.4411764705882355</v>
      </c>
      <c r="S117" s="2">
        <f t="shared" si="7"/>
        <v>1.4411764705882355</v>
      </c>
      <c r="T117" s="6">
        <f t="shared" si="8"/>
        <v>0.9852941176470589</v>
      </c>
      <c r="U117" s="2">
        <f t="shared" si="9"/>
        <v>0.9852941176470589</v>
      </c>
      <c r="V117">
        <f t="shared" si="10"/>
        <v>0.39215686274509803</v>
      </c>
      <c r="W117" s="2">
        <f t="shared" si="11"/>
        <v>0.39215686274509803</v>
      </c>
      <c r="X117">
        <f t="shared" si="12"/>
        <v>1.8848039215686274</v>
      </c>
      <c r="Y117" s="2">
        <f t="shared" si="13"/>
        <v>1.8848039215686274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3</v>
      </c>
      <c r="E121">
        <v>18</v>
      </c>
      <c r="F121" s="12">
        <f aca="true" t="shared" si="14" ref="F121:F126">+E121/C121</f>
        <v>6</v>
      </c>
      <c r="G121">
        <v>10</v>
      </c>
    </row>
    <row r="122" spans="1:6" ht="12">
      <c r="A122" t="s">
        <v>134</v>
      </c>
      <c r="F122" s="12" t="e">
        <f t="shared" si="14"/>
        <v>#DIV/0!</v>
      </c>
    </row>
    <row r="123" spans="1:6" ht="12">
      <c r="A123" t="s">
        <v>135</v>
      </c>
      <c r="F123" s="12" t="e">
        <f t="shared" si="14"/>
        <v>#DIV/0!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5" ht="12">
      <c r="A132" t="s">
        <v>137</v>
      </c>
      <c r="E132" s="12" t="e">
        <f t="shared" si="15"/>
        <v>#DIV/0!</v>
      </c>
    </row>
    <row r="133" spans="1:6" ht="12">
      <c r="A133" t="s">
        <v>116</v>
      </c>
      <c r="C133">
        <v>3</v>
      </c>
      <c r="D133">
        <f>13+15+19</f>
        <v>47</v>
      </c>
      <c r="E133" s="12">
        <f t="shared" si="15"/>
        <v>15.666666666666666</v>
      </c>
      <c r="F133">
        <v>19</v>
      </c>
    </row>
    <row r="134" spans="1:5" ht="12">
      <c r="A134" t="s">
        <v>128</v>
      </c>
      <c r="E134" s="12" t="e">
        <f t="shared" si="15"/>
        <v>#DIV/0!</v>
      </c>
    </row>
    <row r="135" spans="1:5" ht="12">
      <c r="A135" t="s">
        <v>134</v>
      </c>
      <c r="E135" s="12" t="e">
        <f t="shared" si="15"/>
        <v>#DIV/0!</v>
      </c>
    </row>
    <row r="136" spans="1:6" ht="12">
      <c r="A136" t="s">
        <v>119</v>
      </c>
      <c r="C136">
        <v>2</v>
      </c>
      <c r="D136">
        <v>46</v>
      </c>
      <c r="E136" s="12">
        <f t="shared" si="15"/>
        <v>23</v>
      </c>
      <c r="F136">
        <v>26</v>
      </c>
    </row>
    <row r="137" spans="1:5" ht="12">
      <c r="A137" t="s">
        <v>135</v>
      </c>
      <c r="E137" s="12" t="e">
        <f>+D137/C137</f>
        <v>#DIV/0!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4</v>
      </c>
      <c r="D143">
        <f>45+27+31+32</f>
        <v>135</v>
      </c>
      <c r="F143">
        <v>45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18" ht="12">
      <c r="A151" t="s">
        <v>140</v>
      </c>
      <c r="C151">
        <v>6</v>
      </c>
      <c r="D151">
        <v>1</v>
      </c>
      <c r="E151">
        <v>2</v>
      </c>
      <c r="F151">
        <v>1</v>
      </c>
      <c r="G151">
        <v>5</v>
      </c>
      <c r="H151">
        <v>3</v>
      </c>
      <c r="I151" s="12">
        <f>+H151/G151*100</f>
        <v>60</v>
      </c>
      <c r="J151">
        <v>35</v>
      </c>
      <c r="L151">
        <v>1</v>
      </c>
      <c r="M151">
        <v>1</v>
      </c>
      <c r="P151">
        <v>2</v>
      </c>
      <c r="Q151">
        <v>2</v>
      </c>
      <c r="R151">
        <v>2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7" ht="12">
      <c r="A158" t="s">
        <v>143</v>
      </c>
      <c r="C158">
        <v>1</v>
      </c>
      <c r="D158">
        <v>65</v>
      </c>
      <c r="E158" s="12">
        <f t="shared" si="16"/>
        <v>65</v>
      </c>
      <c r="F158">
        <v>65</v>
      </c>
      <c r="G158">
        <v>1</v>
      </c>
    </row>
    <row r="159" spans="1:5" ht="12">
      <c r="A159" t="s">
        <v>144</v>
      </c>
      <c r="E159" s="12" t="e">
        <f t="shared" si="16"/>
        <v>#DIV/0!</v>
      </c>
    </row>
    <row r="160" spans="1:5" ht="12">
      <c r="A160" t="s">
        <v>145</v>
      </c>
      <c r="E160" s="12" t="e">
        <f t="shared" si="16"/>
        <v>#DIV/0!</v>
      </c>
    </row>
    <row r="161" spans="1:5" ht="12">
      <c r="A161" t="s">
        <v>146</v>
      </c>
      <c r="E161" s="12" t="e">
        <f t="shared" si="16"/>
        <v>#DIV/0!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/>
      <c r="D172" s="3"/>
    </row>
    <row r="173" spans="1:4" ht="12">
      <c r="A173" t="s">
        <v>148</v>
      </c>
      <c r="C173" s="3">
        <v>2</v>
      </c>
      <c r="D173" s="3">
        <v>16</v>
      </c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/>
      <c r="D176" s="3"/>
    </row>
    <row r="177" spans="1:4" ht="12">
      <c r="A177" t="s">
        <v>151</v>
      </c>
      <c r="C177" s="3"/>
      <c r="D177" s="3"/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spans="1:3" ht="12">
      <c r="A191" t="s">
        <v>152</v>
      </c>
      <c r="C191">
        <v>1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spans="1:3" ht="12">
      <c r="A214" t="s">
        <v>145</v>
      </c>
      <c r="C214">
        <v>1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spans="1:3" ht="12">
      <c r="A229" t="s">
        <v>162</v>
      </c>
      <c r="C229">
        <v>1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ht="12">
      <c r="A241" t="s">
        <v>151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C231" sqref="C23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21</v>
      </c>
      <c r="H6" s="1" t="s">
        <v>29</v>
      </c>
      <c r="M6" s="2">
        <v>16</v>
      </c>
    </row>
    <row r="7" spans="1:13" ht="12">
      <c r="A7" s="18" t="s">
        <v>95</v>
      </c>
      <c r="D7" s="2">
        <v>5</v>
      </c>
      <c r="H7" s="18" t="s">
        <v>95</v>
      </c>
      <c r="M7" s="2">
        <v>6</v>
      </c>
    </row>
    <row r="8" spans="1:13" ht="12">
      <c r="A8" s="18" t="s">
        <v>96</v>
      </c>
      <c r="D8" s="2">
        <v>12</v>
      </c>
      <c r="H8" s="18" t="s">
        <v>96</v>
      </c>
      <c r="M8" s="2">
        <v>8</v>
      </c>
    </row>
    <row r="9" spans="1:13" ht="12">
      <c r="A9" s="18" t="s">
        <v>97</v>
      </c>
      <c r="D9" s="2">
        <v>4</v>
      </c>
      <c r="H9" s="18" t="s">
        <v>97</v>
      </c>
      <c r="M9" s="2">
        <v>2</v>
      </c>
    </row>
    <row r="10" spans="1:14" ht="12">
      <c r="A10" s="21" t="s">
        <v>168</v>
      </c>
      <c r="C10">
        <v>4</v>
      </c>
      <c r="D10" s="2">
        <v>11</v>
      </c>
      <c r="E10" s="22">
        <f>+C10/D10</f>
        <v>0.36363636363636365</v>
      </c>
      <c r="H10" s="21" t="s">
        <v>168</v>
      </c>
      <c r="L10">
        <v>3</v>
      </c>
      <c r="M10" s="2">
        <v>10</v>
      </c>
      <c r="N10" s="22">
        <f>+L10/M10</f>
        <v>0.3</v>
      </c>
    </row>
    <row r="12" spans="1:23" ht="12">
      <c r="A12" t="s">
        <v>1</v>
      </c>
      <c r="D12" s="2">
        <f>20+5+5+4+1+1+1+1+2</f>
        <v>40</v>
      </c>
      <c r="H12" t="s">
        <v>1</v>
      </c>
      <c r="M12" s="2">
        <f>10+8+4+2+2</f>
        <v>26</v>
      </c>
      <c r="V12">
        <f>+D12</f>
        <v>40</v>
      </c>
      <c r="W12">
        <f>+M12</f>
        <v>26</v>
      </c>
    </row>
    <row r="13" spans="1:23" ht="12">
      <c r="A13" t="s">
        <v>2</v>
      </c>
      <c r="D13" s="2">
        <f>79+16+24+8+7+6+0+2+18</f>
        <v>160</v>
      </c>
      <c r="H13" t="s">
        <v>2</v>
      </c>
      <c r="M13" s="2">
        <f>29+33+32+21+3</f>
        <v>118</v>
      </c>
      <c r="U13" s="13"/>
      <c r="V13">
        <f>+D17</f>
        <v>16</v>
      </c>
      <c r="W13">
        <f>+M17</f>
        <v>17</v>
      </c>
    </row>
    <row r="14" spans="1:23" ht="12">
      <c r="A14" s="1" t="s">
        <v>3</v>
      </c>
      <c r="D14" s="8">
        <f>+D13/D12</f>
        <v>4</v>
      </c>
      <c r="H14" s="1" t="s">
        <v>3</v>
      </c>
      <c r="M14" s="8">
        <f>+M13/M12</f>
        <v>4.538461538461538</v>
      </c>
      <c r="V14">
        <f>+(D16-D17)/2</f>
        <v>6</v>
      </c>
      <c r="W14">
        <f>+(M16-M17)/2</f>
        <v>8.5</v>
      </c>
    </row>
    <row r="15" spans="22:23" ht="12">
      <c r="V15">
        <f>+D39/2</f>
        <v>2</v>
      </c>
      <c r="W15">
        <f>+M39/2</f>
        <v>2.5</v>
      </c>
    </row>
    <row r="16" spans="1:23" ht="12">
      <c r="A16" t="s">
        <v>4</v>
      </c>
      <c r="D16" s="2">
        <v>28</v>
      </c>
      <c r="H16" t="s">
        <v>4</v>
      </c>
      <c r="M16" s="2">
        <v>34</v>
      </c>
      <c r="V16">
        <f>+D43/2</f>
        <v>0</v>
      </c>
      <c r="W16">
        <f>+M43/2</f>
        <v>1</v>
      </c>
    </row>
    <row r="17" spans="1:23" ht="12">
      <c r="A17" t="s">
        <v>5</v>
      </c>
      <c r="D17" s="2">
        <v>16</v>
      </c>
      <c r="H17" t="s">
        <v>5</v>
      </c>
      <c r="M17" s="2">
        <v>17</v>
      </c>
      <c r="V17">
        <f>+D48/2</f>
        <v>1.5</v>
      </c>
      <c r="W17">
        <f>+M48/2</f>
        <v>2</v>
      </c>
    </row>
    <row r="18" spans="1:13" ht="12">
      <c r="A18" t="s">
        <v>6</v>
      </c>
      <c r="D18" s="8">
        <f>+D17/D16*100</f>
        <v>57.14285714285714</v>
      </c>
      <c r="H18" t="s">
        <v>6</v>
      </c>
      <c r="M18" s="8">
        <f>+M17/M16*100</f>
        <v>50</v>
      </c>
    </row>
    <row r="19" spans="1:24" ht="12">
      <c r="A19" t="s">
        <v>7</v>
      </c>
      <c r="D19" s="2">
        <f>115+57</f>
        <v>172</v>
      </c>
      <c r="H19" t="s">
        <v>7</v>
      </c>
      <c r="M19" s="2">
        <v>167</v>
      </c>
      <c r="V19">
        <f>SUM(V12:V17)</f>
        <v>65.5</v>
      </c>
      <c r="W19">
        <f>SUM(W12:W17)</f>
        <v>57</v>
      </c>
      <c r="X19">
        <f>+W19+V19</f>
        <v>122.5</v>
      </c>
    </row>
    <row r="20" spans="1:23" ht="12">
      <c r="A20" t="s">
        <v>8</v>
      </c>
      <c r="D20" s="2">
        <v>2</v>
      </c>
      <c r="H20" t="s">
        <v>8</v>
      </c>
      <c r="M20" s="2">
        <v>5</v>
      </c>
      <c r="V20">
        <f>+V19/X19</f>
        <v>0.5346938775510204</v>
      </c>
      <c r="W20">
        <f>+W19/X19</f>
        <v>0.46530612244897956</v>
      </c>
    </row>
    <row r="21" spans="1:23" ht="12">
      <c r="A21" t="s">
        <v>9</v>
      </c>
      <c r="D21" s="2">
        <v>12</v>
      </c>
      <c r="H21" t="s">
        <v>9</v>
      </c>
      <c r="M21" s="2">
        <f>7+5+12+11+15</f>
        <v>50</v>
      </c>
      <c r="V21">
        <f>+V20*60</f>
        <v>32.08163265306122</v>
      </c>
      <c r="W21">
        <f>+W20*60</f>
        <v>27.918367346938773</v>
      </c>
    </row>
    <row r="22" spans="1:23" ht="12">
      <c r="A22" t="s">
        <v>10</v>
      </c>
      <c r="D22">
        <f>+D19-D21</f>
        <v>160</v>
      </c>
      <c r="H22" t="s">
        <v>10</v>
      </c>
      <c r="M22">
        <f>+M19-M21</f>
        <v>117</v>
      </c>
      <c r="V22">
        <f>+V21-INT(V21)</f>
        <v>0.08163265306122014</v>
      </c>
      <c r="W22">
        <f>+W21-INT(W21)</f>
        <v>0.9183673469387728</v>
      </c>
    </row>
    <row r="23" spans="1:23" ht="12">
      <c r="A23" t="s">
        <v>11</v>
      </c>
      <c r="D23" s="7">
        <f>+D22/(D16+D20)</f>
        <v>5.333333333333333</v>
      </c>
      <c r="H23" t="s">
        <v>11</v>
      </c>
      <c r="M23" s="7">
        <f>+M22/(M16+M20)</f>
        <v>3</v>
      </c>
      <c r="V23">
        <f>+V22*60</f>
        <v>4.897959183673208</v>
      </c>
      <c r="W23">
        <f>+W22*60</f>
        <v>55.102040816326365</v>
      </c>
    </row>
    <row r="24" spans="1:23" ht="12">
      <c r="A24" t="s">
        <v>12</v>
      </c>
      <c r="D24" s="7">
        <f>+D19/D17</f>
        <v>10.75</v>
      </c>
      <c r="H24" t="s">
        <v>12</v>
      </c>
      <c r="M24" s="7">
        <f>+M19/M17</f>
        <v>9.823529411764707</v>
      </c>
      <c r="U24">
        <v>0</v>
      </c>
      <c r="V24" s="11">
        <f>ROUND(V23,0)</f>
        <v>5</v>
      </c>
      <c r="W24">
        <f>ROUND(W23,0)</f>
        <v>55</v>
      </c>
    </row>
    <row r="25" spans="22:23" ht="12">
      <c r="V25">
        <f>INT(V21)</f>
        <v>32</v>
      </c>
      <c r="W25">
        <f>INT(W21)</f>
        <v>27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320</v>
      </c>
      <c r="H27" t="s">
        <v>14</v>
      </c>
      <c r="M27">
        <f>+M22+M13</f>
        <v>235</v>
      </c>
      <c r="V27" s="14" t="str">
        <f>+V25&amp;V26&amp;V24</f>
        <v>32:5</v>
      </c>
      <c r="W27" s="9" t="str">
        <f>+W25&amp;W26&amp;W24</f>
        <v>27:55</v>
      </c>
    </row>
    <row r="28" spans="1:23" ht="12">
      <c r="A28" t="s">
        <v>15</v>
      </c>
      <c r="D28" s="7">
        <f>+D13/D27*100</f>
        <v>50</v>
      </c>
      <c r="H28" t="s">
        <v>15</v>
      </c>
      <c r="M28" s="7">
        <f>+M13/M27*100</f>
        <v>50.212765957446805</v>
      </c>
      <c r="V28" s="9" t="str">
        <f>IF(V24&lt;10,+V25&amp;V26&amp;$U$24&amp;V24,+V25&amp;V26&amp;V24)</f>
        <v>32:05</v>
      </c>
      <c r="W28" s="9" t="str">
        <f>IF(W24&lt;10,+W25&amp;W26&amp;$U$24&amp;W24,+W25&amp;W26&amp;W24)</f>
        <v>27:55</v>
      </c>
    </row>
    <row r="29" spans="1:13" ht="12">
      <c r="A29" s="1" t="s">
        <v>90</v>
      </c>
      <c r="D29" s="7">
        <f>+D22/D27*100</f>
        <v>50</v>
      </c>
      <c r="H29" s="1" t="s">
        <v>90</v>
      </c>
      <c r="M29" s="7">
        <f>+M22/M27*100</f>
        <v>49.787234042553195</v>
      </c>
    </row>
    <row r="31" spans="1:13" ht="12">
      <c r="A31" t="s">
        <v>16</v>
      </c>
      <c r="D31">
        <f>+D12+D16+D20</f>
        <v>70</v>
      </c>
      <c r="H31" t="s">
        <v>16</v>
      </c>
      <c r="M31">
        <f>+M12+M16+M20</f>
        <v>65</v>
      </c>
    </row>
    <row r="32" spans="1:13" ht="12">
      <c r="A32" t="s">
        <v>17</v>
      </c>
      <c r="D32" s="8">
        <f>+D27/D31</f>
        <v>4.571428571428571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3.6153846153846154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3</v>
      </c>
      <c r="H35" t="s">
        <v>19</v>
      </c>
      <c r="M35" s="2">
        <v>3</v>
      </c>
    </row>
    <row r="36" spans="1:13" ht="12">
      <c r="A36" t="s">
        <v>20</v>
      </c>
      <c r="D36" s="2">
        <v>0</v>
      </c>
      <c r="H36" t="s">
        <v>20</v>
      </c>
      <c r="M36" s="2">
        <f>23+9+46</f>
        <v>78</v>
      </c>
    </row>
    <row r="37" spans="1:13" ht="12">
      <c r="A37" t="s">
        <v>21</v>
      </c>
      <c r="D37" s="2">
        <v>0</v>
      </c>
      <c r="H37" t="s">
        <v>21</v>
      </c>
      <c r="M37" s="2">
        <v>2</v>
      </c>
    </row>
    <row r="39" spans="1:13" ht="12">
      <c r="A39" t="s">
        <v>22</v>
      </c>
      <c r="D39" s="2">
        <v>4</v>
      </c>
      <c r="H39" t="s">
        <v>22</v>
      </c>
      <c r="M39" s="2">
        <v>5</v>
      </c>
    </row>
    <row r="40" spans="1:13" ht="12">
      <c r="A40" t="s">
        <v>23</v>
      </c>
      <c r="D40" s="2">
        <f>34+40+30+42</f>
        <v>146</v>
      </c>
      <c r="H40" t="s">
        <v>23</v>
      </c>
      <c r="M40" s="2">
        <f>31+36+37+32+45</f>
        <v>181</v>
      </c>
    </row>
    <row r="41" spans="1:13" ht="12">
      <c r="A41" t="s">
        <v>24</v>
      </c>
      <c r="D41" s="8">
        <f>+D40/D39</f>
        <v>36.5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36.2</v>
      </c>
    </row>
    <row r="43" spans="1:13" ht="12">
      <c r="A43" t="s">
        <v>25</v>
      </c>
      <c r="D43" s="2">
        <v>0</v>
      </c>
      <c r="H43" t="s">
        <v>25</v>
      </c>
      <c r="M43" s="2">
        <v>2</v>
      </c>
    </row>
    <row r="44" spans="1:13" ht="12">
      <c r="A44" t="s">
        <v>26</v>
      </c>
      <c r="D44" s="2">
        <v>0</v>
      </c>
      <c r="H44" t="s">
        <v>26</v>
      </c>
      <c r="M44" s="2">
        <v>8</v>
      </c>
    </row>
    <row r="45" spans="1:13" ht="12">
      <c r="A45" t="s">
        <v>27</v>
      </c>
      <c r="D45" s="8" t="e">
        <f>+D44/D43</f>
        <v>#DIV/0!</v>
      </c>
      <c r="H45" t="s">
        <v>27</v>
      </c>
      <c r="M45" s="8">
        <f>+M44/M43</f>
        <v>4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3</v>
      </c>
      <c r="H48" t="s">
        <v>30</v>
      </c>
      <c r="M48" s="2">
        <v>4</v>
      </c>
    </row>
    <row r="49" spans="1:13" ht="12">
      <c r="A49" t="s">
        <v>26</v>
      </c>
      <c r="D49" s="2">
        <f>12+10+30</f>
        <v>52</v>
      </c>
      <c r="H49" t="s">
        <v>26</v>
      </c>
      <c r="M49" s="2">
        <f>24+22+16+11</f>
        <v>73</v>
      </c>
    </row>
    <row r="50" spans="1:13" ht="12">
      <c r="A50" t="s">
        <v>27</v>
      </c>
      <c r="D50" s="8">
        <f>+D49/D48</f>
        <v>17.333333333333332</v>
      </c>
      <c r="H50" t="s">
        <v>27</v>
      </c>
      <c r="M50" s="8">
        <f>+M49/M48</f>
        <v>18.25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6</v>
      </c>
      <c r="H53" t="s">
        <v>31</v>
      </c>
      <c r="M53" s="2">
        <v>6</v>
      </c>
    </row>
    <row r="54" spans="1:13" ht="12">
      <c r="A54" t="s">
        <v>32</v>
      </c>
      <c r="D54" s="2">
        <v>40</v>
      </c>
      <c r="H54" t="s">
        <v>32</v>
      </c>
      <c r="M54" s="2">
        <v>48</v>
      </c>
    </row>
    <row r="56" spans="1:13" ht="12">
      <c r="A56" t="s">
        <v>33</v>
      </c>
      <c r="D56" s="2">
        <v>2</v>
      </c>
      <c r="H56" t="s">
        <v>33</v>
      </c>
      <c r="M56" s="2">
        <v>1</v>
      </c>
    </row>
    <row r="57" spans="1:13" ht="12">
      <c r="A57" t="s">
        <v>34</v>
      </c>
      <c r="D57" s="2">
        <v>0</v>
      </c>
      <c r="H57" t="s">
        <v>34</v>
      </c>
      <c r="M57" s="2">
        <v>0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1</v>
      </c>
      <c r="H59" t="s">
        <v>36</v>
      </c>
      <c r="M59" s="2">
        <v>2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3" ht="12">
      <c r="A62" t="s">
        <v>38</v>
      </c>
      <c r="D62" s="2">
        <v>20</v>
      </c>
      <c r="H62" t="s">
        <v>38</v>
      </c>
      <c r="M62" s="2">
        <v>13</v>
      </c>
    </row>
    <row r="63" spans="1:13" ht="12">
      <c r="A63" t="s">
        <v>39</v>
      </c>
      <c r="D63" s="2">
        <v>3</v>
      </c>
      <c r="H63" t="s">
        <v>39</v>
      </c>
      <c r="M63" s="2">
        <v>1</v>
      </c>
    </row>
    <row r="64" spans="1:13" ht="12">
      <c r="A64" t="s">
        <v>40</v>
      </c>
      <c r="D64" s="2">
        <v>0</v>
      </c>
      <c r="H64" t="s">
        <v>40</v>
      </c>
      <c r="M64" s="2">
        <v>1</v>
      </c>
    </row>
    <row r="65" spans="1:13" ht="12">
      <c r="A65" t="s">
        <v>41</v>
      </c>
      <c r="D65" s="2">
        <v>1</v>
      </c>
      <c r="H65" t="s">
        <v>41</v>
      </c>
      <c r="M65" s="2">
        <v>0</v>
      </c>
    </row>
    <row r="66" spans="1:13" ht="12">
      <c r="A66" t="s">
        <v>42</v>
      </c>
      <c r="D66" s="2">
        <v>2</v>
      </c>
      <c r="H66" t="s">
        <v>42</v>
      </c>
      <c r="M66" s="2">
        <v>0</v>
      </c>
    </row>
    <row r="67" spans="1:13" ht="12">
      <c r="A67" t="s">
        <v>43</v>
      </c>
      <c r="D67" s="2">
        <v>2</v>
      </c>
      <c r="H67" t="s">
        <v>43</v>
      </c>
      <c r="M67" s="2">
        <v>1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0</v>
      </c>
      <c r="H69" t="s">
        <v>45</v>
      </c>
      <c r="M69" s="2">
        <v>2</v>
      </c>
    </row>
    <row r="70" spans="1:13" ht="12">
      <c r="A70" t="s">
        <v>46</v>
      </c>
      <c r="D70" s="2">
        <v>1</v>
      </c>
      <c r="H70" t="s">
        <v>46</v>
      </c>
      <c r="M70" s="2">
        <v>3</v>
      </c>
    </row>
    <row r="71" spans="1:13" ht="12">
      <c r="A71" t="s">
        <v>47</v>
      </c>
      <c r="D71" s="8">
        <f>+D69/D70*100</f>
        <v>0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66.66666666666666</v>
      </c>
    </row>
    <row r="72" spans="1:13" ht="12">
      <c r="A72" t="s">
        <v>93</v>
      </c>
      <c r="D72" s="10" t="str">
        <f>IF(V24&lt;10,V28,V27)</f>
        <v>32:05</v>
      </c>
      <c r="E72" s="8"/>
      <c r="F72" s="8"/>
      <c r="H72" t="s">
        <v>93</v>
      </c>
      <c r="M72" s="10" t="str">
        <f>IF(W24&lt;10,W28,W27)</f>
        <v>27:55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6" ht="12">
      <c r="A77" t="s">
        <v>113</v>
      </c>
      <c r="C77">
        <v>20</v>
      </c>
      <c r="D77">
        <v>79</v>
      </c>
      <c r="E77" s="12">
        <f>+D77/C77</f>
        <v>3.95</v>
      </c>
      <c r="F77">
        <v>9</v>
      </c>
    </row>
    <row r="78" spans="1:6" ht="12">
      <c r="A78" t="s">
        <v>114</v>
      </c>
      <c r="C78">
        <v>5</v>
      </c>
      <c r="D78">
        <v>24</v>
      </c>
      <c r="E78" s="12">
        <f>+D78/C78</f>
        <v>4.8</v>
      </c>
      <c r="F78">
        <v>16</v>
      </c>
    </row>
    <row r="79" spans="1:6" ht="12">
      <c r="A79" t="s">
        <v>115</v>
      </c>
      <c r="C79">
        <v>4</v>
      </c>
      <c r="D79">
        <v>8</v>
      </c>
      <c r="E79" s="12">
        <f aca="true" t="shared" si="0" ref="E79:E85">+D79/C79</f>
        <v>2</v>
      </c>
      <c r="F79">
        <v>5</v>
      </c>
    </row>
    <row r="80" spans="1:6" ht="12">
      <c r="A80" t="s">
        <v>116</v>
      </c>
      <c r="C80">
        <v>1</v>
      </c>
      <c r="D80">
        <v>7</v>
      </c>
      <c r="E80" s="12">
        <f t="shared" si="0"/>
        <v>7</v>
      </c>
      <c r="F80">
        <v>7</v>
      </c>
    </row>
    <row r="81" spans="1:5" ht="12">
      <c r="A81" t="s">
        <v>117</v>
      </c>
      <c r="E81" s="12" t="e">
        <f t="shared" si="0"/>
        <v>#DIV/0!</v>
      </c>
    </row>
    <row r="82" spans="1:5" ht="12">
      <c r="A82" t="s">
        <v>118</v>
      </c>
      <c r="E82" s="12" t="e">
        <f t="shared" si="0"/>
        <v>#DIV/0!</v>
      </c>
    </row>
    <row r="83" spans="1:6" ht="12">
      <c r="A83" t="s">
        <v>119</v>
      </c>
      <c r="C83">
        <v>1</v>
      </c>
      <c r="D83">
        <v>6</v>
      </c>
      <c r="E83" s="12">
        <f t="shared" si="0"/>
        <v>6</v>
      </c>
      <c r="F83">
        <v>6</v>
      </c>
    </row>
    <row r="84" spans="1:6" ht="12">
      <c r="A84" t="s">
        <v>120</v>
      </c>
      <c r="C84">
        <v>2</v>
      </c>
      <c r="D84">
        <v>18</v>
      </c>
      <c r="E84" s="12">
        <f t="shared" si="0"/>
        <v>9</v>
      </c>
      <c r="F84">
        <v>10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6" ht="12">
      <c r="A87" t="s">
        <v>123</v>
      </c>
      <c r="C87">
        <v>5</v>
      </c>
      <c r="D87">
        <v>16</v>
      </c>
      <c r="E87" s="12">
        <f>+D87/C87</f>
        <v>3.2</v>
      </c>
      <c r="F87">
        <v>8</v>
      </c>
    </row>
    <row r="88" spans="1:6" ht="12">
      <c r="A88" t="s">
        <v>124</v>
      </c>
      <c r="C88">
        <v>1</v>
      </c>
      <c r="D88">
        <v>0</v>
      </c>
      <c r="E88" s="8"/>
      <c r="F88">
        <v>0</v>
      </c>
    </row>
    <row r="89" spans="1:6" ht="12">
      <c r="A89" t="s">
        <v>125</v>
      </c>
      <c r="C89">
        <v>1</v>
      </c>
      <c r="D89">
        <v>2</v>
      </c>
      <c r="E89" s="8"/>
      <c r="F89">
        <v>2</v>
      </c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6" ht="12">
      <c r="A94" t="s">
        <v>113</v>
      </c>
      <c r="C94">
        <v>5</v>
      </c>
      <c r="D94">
        <v>80</v>
      </c>
      <c r="E94" s="12">
        <f t="shared" si="1"/>
        <v>16</v>
      </c>
      <c r="F94">
        <v>27</v>
      </c>
    </row>
    <row r="95" spans="1:7" ht="12">
      <c r="A95" t="s">
        <v>114</v>
      </c>
      <c r="C95">
        <v>1</v>
      </c>
      <c r="D95">
        <v>2</v>
      </c>
      <c r="E95" s="12">
        <f t="shared" si="1"/>
        <v>2</v>
      </c>
      <c r="F95">
        <v>2</v>
      </c>
      <c r="G95">
        <v>1</v>
      </c>
    </row>
    <row r="96" spans="1:6" ht="12">
      <c r="A96" t="s">
        <v>115</v>
      </c>
      <c r="C96">
        <v>1</v>
      </c>
      <c r="D96">
        <v>8</v>
      </c>
      <c r="E96" s="12">
        <f t="shared" si="1"/>
        <v>8</v>
      </c>
      <c r="F96">
        <v>8</v>
      </c>
    </row>
    <row r="97" spans="1:5" ht="12">
      <c r="A97" t="s">
        <v>117</v>
      </c>
      <c r="E97" s="12" t="e">
        <f t="shared" si="1"/>
        <v>#DIV/0!</v>
      </c>
    </row>
    <row r="98" spans="1:5" ht="12">
      <c r="A98" t="s">
        <v>128</v>
      </c>
      <c r="E98" s="12" t="e">
        <f t="shared" si="1"/>
        <v>#DIV/0!</v>
      </c>
    </row>
    <row r="99" spans="1:5" ht="12">
      <c r="A99" t="s">
        <v>119</v>
      </c>
      <c r="E99" s="12" t="e">
        <f t="shared" si="1"/>
        <v>#DIV/0!</v>
      </c>
    </row>
    <row r="100" spans="1:6" ht="12">
      <c r="A100" t="s">
        <v>120</v>
      </c>
      <c r="C100">
        <v>6</v>
      </c>
      <c r="D100">
        <v>57</v>
      </c>
      <c r="E100" s="12">
        <f t="shared" si="1"/>
        <v>9.5</v>
      </c>
      <c r="F100">
        <v>12</v>
      </c>
    </row>
    <row r="101" spans="1:5" ht="12">
      <c r="A101" t="s">
        <v>129</v>
      </c>
      <c r="E101" s="12" t="e">
        <f t="shared" si="1"/>
        <v>#DIV/0!</v>
      </c>
    </row>
    <row r="102" spans="1:5" ht="12">
      <c r="A102" t="s">
        <v>130</v>
      </c>
      <c r="E102" s="12" t="e">
        <f t="shared" si="1"/>
        <v>#DIV/0!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6" ht="12">
      <c r="A105" t="s">
        <v>132</v>
      </c>
      <c r="C105">
        <v>2</v>
      </c>
      <c r="D105">
        <v>16</v>
      </c>
      <c r="E105" s="12">
        <f>+D105/C105</f>
        <v>8</v>
      </c>
      <c r="F105">
        <v>15</v>
      </c>
    </row>
    <row r="106" spans="1:5" ht="12">
      <c r="A106" t="s">
        <v>123</v>
      </c>
      <c r="E106" s="12"/>
    </row>
    <row r="107" spans="1:6" ht="12">
      <c r="A107" t="s">
        <v>133</v>
      </c>
      <c r="C107">
        <v>1</v>
      </c>
      <c r="D107">
        <v>9</v>
      </c>
      <c r="E107" s="12"/>
      <c r="F107">
        <v>9</v>
      </c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>+G113/C113*100</f>
        <v>#DIV/0!</v>
      </c>
      <c r="K113" s="12" t="e">
        <f aca="true" t="shared" si="3" ref="K113:K118">+I113/C113*100</f>
        <v>#DIV/0!</v>
      </c>
      <c r="L113" s="12" t="e">
        <f aca="true" t="shared" si="4" ref="L113:L118">+F113/C113</f>
        <v>#DIV/0!</v>
      </c>
      <c r="M113" s="12" t="e">
        <f aca="true" t="shared" si="5" ref="M113:M118">100*(S113+U113+W113+Y113)/6</f>
        <v>#DIV/0!</v>
      </c>
      <c r="R113" t="e">
        <f aca="true" t="shared" si="6" ref="R113:R118">+(E113-30)/20</f>
        <v>#DIV/0!</v>
      </c>
      <c r="S113" s="2" t="e">
        <f aca="true" t="shared" si="7" ref="S113:S118">IF(R113&lt;0,0,IF(R113&gt;2.375,2.375,R113))</f>
        <v>#DIV/0!</v>
      </c>
      <c r="T113" s="6" t="e">
        <f aca="true" t="shared" si="8" ref="T113:T118">+(L113-3)/4</f>
        <v>#DIV/0!</v>
      </c>
      <c r="U113" s="2" t="e">
        <f aca="true" t="shared" si="9" ref="U113:U118">IF(T113&lt;0,0,IF(T113&gt;2.375,2.375,T113))</f>
        <v>#DIV/0!</v>
      </c>
      <c r="V113" t="e">
        <f aca="true" t="shared" si="10" ref="V113:V118">+J113/5</f>
        <v>#DIV/0!</v>
      </c>
      <c r="W113" s="2" t="e">
        <f aca="true" t="shared" si="11" ref="W113:W118">IF(V113&lt;0,0,IF(V113&gt;2.375,2.375,V113))</f>
        <v>#DIV/0!</v>
      </c>
      <c r="X113" t="e">
        <f aca="true" t="shared" si="12" ref="X113:X118">(9.5-K113)/4</f>
        <v>#DIV/0!</v>
      </c>
      <c r="Y113" s="2" t="e">
        <f aca="true" t="shared" si="13" ref="Y113:Y118">IF(X113&lt;0,0,X113)</f>
        <v>#DIV/0!</v>
      </c>
    </row>
    <row r="114" spans="1:25" ht="12">
      <c r="A114" t="s">
        <v>118</v>
      </c>
      <c r="C114">
        <v>10</v>
      </c>
      <c r="D114">
        <v>6</v>
      </c>
      <c r="E114" s="12">
        <f t="shared" si="2"/>
        <v>60</v>
      </c>
      <c r="F114">
        <v>57</v>
      </c>
      <c r="G114">
        <v>1</v>
      </c>
      <c r="H114">
        <v>15</v>
      </c>
      <c r="I114">
        <v>2</v>
      </c>
      <c r="J114" s="8">
        <f>+G114/C114*100</f>
        <v>10</v>
      </c>
      <c r="K114" s="12">
        <f t="shared" si="3"/>
        <v>20</v>
      </c>
      <c r="L114" s="12">
        <f t="shared" si="4"/>
        <v>5.7</v>
      </c>
      <c r="M114" s="12">
        <f t="shared" si="5"/>
        <v>69.58333333333333</v>
      </c>
      <c r="O114">
        <v>1</v>
      </c>
      <c r="R114">
        <f t="shared" si="6"/>
        <v>1.5</v>
      </c>
      <c r="S114" s="2">
        <f t="shared" si="7"/>
        <v>1.5</v>
      </c>
      <c r="T114" s="6">
        <f t="shared" si="8"/>
        <v>0.675</v>
      </c>
      <c r="U114" s="2">
        <f t="shared" si="9"/>
        <v>0.675</v>
      </c>
      <c r="V114">
        <f t="shared" si="10"/>
        <v>2</v>
      </c>
      <c r="W114" s="2">
        <f t="shared" si="11"/>
        <v>2</v>
      </c>
      <c r="X114">
        <f t="shared" si="12"/>
        <v>-2.625</v>
      </c>
      <c r="Y114" s="2">
        <f t="shared" si="13"/>
        <v>0</v>
      </c>
    </row>
    <row r="115" spans="1:25" ht="12">
      <c r="A115" t="s">
        <v>120</v>
      </c>
      <c r="E115" s="12" t="e">
        <f t="shared" si="2"/>
        <v>#DIV/0!</v>
      </c>
      <c r="J115" s="8"/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>
        <f t="shared" si="10"/>
        <v>0</v>
      </c>
      <c r="W115" s="2">
        <f t="shared" si="11"/>
        <v>0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/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>
        <f t="shared" si="10"/>
        <v>0</v>
      </c>
      <c r="W116" s="2">
        <f t="shared" si="11"/>
        <v>0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C117">
        <v>18</v>
      </c>
      <c r="D117">
        <v>10</v>
      </c>
      <c r="E117" s="12">
        <f t="shared" si="2"/>
        <v>55.55555555555556</v>
      </c>
      <c r="F117">
        <v>115</v>
      </c>
      <c r="G117">
        <v>0</v>
      </c>
      <c r="H117">
        <v>27</v>
      </c>
      <c r="I117">
        <v>1</v>
      </c>
      <c r="J117" s="8"/>
      <c r="K117" s="12">
        <f t="shared" si="3"/>
        <v>5.555555555555555</v>
      </c>
      <c r="L117" s="12">
        <f t="shared" si="4"/>
        <v>6.388888888888889</v>
      </c>
      <c r="M117" s="12">
        <f t="shared" si="5"/>
        <v>51.851851851851855</v>
      </c>
      <c r="N117">
        <v>1</v>
      </c>
      <c r="O117">
        <v>1</v>
      </c>
      <c r="R117">
        <f t="shared" si="6"/>
        <v>1.277777777777778</v>
      </c>
      <c r="S117" s="2">
        <f t="shared" si="7"/>
        <v>1.277777777777778</v>
      </c>
      <c r="T117" s="6">
        <f t="shared" si="8"/>
        <v>0.8472222222222223</v>
      </c>
      <c r="U117" s="2">
        <f t="shared" si="9"/>
        <v>0.8472222222222223</v>
      </c>
      <c r="V117">
        <f t="shared" si="10"/>
        <v>0</v>
      </c>
      <c r="W117" s="2">
        <f t="shared" si="11"/>
        <v>0</v>
      </c>
      <c r="X117">
        <f t="shared" si="12"/>
        <v>0.9861111111111112</v>
      </c>
      <c r="Y117" s="2">
        <f t="shared" si="13"/>
        <v>0.9861111111111112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6" ht="12">
      <c r="A121" t="s">
        <v>128</v>
      </c>
      <c r="D121">
        <v>1</v>
      </c>
      <c r="F121" s="12" t="e">
        <f aca="true" t="shared" si="14" ref="F121:F126">+E121/C121</f>
        <v>#DIV/0!</v>
      </c>
    </row>
    <row r="122" spans="1:6" ht="12">
      <c r="A122" t="s">
        <v>134</v>
      </c>
      <c r="F122" s="12" t="e">
        <f t="shared" si="14"/>
        <v>#DIV/0!</v>
      </c>
    </row>
    <row r="123" spans="1:6" ht="12">
      <c r="A123" t="s">
        <v>135</v>
      </c>
      <c r="F123" s="12" t="e">
        <f t="shared" si="14"/>
        <v>#DIV/0!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5" ht="12">
      <c r="A132" t="s">
        <v>137</v>
      </c>
      <c r="E132" s="12" t="e">
        <f t="shared" si="15"/>
        <v>#DIV/0!</v>
      </c>
    </row>
    <row r="133" spans="1:6" ht="12">
      <c r="A133" t="s">
        <v>116</v>
      </c>
      <c r="C133">
        <v>1</v>
      </c>
      <c r="D133">
        <v>30</v>
      </c>
      <c r="E133" s="12">
        <f t="shared" si="15"/>
        <v>30</v>
      </c>
      <c r="F133">
        <v>30</v>
      </c>
    </row>
    <row r="134" spans="1:5" ht="12">
      <c r="A134" t="s">
        <v>128</v>
      </c>
      <c r="E134" s="12" t="e">
        <f t="shared" si="15"/>
        <v>#DIV/0!</v>
      </c>
    </row>
    <row r="135" spans="1:6" ht="12">
      <c r="A135" t="s">
        <v>134</v>
      </c>
      <c r="C135">
        <v>2</v>
      </c>
      <c r="D135">
        <v>22</v>
      </c>
      <c r="E135" s="12">
        <f t="shared" si="15"/>
        <v>11</v>
      </c>
      <c r="F135">
        <v>12</v>
      </c>
    </row>
    <row r="136" spans="1:5" ht="12">
      <c r="A136" t="s">
        <v>119</v>
      </c>
      <c r="E136" s="12" t="e">
        <f t="shared" si="15"/>
        <v>#DIV/0!</v>
      </c>
    </row>
    <row r="137" spans="1:5" ht="12">
      <c r="A137" t="s">
        <v>135</v>
      </c>
      <c r="E137" s="12" t="e">
        <f>+D137/C137</f>
        <v>#DIV/0!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4</v>
      </c>
      <c r="D143">
        <f>34+40+30+42</f>
        <v>146</v>
      </c>
      <c r="F143">
        <v>42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18" ht="12">
      <c r="A150" t="s">
        <v>139</v>
      </c>
      <c r="C150">
        <v>3</v>
      </c>
      <c r="E150">
        <v>3</v>
      </c>
      <c r="F150">
        <v>2</v>
      </c>
      <c r="G150">
        <v>1</v>
      </c>
      <c r="I150" s="12">
        <f>+H150/G150*100</f>
        <v>0</v>
      </c>
      <c r="R150">
        <v>1</v>
      </c>
    </row>
    <row r="151" spans="1:9" ht="12">
      <c r="A151" t="s">
        <v>140</v>
      </c>
      <c r="I151" s="12" t="e">
        <f>+H151/G151*100</f>
        <v>#DIV/0!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8" ht="12">
      <c r="A156" t="s">
        <v>141</v>
      </c>
      <c r="C156">
        <v>1</v>
      </c>
      <c r="D156">
        <v>23</v>
      </c>
      <c r="E156" s="12">
        <f>+D156/C156</f>
        <v>23</v>
      </c>
      <c r="F156">
        <v>23</v>
      </c>
      <c r="H156">
        <v>1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7" ht="12">
      <c r="A158" t="s">
        <v>143</v>
      </c>
      <c r="C158">
        <v>1</v>
      </c>
      <c r="D158">
        <v>46</v>
      </c>
      <c r="E158" s="12">
        <f t="shared" si="16"/>
        <v>46</v>
      </c>
      <c r="F158">
        <v>46</v>
      </c>
      <c r="G158">
        <v>1</v>
      </c>
    </row>
    <row r="159" spans="1:7" ht="12">
      <c r="A159" t="s">
        <v>144</v>
      </c>
      <c r="C159">
        <v>1</v>
      </c>
      <c r="D159">
        <v>9</v>
      </c>
      <c r="E159" s="12">
        <f t="shared" si="16"/>
        <v>9</v>
      </c>
      <c r="F159">
        <v>9</v>
      </c>
      <c r="G159">
        <v>1</v>
      </c>
    </row>
    <row r="160" spans="1:5" ht="12">
      <c r="A160" t="s">
        <v>145</v>
      </c>
      <c r="E160" s="12" t="e">
        <f t="shared" si="16"/>
        <v>#DIV/0!</v>
      </c>
    </row>
    <row r="161" spans="1:5" ht="12">
      <c r="A161" t="s">
        <v>146</v>
      </c>
      <c r="E161" s="12" t="e">
        <f t="shared" si="16"/>
        <v>#DIV/0!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>
        <v>3.5</v>
      </c>
      <c r="D172" s="3">
        <f>7+12+11+8</f>
        <v>38</v>
      </c>
    </row>
    <row r="173" spans="1:4" ht="12">
      <c r="A173" t="s">
        <v>148</v>
      </c>
      <c r="C173" s="3">
        <v>1</v>
      </c>
      <c r="D173" s="3">
        <v>5</v>
      </c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>
        <v>0.5</v>
      </c>
      <c r="D176" s="3">
        <v>7</v>
      </c>
    </row>
    <row r="177" spans="1:4" ht="12">
      <c r="A177" t="s">
        <v>151</v>
      </c>
      <c r="C177" s="3"/>
      <c r="D177" s="3"/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spans="1:3" ht="12">
      <c r="A230" t="s">
        <v>163</v>
      </c>
      <c r="C230">
        <v>1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ht="12">
      <c r="A241" t="s">
        <v>151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F1" sqref="F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14</v>
      </c>
      <c r="H6" s="1" t="s">
        <v>29</v>
      </c>
      <c r="M6" s="2">
        <v>21</v>
      </c>
    </row>
    <row r="7" spans="1:13" ht="12">
      <c r="A7" s="18" t="s">
        <v>95</v>
      </c>
      <c r="D7" s="2">
        <v>5</v>
      </c>
      <c r="H7" s="18" t="s">
        <v>95</v>
      </c>
      <c r="M7" s="2">
        <v>10</v>
      </c>
    </row>
    <row r="8" spans="1:13" ht="12">
      <c r="A8" s="18" t="s">
        <v>96</v>
      </c>
      <c r="D8" s="2">
        <v>7</v>
      </c>
      <c r="H8" s="18" t="s">
        <v>96</v>
      </c>
      <c r="M8" s="2">
        <v>9</v>
      </c>
    </row>
    <row r="9" spans="1:13" ht="12">
      <c r="A9" s="18" t="s">
        <v>97</v>
      </c>
      <c r="D9" s="2">
        <v>2</v>
      </c>
      <c r="H9" s="18" t="s">
        <v>97</v>
      </c>
      <c r="M9" s="2">
        <v>2</v>
      </c>
    </row>
    <row r="10" spans="1:14" ht="12">
      <c r="A10" s="21" t="s">
        <v>168</v>
      </c>
      <c r="C10">
        <v>1</v>
      </c>
      <c r="D10" s="2">
        <v>8</v>
      </c>
      <c r="E10" s="22">
        <f>+C10/D10</f>
        <v>0.125</v>
      </c>
      <c r="H10" s="21" t="s">
        <v>168</v>
      </c>
      <c r="L10">
        <v>4</v>
      </c>
      <c r="M10" s="2">
        <v>9</v>
      </c>
      <c r="N10" s="22">
        <f>+L10/M10</f>
        <v>0.4444444444444444</v>
      </c>
    </row>
    <row r="12" spans="1:23" ht="12">
      <c r="A12" t="s">
        <v>1</v>
      </c>
      <c r="D12" s="2">
        <f>9+8+1+1+1+2</f>
        <v>22</v>
      </c>
      <c r="H12" t="s">
        <v>1</v>
      </c>
      <c r="M12" s="2">
        <f>10+4+6+4+5+6</f>
        <v>35</v>
      </c>
      <c r="V12">
        <f>+D12</f>
        <v>22</v>
      </c>
      <c r="W12">
        <f>+M12</f>
        <v>35</v>
      </c>
    </row>
    <row r="13" spans="1:23" ht="12">
      <c r="A13" t="s">
        <v>2</v>
      </c>
      <c r="D13" s="2">
        <f>32+15+0+7+1+2</f>
        <v>57</v>
      </c>
      <c r="H13" t="s">
        <v>2</v>
      </c>
      <c r="M13" s="2">
        <f>41+29+43+23+16+10</f>
        <v>162</v>
      </c>
      <c r="U13" s="13"/>
      <c r="V13">
        <f>+D17</f>
        <v>18</v>
      </c>
      <c r="W13">
        <f>+M17</f>
        <v>23</v>
      </c>
    </row>
    <row r="14" spans="1:23" ht="12">
      <c r="A14" s="1" t="s">
        <v>3</v>
      </c>
      <c r="D14" s="8">
        <f>+D13/D12</f>
        <v>2.590909090909091</v>
      </c>
      <c r="H14" s="1" t="s">
        <v>3</v>
      </c>
      <c r="M14" s="8">
        <f>+M13/M12</f>
        <v>4.628571428571429</v>
      </c>
      <c r="V14">
        <f>+(D16-D17)/2</f>
        <v>5.5</v>
      </c>
      <c r="W14">
        <f>+(M16-M17)/2</f>
        <v>4</v>
      </c>
    </row>
    <row r="15" spans="22:23" ht="12">
      <c r="V15">
        <f>+D39/2</f>
        <v>3</v>
      </c>
      <c r="W15">
        <f>+M39/2</f>
        <v>2.5</v>
      </c>
    </row>
    <row r="16" spans="1:23" ht="12">
      <c r="A16" t="s">
        <v>4</v>
      </c>
      <c r="D16" s="2">
        <v>29</v>
      </c>
      <c r="H16" t="s">
        <v>4</v>
      </c>
      <c r="M16" s="2">
        <v>31</v>
      </c>
      <c r="V16">
        <f>+D43/2</f>
        <v>1.5</v>
      </c>
      <c r="W16">
        <f>+M43/2</f>
        <v>2</v>
      </c>
    </row>
    <row r="17" spans="1:23" ht="12">
      <c r="A17" t="s">
        <v>5</v>
      </c>
      <c r="D17" s="2">
        <v>18</v>
      </c>
      <c r="H17" t="s">
        <v>5</v>
      </c>
      <c r="M17" s="2">
        <v>23</v>
      </c>
      <c r="V17">
        <f>+D48/2</f>
        <v>1</v>
      </c>
      <c r="W17">
        <f>+M48/2</f>
        <v>1</v>
      </c>
    </row>
    <row r="18" spans="1:13" ht="12">
      <c r="A18" t="s">
        <v>6</v>
      </c>
      <c r="D18" s="8">
        <f>+D17/D16*100</f>
        <v>62.06896551724138</v>
      </c>
      <c r="H18" t="s">
        <v>6</v>
      </c>
      <c r="M18" s="8">
        <f>+M17/M16*100</f>
        <v>74.19354838709677</v>
      </c>
    </row>
    <row r="19" spans="1:24" ht="12">
      <c r="A19" t="s">
        <v>7</v>
      </c>
      <c r="D19" s="2">
        <v>157</v>
      </c>
      <c r="H19" t="s">
        <v>7</v>
      </c>
      <c r="M19" s="2">
        <v>228</v>
      </c>
      <c r="V19">
        <f>SUM(V12:V17)</f>
        <v>51</v>
      </c>
      <c r="W19">
        <f>SUM(W12:W17)</f>
        <v>67.5</v>
      </c>
      <c r="X19">
        <f>+W19+V19</f>
        <v>118.5</v>
      </c>
    </row>
    <row r="20" spans="1:23" ht="12">
      <c r="A20" t="s">
        <v>8</v>
      </c>
      <c r="D20" s="2">
        <v>7</v>
      </c>
      <c r="H20" t="s">
        <v>8</v>
      </c>
      <c r="M20" s="2">
        <v>1</v>
      </c>
      <c r="V20">
        <f>+V19/X19</f>
        <v>0.43037974683544306</v>
      </c>
      <c r="W20">
        <f>+W19/X19</f>
        <v>0.569620253164557</v>
      </c>
    </row>
    <row r="21" spans="1:23" ht="12">
      <c r="A21" t="s">
        <v>9</v>
      </c>
      <c r="D21" s="2">
        <f>11+12+12+7+2+8+10</f>
        <v>62</v>
      </c>
      <c r="H21" t="s">
        <v>9</v>
      </c>
      <c r="M21" s="2">
        <v>5</v>
      </c>
      <c r="V21">
        <f>+V20*60</f>
        <v>25.822784810126585</v>
      </c>
      <c r="W21">
        <f>+W20*60</f>
        <v>34.17721518987342</v>
      </c>
    </row>
    <row r="22" spans="1:23" ht="12">
      <c r="A22" t="s">
        <v>10</v>
      </c>
      <c r="D22">
        <f>+D19-D21</f>
        <v>95</v>
      </c>
      <c r="H22" t="s">
        <v>10</v>
      </c>
      <c r="M22">
        <f>+M19-M21</f>
        <v>223</v>
      </c>
      <c r="V22">
        <f>+V21-INT(V21)</f>
        <v>0.8227848101265849</v>
      </c>
      <c r="W22">
        <f>+W21-INT(W21)</f>
        <v>0.17721518987342222</v>
      </c>
    </row>
    <row r="23" spans="1:23" ht="12">
      <c r="A23" t="s">
        <v>11</v>
      </c>
      <c r="D23" s="7">
        <f>+D22/(D16+D20)</f>
        <v>2.638888888888889</v>
      </c>
      <c r="H23" t="s">
        <v>11</v>
      </c>
      <c r="M23" s="7">
        <f>+M22/(M16+M20)</f>
        <v>6.96875</v>
      </c>
      <c r="V23">
        <f>+V22*60</f>
        <v>49.36708860759509</v>
      </c>
      <c r="W23">
        <f>+W22*60</f>
        <v>10.632911392405333</v>
      </c>
    </row>
    <row r="24" spans="1:23" ht="12">
      <c r="A24" t="s">
        <v>12</v>
      </c>
      <c r="D24" s="7">
        <f>+D19/D17</f>
        <v>8.722222222222221</v>
      </c>
      <c r="H24" t="s">
        <v>12</v>
      </c>
      <c r="M24" s="7">
        <f>+M19/M17</f>
        <v>9.91304347826087</v>
      </c>
      <c r="U24">
        <v>0</v>
      </c>
      <c r="V24" s="11">
        <f>ROUND(V23,0)</f>
        <v>49</v>
      </c>
      <c r="W24">
        <f>ROUND(W23,0)</f>
        <v>11</v>
      </c>
    </row>
    <row r="25" spans="22:23" ht="12">
      <c r="V25">
        <f>INT(V21)</f>
        <v>25</v>
      </c>
      <c r="W25">
        <f>INT(W21)</f>
        <v>34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152</v>
      </c>
      <c r="H27" t="s">
        <v>14</v>
      </c>
      <c r="M27">
        <f>+M22+M13</f>
        <v>385</v>
      </c>
      <c r="V27" s="14" t="str">
        <f>+V25&amp;V26&amp;V24</f>
        <v>25:49</v>
      </c>
      <c r="W27" s="9" t="str">
        <f>+W25&amp;W26&amp;W24</f>
        <v>34:11</v>
      </c>
    </row>
    <row r="28" spans="1:23" ht="12">
      <c r="A28" t="s">
        <v>15</v>
      </c>
      <c r="D28" s="7">
        <f>+D13/D27*100</f>
        <v>37.5</v>
      </c>
      <c r="H28" t="s">
        <v>15</v>
      </c>
      <c r="M28" s="7">
        <f>+M13/M27*100</f>
        <v>42.077922077922075</v>
      </c>
      <c r="V28" s="9" t="str">
        <f>IF(V24&lt;10,+V25&amp;V26&amp;$U$24&amp;V24,+V25&amp;V26&amp;V24)</f>
        <v>25:49</v>
      </c>
      <c r="W28" s="9" t="str">
        <f>IF(W24&lt;10,+W25&amp;W26&amp;$U$24&amp;W24,+W25&amp;W26&amp;W24)</f>
        <v>34:11</v>
      </c>
    </row>
    <row r="29" spans="1:13" ht="12">
      <c r="A29" s="1" t="s">
        <v>90</v>
      </c>
      <c r="D29" s="7">
        <f>+D22/D27*100</f>
        <v>62.5</v>
      </c>
      <c r="H29" s="1" t="s">
        <v>90</v>
      </c>
      <c r="M29" s="7">
        <f>+M22/M27*100</f>
        <v>57.92207792207792</v>
      </c>
    </row>
    <row r="31" spans="1:13" ht="12">
      <c r="A31" t="s">
        <v>16</v>
      </c>
      <c r="D31">
        <f>+D12+D16+D20</f>
        <v>58</v>
      </c>
      <c r="H31" t="s">
        <v>16</v>
      </c>
      <c r="M31">
        <f>+M12+M16+M20</f>
        <v>67</v>
      </c>
    </row>
    <row r="32" spans="1:13" ht="12">
      <c r="A32" t="s">
        <v>17</v>
      </c>
      <c r="D32" s="8">
        <f>+D27/D31</f>
        <v>2.6206896551724137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5.746268656716418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3</v>
      </c>
      <c r="H35" t="s">
        <v>19</v>
      </c>
      <c r="M35" s="2">
        <v>0</v>
      </c>
    </row>
    <row r="36" spans="1:13" ht="12">
      <c r="A36" t="s">
        <v>20</v>
      </c>
      <c r="D36" s="2">
        <v>26</v>
      </c>
      <c r="H36" t="s">
        <v>20</v>
      </c>
      <c r="M36" s="2">
        <v>0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6</v>
      </c>
      <c r="H39" t="s">
        <v>22</v>
      </c>
      <c r="M39" s="2">
        <v>5</v>
      </c>
    </row>
    <row r="40" spans="1:13" ht="12">
      <c r="A40" t="s">
        <v>23</v>
      </c>
      <c r="D40" s="2">
        <f>52+42+48+41+49+41</f>
        <v>273</v>
      </c>
      <c r="H40" t="s">
        <v>23</v>
      </c>
      <c r="M40" s="2">
        <f>40+32+45+34+31</f>
        <v>182</v>
      </c>
    </row>
    <row r="41" spans="1:13" ht="12">
      <c r="A41" t="s">
        <v>24</v>
      </c>
      <c r="D41" s="8">
        <f>+D40/D39</f>
        <v>45.5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36.4</v>
      </c>
    </row>
    <row r="43" spans="1:13" ht="12">
      <c r="A43" t="s">
        <v>25</v>
      </c>
      <c r="D43" s="2">
        <v>3</v>
      </c>
      <c r="H43" t="s">
        <v>25</v>
      </c>
      <c r="M43" s="2">
        <v>4</v>
      </c>
    </row>
    <row r="44" spans="1:13" ht="12">
      <c r="A44" t="s">
        <v>26</v>
      </c>
      <c r="D44" s="2">
        <v>21</v>
      </c>
      <c r="H44" t="s">
        <v>26</v>
      </c>
      <c r="M44" s="2">
        <v>13</v>
      </c>
    </row>
    <row r="45" spans="1:13" ht="12">
      <c r="A45" t="s">
        <v>27</v>
      </c>
      <c r="D45" s="8">
        <f>+D44/D43</f>
        <v>7</v>
      </c>
      <c r="H45" t="s">
        <v>27</v>
      </c>
      <c r="M45" s="8">
        <f>+M44/M43</f>
        <v>3.25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2</v>
      </c>
      <c r="H48" t="s">
        <v>30</v>
      </c>
      <c r="M48" s="2">
        <v>2</v>
      </c>
    </row>
    <row r="49" spans="1:13" ht="12">
      <c r="A49" t="s">
        <v>26</v>
      </c>
      <c r="D49" s="2">
        <v>26</v>
      </c>
      <c r="H49" t="s">
        <v>26</v>
      </c>
      <c r="M49" s="2">
        <v>36</v>
      </c>
    </row>
    <row r="50" spans="1:13" ht="12">
      <c r="A50" t="s">
        <v>27</v>
      </c>
      <c r="D50" s="8">
        <f>+D49/D48</f>
        <v>13</v>
      </c>
      <c r="H50" t="s">
        <v>27</v>
      </c>
      <c r="M50" s="8">
        <f>+M49/M48</f>
        <v>18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5</v>
      </c>
      <c r="H53" t="s">
        <v>31</v>
      </c>
      <c r="M53" s="2">
        <v>9</v>
      </c>
    </row>
    <row r="54" spans="1:13" ht="12">
      <c r="A54" t="s">
        <v>32</v>
      </c>
      <c r="D54" s="2">
        <v>17</v>
      </c>
      <c r="H54" t="s">
        <v>32</v>
      </c>
      <c r="M54" s="2">
        <v>85</v>
      </c>
    </row>
    <row r="56" spans="1:13" ht="12">
      <c r="A56" t="s">
        <v>33</v>
      </c>
      <c r="D56" s="2">
        <v>1</v>
      </c>
      <c r="H56" t="s">
        <v>33</v>
      </c>
      <c r="M56" s="2">
        <v>5</v>
      </c>
    </row>
    <row r="57" spans="1:13" ht="12">
      <c r="A57" t="s">
        <v>34</v>
      </c>
      <c r="D57" s="2">
        <v>1</v>
      </c>
      <c r="H57" t="s">
        <v>34</v>
      </c>
      <c r="M57" s="2">
        <v>2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3</v>
      </c>
      <c r="H59" t="s">
        <v>36</v>
      </c>
      <c r="M59" s="2">
        <v>0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3" ht="12">
      <c r="A62" t="s">
        <v>38</v>
      </c>
      <c r="D62" s="2">
        <v>3</v>
      </c>
      <c r="H62" t="s">
        <v>38</v>
      </c>
      <c r="M62" s="2">
        <v>21</v>
      </c>
    </row>
    <row r="63" spans="1:13" ht="12">
      <c r="A63" t="s">
        <v>39</v>
      </c>
      <c r="D63" s="2">
        <v>0</v>
      </c>
      <c r="H63" t="s">
        <v>39</v>
      </c>
      <c r="M63" s="2">
        <v>3</v>
      </c>
    </row>
    <row r="64" spans="1:13" ht="12">
      <c r="A64" t="s">
        <v>40</v>
      </c>
      <c r="D64" s="2">
        <v>0</v>
      </c>
      <c r="H64" t="s">
        <v>40</v>
      </c>
      <c r="M64" s="2">
        <v>1</v>
      </c>
    </row>
    <row r="65" spans="1:13" ht="12">
      <c r="A65" t="s">
        <v>41</v>
      </c>
      <c r="D65" s="2">
        <v>0</v>
      </c>
      <c r="H65" t="s">
        <v>41</v>
      </c>
      <c r="M65" s="2">
        <v>2</v>
      </c>
    </row>
    <row r="66" spans="1:13" ht="12">
      <c r="A66" t="s">
        <v>42</v>
      </c>
      <c r="D66" s="2">
        <v>0</v>
      </c>
      <c r="H66" t="s">
        <v>42</v>
      </c>
      <c r="M66" s="2">
        <v>0</v>
      </c>
    </row>
    <row r="67" spans="1:13" ht="12">
      <c r="A67" t="s">
        <v>43</v>
      </c>
      <c r="D67" s="2">
        <v>0</v>
      </c>
      <c r="H67" t="s">
        <v>43</v>
      </c>
      <c r="M67" s="2">
        <v>3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1</v>
      </c>
      <c r="H69" t="s">
        <v>45</v>
      </c>
      <c r="M69" s="2">
        <v>0</v>
      </c>
    </row>
    <row r="70" spans="1:13" ht="12">
      <c r="A70" t="s">
        <v>46</v>
      </c>
      <c r="D70" s="2">
        <v>2</v>
      </c>
      <c r="H70" t="s">
        <v>46</v>
      </c>
      <c r="M70" s="2">
        <v>1</v>
      </c>
    </row>
    <row r="71" spans="1:13" ht="12">
      <c r="A71" t="s">
        <v>47</v>
      </c>
      <c r="D71" s="8">
        <f>+D69/D70*100</f>
        <v>50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0</v>
      </c>
    </row>
    <row r="72" spans="1:13" ht="12">
      <c r="A72" t="s">
        <v>93</v>
      </c>
      <c r="D72" s="10" t="str">
        <f>IF(V24&lt;10,V28,V27)</f>
        <v>25:49</v>
      </c>
      <c r="E72" s="8"/>
      <c r="F72" s="8"/>
      <c r="H72" t="s">
        <v>93</v>
      </c>
      <c r="M72" s="10" t="str">
        <f>IF(W24&lt;10,W28,W27)</f>
        <v>34:11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6" ht="12">
      <c r="A77" t="s">
        <v>113</v>
      </c>
      <c r="C77">
        <v>9</v>
      </c>
      <c r="D77">
        <v>32</v>
      </c>
      <c r="E77" s="12">
        <f>+D77/C77</f>
        <v>3.5555555555555554</v>
      </c>
      <c r="F77">
        <v>10</v>
      </c>
    </row>
    <row r="78" spans="1:6" ht="12">
      <c r="A78" t="s">
        <v>114</v>
      </c>
      <c r="C78">
        <v>1</v>
      </c>
      <c r="D78">
        <v>0</v>
      </c>
      <c r="E78" s="12">
        <f>+D78/C78</f>
        <v>0</v>
      </c>
      <c r="F78">
        <v>0</v>
      </c>
    </row>
    <row r="79" spans="1:6" ht="12">
      <c r="A79" t="s">
        <v>115</v>
      </c>
      <c r="C79">
        <v>1</v>
      </c>
      <c r="D79">
        <v>7</v>
      </c>
      <c r="E79" s="12">
        <f aca="true" t="shared" si="0" ref="E79:E85">+D79/C79</f>
        <v>7</v>
      </c>
      <c r="F79">
        <v>7</v>
      </c>
    </row>
    <row r="80" spans="1:6" ht="12">
      <c r="A80" t="s">
        <v>116</v>
      </c>
      <c r="C80">
        <v>1</v>
      </c>
      <c r="D80">
        <v>1</v>
      </c>
      <c r="E80" s="12">
        <f t="shared" si="0"/>
        <v>1</v>
      </c>
      <c r="F80">
        <v>1</v>
      </c>
    </row>
    <row r="81" spans="1:5" ht="12">
      <c r="A81" t="s">
        <v>117</v>
      </c>
      <c r="E81" s="12" t="e">
        <f t="shared" si="0"/>
        <v>#DIV/0!</v>
      </c>
    </row>
    <row r="82" spans="1:6" ht="12">
      <c r="A82" t="s">
        <v>118</v>
      </c>
      <c r="C82">
        <v>2</v>
      </c>
      <c r="D82">
        <v>2</v>
      </c>
      <c r="E82" s="12">
        <f t="shared" si="0"/>
        <v>1</v>
      </c>
      <c r="F82">
        <v>3</v>
      </c>
    </row>
    <row r="83" spans="1:5" ht="12">
      <c r="A83" t="s">
        <v>119</v>
      </c>
      <c r="E83" s="12" t="e">
        <f t="shared" si="0"/>
        <v>#DIV/0!</v>
      </c>
    </row>
    <row r="84" spans="1:5" ht="12">
      <c r="A84" t="s">
        <v>120</v>
      </c>
      <c r="E84" s="12" t="e">
        <f t="shared" si="0"/>
        <v>#DIV/0!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6" ht="12">
      <c r="A87" t="s">
        <v>123</v>
      </c>
      <c r="C87">
        <v>8</v>
      </c>
      <c r="D87">
        <v>15</v>
      </c>
      <c r="E87" s="12">
        <f>+D87/C87</f>
        <v>1.875</v>
      </c>
      <c r="F87">
        <v>5</v>
      </c>
    </row>
    <row r="88" spans="1:5" ht="12">
      <c r="A88" t="s">
        <v>124</v>
      </c>
      <c r="E88" s="8"/>
    </row>
    <row r="89" spans="1:5" ht="12">
      <c r="A89" t="s">
        <v>125</v>
      </c>
      <c r="E89" s="8"/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6" ht="12">
      <c r="A94" t="s">
        <v>113</v>
      </c>
      <c r="C94">
        <v>1</v>
      </c>
      <c r="D94">
        <v>15</v>
      </c>
      <c r="E94" s="12">
        <f t="shared" si="1"/>
        <v>15</v>
      </c>
      <c r="F94">
        <v>15</v>
      </c>
    </row>
    <row r="95" spans="1:5" ht="12">
      <c r="A95" t="s">
        <v>114</v>
      </c>
      <c r="E95" s="12" t="e">
        <f t="shared" si="1"/>
        <v>#DIV/0!</v>
      </c>
    </row>
    <row r="96" spans="1:5" ht="12">
      <c r="A96" t="s">
        <v>115</v>
      </c>
      <c r="E96" s="12" t="e">
        <f t="shared" si="1"/>
        <v>#DIV/0!</v>
      </c>
    </row>
    <row r="97" spans="1:5" ht="12">
      <c r="A97" t="s">
        <v>117</v>
      </c>
      <c r="E97" s="12" t="e">
        <f t="shared" si="1"/>
        <v>#DIV/0!</v>
      </c>
    </row>
    <row r="98" spans="1:6" ht="12">
      <c r="A98" t="s">
        <v>128</v>
      </c>
      <c r="C98">
        <v>1</v>
      </c>
      <c r="D98">
        <v>25</v>
      </c>
      <c r="E98" s="12">
        <f t="shared" si="1"/>
        <v>25</v>
      </c>
      <c r="F98">
        <v>25</v>
      </c>
    </row>
    <row r="99" spans="1:5" ht="12">
      <c r="A99" t="s">
        <v>119</v>
      </c>
      <c r="E99" s="12" t="e">
        <f t="shared" si="1"/>
        <v>#DIV/0!</v>
      </c>
    </row>
    <row r="100" spans="1:6" ht="12">
      <c r="A100" t="s">
        <v>120</v>
      </c>
      <c r="C100">
        <v>5</v>
      </c>
      <c r="D100">
        <v>63</v>
      </c>
      <c r="E100" s="12">
        <f t="shared" si="1"/>
        <v>12.6</v>
      </c>
      <c r="F100">
        <v>23</v>
      </c>
    </row>
    <row r="101" spans="1:6" ht="12">
      <c r="A101" t="s">
        <v>129</v>
      </c>
      <c r="C101">
        <v>3</v>
      </c>
      <c r="D101">
        <v>37</v>
      </c>
      <c r="E101" s="12">
        <f t="shared" si="1"/>
        <v>12.333333333333334</v>
      </c>
      <c r="F101">
        <v>16</v>
      </c>
    </row>
    <row r="102" spans="1:5" ht="12">
      <c r="A102" t="s">
        <v>130</v>
      </c>
      <c r="E102" s="12" t="e">
        <f t="shared" si="1"/>
        <v>#DIV/0!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6" ht="12">
      <c r="A105" t="s">
        <v>132</v>
      </c>
      <c r="C105">
        <v>1</v>
      </c>
      <c r="D105">
        <v>2</v>
      </c>
      <c r="E105" s="12">
        <f>+D105/C105</f>
        <v>2</v>
      </c>
      <c r="F105">
        <v>2</v>
      </c>
    </row>
    <row r="106" spans="1:6" ht="12">
      <c r="A106" t="s">
        <v>123</v>
      </c>
      <c r="C106">
        <v>6</v>
      </c>
      <c r="D106">
        <v>14</v>
      </c>
      <c r="E106" s="12"/>
      <c r="F106">
        <v>4</v>
      </c>
    </row>
    <row r="107" spans="1:6" ht="12">
      <c r="A107" t="s">
        <v>133</v>
      </c>
      <c r="C107">
        <v>1</v>
      </c>
      <c r="D107">
        <v>1</v>
      </c>
      <c r="E107" s="12"/>
      <c r="F107">
        <v>1</v>
      </c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>+G113/C113*100</f>
        <v>#DIV/0!</v>
      </c>
      <c r="K113" s="12" t="e">
        <f aca="true" t="shared" si="3" ref="K113:K118">+I113/C113*100</f>
        <v>#DIV/0!</v>
      </c>
      <c r="L113" s="12" t="e">
        <f aca="true" t="shared" si="4" ref="L113:L118">+F113/C113</f>
        <v>#DIV/0!</v>
      </c>
      <c r="M113" s="12" t="e">
        <f aca="true" t="shared" si="5" ref="M113:M118">100*(S113+U113+W113+Y113)/6</f>
        <v>#DIV/0!</v>
      </c>
      <c r="R113" t="e">
        <f aca="true" t="shared" si="6" ref="R113:R118">+(E113-30)/20</f>
        <v>#DIV/0!</v>
      </c>
      <c r="S113" s="2" t="e">
        <f aca="true" t="shared" si="7" ref="S113:S118">IF(R113&lt;0,0,R113)</f>
        <v>#DIV/0!</v>
      </c>
      <c r="T113" s="6" t="e">
        <f aca="true" t="shared" si="8" ref="T113:T118">+(L113-3)/4</f>
        <v>#DIV/0!</v>
      </c>
      <c r="U113" s="2" t="e">
        <f aca="true" t="shared" si="9" ref="U113:U118">IF(T113&lt;0,0,T113)</f>
        <v>#DIV/0!</v>
      </c>
      <c r="V113" t="e">
        <f aca="true" t="shared" si="10" ref="V113:V118">+J113/5</f>
        <v>#DIV/0!</v>
      </c>
      <c r="W113" s="2" t="e">
        <f aca="true" t="shared" si="11" ref="W113:W118">IF(V113&lt;0,0,V113)</f>
        <v>#DIV/0!</v>
      </c>
      <c r="X113" t="e">
        <f aca="true" t="shared" si="12" ref="X113:X118">(9.5-K113)/4</f>
        <v>#DIV/0!</v>
      </c>
      <c r="Y113" s="2" t="e">
        <f aca="true" t="shared" si="13" ref="Y113:Y118">IF(X113&lt;0,0,X113)</f>
        <v>#DIV/0!</v>
      </c>
    </row>
    <row r="114" spans="1:25" ht="12">
      <c r="A114" t="s">
        <v>118</v>
      </c>
      <c r="C114">
        <v>29</v>
      </c>
      <c r="D114">
        <v>18</v>
      </c>
      <c r="E114" s="12">
        <f t="shared" si="2"/>
        <v>62.06896551724138</v>
      </c>
      <c r="F114">
        <v>157</v>
      </c>
      <c r="H114">
        <v>25</v>
      </c>
      <c r="I114">
        <v>3</v>
      </c>
      <c r="J114" s="8"/>
      <c r="K114" s="12">
        <f t="shared" si="3"/>
        <v>10.344827586206897</v>
      </c>
      <c r="L114" s="12">
        <f t="shared" si="4"/>
        <v>5.413793103448276</v>
      </c>
      <c r="M114" s="12">
        <f t="shared" si="5"/>
        <v>36.7816091954023</v>
      </c>
      <c r="N114">
        <v>1</v>
      </c>
      <c r="O114">
        <v>7</v>
      </c>
      <c r="R114">
        <f t="shared" si="6"/>
        <v>1.603448275862069</v>
      </c>
      <c r="S114" s="2">
        <f t="shared" si="7"/>
        <v>1.603448275862069</v>
      </c>
      <c r="T114" s="6">
        <f t="shared" si="8"/>
        <v>0.603448275862069</v>
      </c>
      <c r="U114" s="2">
        <f t="shared" si="9"/>
        <v>0.603448275862069</v>
      </c>
      <c r="V114">
        <f t="shared" si="10"/>
        <v>0</v>
      </c>
      <c r="W114" s="2">
        <f t="shared" si="11"/>
        <v>0</v>
      </c>
      <c r="X114">
        <f t="shared" si="12"/>
        <v>-0.2112068965517242</v>
      </c>
      <c r="Y114" s="2">
        <f t="shared" si="13"/>
        <v>0</v>
      </c>
    </row>
    <row r="115" spans="1:25" ht="12">
      <c r="A115" t="s">
        <v>120</v>
      </c>
      <c r="E115" s="12" t="e">
        <f t="shared" si="2"/>
        <v>#DIV/0!</v>
      </c>
      <c r="J115" s="8"/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>
        <f t="shared" si="10"/>
        <v>0</v>
      </c>
      <c r="W115" s="2">
        <f t="shared" si="11"/>
        <v>0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/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>
        <f t="shared" si="10"/>
        <v>0</v>
      </c>
      <c r="W116" s="2">
        <f t="shared" si="11"/>
        <v>0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E117" s="12" t="e">
        <f t="shared" si="2"/>
        <v>#DIV/0!</v>
      </c>
      <c r="J117" s="8"/>
      <c r="K117" s="12" t="e">
        <f t="shared" si="3"/>
        <v>#DIV/0!</v>
      </c>
      <c r="L117" s="12" t="e">
        <f t="shared" si="4"/>
        <v>#DIV/0!</v>
      </c>
      <c r="M117" s="12" t="e">
        <f t="shared" si="5"/>
        <v>#DIV/0!</v>
      </c>
      <c r="R117" t="e">
        <f t="shared" si="6"/>
        <v>#DIV/0!</v>
      </c>
      <c r="S117" s="2" t="e">
        <f t="shared" si="7"/>
        <v>#DIV/0!</v>
      </c>
      <c r="T117" s="6" t="e">
        <f t="shared" si="8"/>
        <v>#DIV/0!</v>
      </c>
      <c r="U117" s="2" t="e">
        <f t="shared" si="9"/>
        <v>#DIV/0!</v>
      </c>
      <c r="V117">
        <f t="shared" si="10"/>
        <v>0</v>
      </c>
      <c r="W117" s="2">
        <f t="shared" si="11"/>
        <v>0</v>
      </c>
      <c r="X117" t="e">
        <f t="shared" si="12"/>
        <v>#DIV/0!</v>
      </c>
      <c r="Y117" s="2" t="e">
        <f t="shared" si="13"/>
        <v>#DIV/0!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3</v>
      </c>
      <c r="E121">
        <v>21</v>
      </c>
      <c r="F121" s="12">
        <f aca="true" t="shared" si="14" ref="F121:F126">+E121/C121</f>
        <v>7</v>
      </c>
      <c r="G121">
        <v>8</v>
      </c>
    </row>
    <row r="122" spans="1:6" ht="12">
      <c r="A122" t="s">
        <v>134</v>
      </c>
      <c r="F122" s="12" t="e">
        <f t="shared" si="14"/>
        <v>#DIV/0!</v>
      </c>
    </row>
    <row r="123" spans="1:6" ht="12">
      <c r="A123" t="s">
        <v>135</v>
      </c>
      <c r="F123" s="12" t="e">
        <f t="shared" si="14"/>
        <v>#DIV/0!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5" ht="12">
      <c r="A132" t="s">
        <v>137</v>
      </c>
      <c r="E132" s="12" t="e">
        <f t="shared" si="15"/>
        <v>#DIV/0!</v>
      </c>
    </row>
    <row r="133" spans="1:6" ht="12">
      <c r="A133" t="s">
        <v>116</v>
      </c>
      <c r="C133">
        <v>2</v>
      </c>
      <c r="D133">
        <v>26</v>
      </c>
      <c r="E133" s="12">
        <f t="shared" si="15"/>
        <v>13</v>
      </c>
      <c r="F133">
        <v>14</v>
      </c>
    </row>
    <row r="134" spans="1:5" ht="12">
      <c r="A134" t="s">
        <v>128</v>
      </c>
      <c r="E134" s="12" t="e">
        <f t="shared" si="15"/>
        <v>#DIV/0!</v>
      </c>
    </row>
    <row r="135" spans="1:5" ht="12">
      <c r="A135" t="s">
        <v>134</v>
      </c>
      <c r="E135" s="12" t="e">
        <f t="shared" si="15"/>
        <v>#DIV/0!</v>
      </c>
    </row>
    <row r="136" spans="1:5" ht="12">
      <c r="A136" t="s">
        <v>119</v>
      </c>
      <c r="E136" s="12" t="e">
        <f t="shared" si="15"/>
        <v>#DIV/0!</v>
      </c>
    </row>
    <row r="137" spans="1:5" ht="12">
      <c r="A137" t="s">
        <v>135</v>
      </c>
      <c r="E137" s="12" t="e">
        <f>+D137/C137</f>
        <v>#DIV/0!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6</v>
      </c>
      <c r="D143">
        <f>52+42+48+41+49+41</f>
        <v>273</v>
      </c>
      <c r="F143">
        <v>52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16" ht="12">
      <c r="A150" t="s">
        <v>139</v>
      </c>
      <c r="C150">
        <v>2</v>
      </c>
      <c r="G150">
        <v>2</v>
      </c>
      <c r="H150">
        <v>1</v>
      </c>
      <c r="I150" s="12">
        <f>+H150/G150*100</f>
        <v>50</v>
      </c>
      <c r="J150">
        <v>25</v>
      </c>
      <c r="N150">
        <v>1</v>
      </c>
      <c r="O150">
        <v>1</v>
      </c>
      <c r="P150">
        <v>1</v>
      </c>
    </row>
    <row r="151" spans="1:9" ht="12">
      <c r="A151" t="s">
        <v>140</v>
      </c>
      <c r="I151" s="12" t="e">
        <f>+H151/G151*100</f>
        <v>#DIV/0!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5" ht="12">
      <c r="A158" t="s">
        <v>143</v>
      </c>
      <c r="E158" s="12" t="e">
        <f t="shared" si="16"/>
        <v>#DIV/0!</v>
      </c>
    </row>
    <row r="159" spans="1:5" ht="12">
      <c r="A159" t="s">
        <v>144</v>
      </c>
      <c r="E159" s="12" t="e">
        <f t="shared" si="16"/>
        <v>#DIV/0!</v>
      </c>
    </row>
    <row r="160" spans="1:5" ht="12">
      <c r="A160" t="s">
        <v>145</v>
      </c>
      <c r="E160" s="12" t="e">
        <f t="shared" si="16"/>
        <v>#DIV/0!</v>
      </c>
    </row>
    <row r="161" spans="1:5" ht="12">
      <c r="A161" t="s">
        <v>146</v>
      </c>
      <c r="E161" s="12" t="e">
        <f t="shared" si="16"/>
        <v>#DIV/0!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/>
      <c r="D172" s="3"/>
    </row>
    <row r="173" spans="1:4" ht="12">
      <c r="A173" t="s">
        <v>148</v>
      </c>
      <c r="C173" s="3"/>
      <c r="D173" s="3"/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/>
      <c r="D176" s="3"/>
    </row>
    <row r="177" spans="1:4" ht="12">
      <c r="A177" t="s">
        <v>151</v>
      </c>
      <c r="C177" s="3">
        <v>1</v>
      </c>
      <c r="D177" s="3">
        <v>5</v>
      </c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spans="1:5" ht="12">
      <c r="A196" t="s">
        <v>141</v>
      </c>
      <c r="C196">
        <v>1</v>
      </c>
      <c r="D196">
        <v>7</v>
      </c>
      <c r="E196">
        <v>7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spans="1:3" ht="12">
      <c r="A214" t="s">
        <v>145</v>
      </c>
      <c r="C214">
        <v>1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spans="1:3" ht="12">
      <c r="A238" t="s">
        <v>150</v>
      </c>
      <c r="C238">
        <v>1</v>
      </c>
    </row>
    <row r="239" ht="12">
      <c r="A239" t="s">
        <v>165</v>
      </c>
    </row>
    <row r="240" ht="12">
      <c r="A240" t="s">
        <v>124</v>
      </c>
    </row>
    <row r="241" ht="12">
      <c r="A241" t="s">
        <v>151</v>
      </c>
    </row>
    <row r="242" spans="1:3" ht="12">
      <c r="A242" t="s">
        <v>166</v>
      </c>
      <c r="C242">
        <v>1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M17" sqref="M17"/>
    </sheetView>
  </sheetViews>
  <sheetFormatPr defaultColWidth="11.42187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14</v>
      </c>
      <c r="H6" s="1" t="s">
        <v>29</v>
      </c>
      <c r="M6" s="2">
        <v>26</v>
      </c>
    </row>
    <row r="7" spans="1:13" ht="12">
      <c r="A7" s="18" t="s">
        <v>95</v>
      </c>
      <c r="D7" s="2">
        <v>5</v>
      </c>
      <c r="H7" s="18" t="s">
        <v>95</v>
      </c>
      <c r="M7" s="2">
        <v>10</v>
      </c>
    </row>
    <row r="8" spans="1:13" ht="12">
      <c r="A8" s="18" t="s">
        <v>96</v>
      </c>
      <c r="D8" s="2">
        <v>9</v>
      </c>
      <c r="H8" s="18" t="s">
        <v>96</v>
      </c>
      <c r="M8" s="2">
        <v>14</v>
      </c>
    </row>
    <row r="9" spans="1:13" ht="12">
      <c r="A9" s="18" t="s">
        <v>97</v>
      </c>
      <c r="D9" s="2">
        <v>0</v>
      </c>
      <c r="H9" s="18" t="s">
        <v>97</v>
      </c>
      <c r="M9" s="2">
        <v>2</v>
      </c>
    </row>
    <row r="10" spans="1:14" ht="12">
      <c r="A10" s="21" t="s">
        <v>168</v>
      </c>
      <c r="C10">
        <v>2</v>
      </c>
      <c r="D10" s="2">
        <v>7</v>
      </c>
      <c r="E10" s="22">
        <f>+C10/D10</f>
        <v>0.2857142857142857</v>
      </c>
      <c r="H10" s="21" t="s">
        <v>168</v>
      </c>
      <c r="L10">
        <v>6</v>
      </c>
      <c r="M10" s="2">
        <v>12</v>
      </c>
      <c r="N10" s="22">
        <f>+L10/M10</f>
        <v>0.5</v>
      </c>
    </row>
    <row r="12" spans="1:23" ht="12">
      <c r="A12" t="s">
        <v>1</v>
      </c>
      <c r="D12" s="2">
        <f>9+2+3+2+1+1</f>
        <v>18</v>
      </c>
      <c r="H12" t="s">
        <v>1</v>
      </c>
      <c r="M12" s="2">
        <f>14+20+3+3+1</f>
        <v>41</v>
      </c>
      <c r="V12">
        <f>+D12</f>
        <v>18</v>
      </c>
      <c r="W12">
        <f>+M12</f>
        <v>41</v>
      </c>
    </row>
    <row r="13" spans="1:23" ht="12">
      <c r="A13" t="s">
        <v>2</v>
      </c>
      <c r="D13" s="2">
        <f>49+17+4+2+29+2</f>
        <v>103</v>
      </c>
      <c r="H13" t="s">
        <v>2</v>
      </c>
      <c r="M13" s="2">
        <f>63+96+16+11-1</f>
        <v>185</v>
      </c>
      <c r="U13" s="13"/>
      <c r="V13">
        <f>+D17</f>
        <v>17</v>
      </c>
      <c r="W13">
        <f>+M17</f>
        <v>23</v>
      </c>
    </row>
    <row r="14" spans="1:23" ht="12">
      <c r="A14" s="1" t="s">
        <v>3</v>
      </c>
      <c r="D14" s="8">
        <f>+D13/D12</f>
        <v>5.722222222222222</v>
      </c>
      <c r="H14" s="1" t="s">
        <v>3</v>
      </c>
      <c r="M14" s="8">
        <f>+M13/M12</f>
        <v>4.512195121951219</v>
      </c>
      <c r="V14">
        <f>+(D16-D17)/2</f>
        <v>6</v>
      </c>
      <c r="W14">
        <f>+(M16-M17)/2</f>
        <v>6</v>
      </c>
    </row>
    <row r="15" spans="22:23" ht="12">
      <c r="V15">
        <f>+D39/2</f>
        <v>2</v>
      </c>
      <c r="W15">
        <f>+M39/2</f>
        <v>1.5</v>
      </c>
    </row>
    <row r="16" spans="1:23" ht="12">
      <c r="A16" t="s">
        <v>4</v>
      </c>
      <c r="D16" s="2">
        <v>29</v>
      </c>
      <c r="H16" t="s">
        <v>4</v>
      </c>
      <c r="M16" s="2">
        <v>35</v>
      </c>
      <c r="V16">
        <f>+D43/2</f>
        <v>1</v>
      </c>
      <c r="W16">
        <f>+M43/2</f>
        <v>2</v>
      </c>
    </row>
    <row r="17" spans="1:23" ht="12">
      <c r="A17" t="s">
        <v>5</v>
      </c>
      <c r="D17" s="2">
        <v>17</v>
      </c>
      <c r="H17" t="s">
        <v>5</v>
      </c>
      <c r="M17" s="2">
        <v>23</v>
      </c>
      <c r="V17">
        <f>+D48/2</f>
        <v>2</v>
      </c>
      <c r="W17">
        <f>+M48/2</f>
        <v>1.5</v>
      </c>
    </row>
    <row r="18" spans="1:13" ht="12">
      <c r="A18" t="s">
        <v>6</v>
      </c>
      <c r="D18" s="8">
        <f>+D17/D16*100</f>
        <v>58.620689655172406</v>
      </c>
      <c r="H18" t="s">
        <v>6</v>
      </c>
      <c r="M18" s="8">
        <f>+M17/M16*100</f>
        <v>65.71428571428571</v>
      </c>
    </row>
    <row r="19" spans="1:24" ht="12">
      <c r="A19" t="s">
        <v>7</v>
      </c>
      <c r="D19" s="2">
        <v>272</v>
      </c>
      <c r="H19" t="s">
        <v>7</v>
      </c>
      <c r="M19" s="2">
        <v>292</v>
      </c>
      <c r="V19">
        <f>SUM(V12:V17)</f>
        <v>46</v>
      </c>
      <c r="W19">
        <f>SUM(W12:W17)</f>
        <v>75</v>
      </c>
      <c r="X19">
        <f>+W19+V19</f>
        <v>121</v>
      </c>
    </row>
    <row r="20" spans="1:23" ht="12">
      <c r="A20" t="s">
        <v>8</v>
      </c>
      <c r="D20" s="2">
        <v>4</v>
      </c>
      <c r="H20" t="s">
        <v>8</v>
      </c>
      <c r="M20" s="2">
        <v>4</v>
      </c>
      <c r="V20">
        <f>+V19/X19</f>
        <v>0.38016528925619836</v>
      </c>
      <c r="W20">
        <f>+W19/X19</f>
        <v>0.6198347107438017</v>
      </c>
    </row>
    <row r="21" spans="1:23" ht="12">
      <c r="A21" t="s">
        <v>9</v>
      </c>
      <c r="D21" s="2">
        <f>0+5+9+5</f>
        <v>19</v>
      </c>
      <c r="H21" t="s">
        <v>9</v>
      </c>
      <c r="M21" s="2">
        <f>1+8+1+9</f>
        <v>19</v>
      </c>
      <c r="V21">
        <f>+V20*60</f>
        <v>22.8099173553719</v>
      </c>
      <c r="W21">
        <f>+W20*60</f>
        <v>37.1900826446281</v>
      </c>
    </row>
    <row r="22" spans="1:23" ht="12">
      <c r="A22" t="s">
        <v>10</v>
      </c>
      <c r="D22">
        <f>+D19-D21</f>
        <v>253</v>
      </c>
      <c r="H22" t="s">
        <v>10</v>
      </c>
      <c r="M22">
        <f>+M19-M21</f>
        <v>273</v>
      </c>
      <c r="V22">
        <f>+V21-INT(V21)</f>
        <v>0.8099173553719012</v>
      </c>
      <c r="W22">
        <f>+W21-INT(W21)</f>
        <v>0.19008264462809876</v>
      </c>
    </row>
    <row r="23" spans="1:23" ht="12">
      <c r="A23" t="s">
        <v>11</v>
      </c>
      <c r="D23" s="7">
        <f>+D22/(D16+D20)</f>
        <v>7.666666666666667</v>
      </c>
      <c r="H23" t="s">
        <v>11</v>
      </c>
      <c r="M23" s="7">
        <f>+M22/(M16+M20)</f>
        <v>7</v>
      </c>
      <c r="V23">
        <f>+V22*60</f>
        <v>48.595041322314074</v>
      </c>
      <c r="W23">
        <f>+W22*60</f>
        <v>11.404958677685926</v>
      </c>
    </row>
    <row r="24" spans="1:23" ht="12">
      <c r="A24" t="s">
        <v>12</v>
      </c>
      <c r="D24" s="7">
        <f>+D19/D17</f>
        <v>16</v>
      </c>
      <c r="H24" t="s">
        <v>12</v>
      </c>
      <c r="M24" s="7">
        <f>+M19/M17</f>
        <v>12.695652173913043</v>
      </c>
      <c r="U24">
        <v>0</v>
      </c>
      <c r="V24" s="11">
        <f>ROUND(V23,0)</f>
        <v>49</v>
      </c>
      <c r="W24">
        <f>ROUND(W23,0)</f>
        <v>11</v>
      </c>
    </row>
    <row r="25" spans="22:23" ht="12">
      <c r="V25">
        <f>INT(V21)</f>
        <v>22</v>
      </c>
      <c r="W25">
        <f>INT(W21)</f>
        <v>37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356</v>
      </c>
      <c r="H27" t="s">
        <v>14</v>
      </c>
      <c r="M27">
        <f>+M22+M13</f>
        <v>458</v>
      </c>
      <c r="V27" s="14" t="str">
        <f>+V25&amp;V26&amp;V24</f>
        <v>22:49</v>
      </c>
      <c r="W27" s="9" t="str">
        <f>+W25&amp;W26&amp;W24</f>
        <v>37:11</v>
      </c>
    </row>
    <row r="28" spans="1:23" ht="12">
      <c r="A28" t="s">
        <v>15</v>
      </c>
      <c r="D28" s="7">
        <f>+D13/D27*100</f>
        <v>28.932584269662918</v>
      </c>
      <c r="H28" t="s">
        <v>15</v>
      </c>
      <c r="M28" s="7">
        <f>+M13/M27*100</f>
        <v>40.39301310043668</v>
      </c>
      <c r="V28" s="9" t="str">
        <f>IF(V24&lt;10,+V25&amp;V26&amp;$U$24&amp;V24,+V25&amp;V26&amp;V24)</f>
        <v>22:49</v>
      </c>
      <c r="W28" s="9" t="str">
        <f>IF(W24&lt;10,+W25&amp;W26&amp;$U$24&amp;W24,+W25&amp;W26&amp;W24)</f>
        <v>37:11</v>
      </c>
    </row>
    <row r="29" spans="1:13" ht="12">
      <c r="A29" s="1" t="s">
        <v>90</v>
      </c>
      <c r="D29" s="7">
        <f>+D22/D27*100</f>
        <v>71.06741573033707</v>
      </c>
      <c r="H29" s="1" t="s">
        <v>90</v>
      </c>
      <c r="M29" s="7">
        <f>+M22/M27*100</f>
        <v>59.60698689956332</v>
      </c>
    </row>
    <row r="31" spans="1:13" ht="12">
      <c r="A31" t="s">
        <v>16</v>
      </c>
      <c r="D31">
        <f>+D12+D16+D20</f>
        <v>51</v>
      </c>
      <c r="H31" t="s">
        <v>16</v>
      </c>
      <c r="M31">
        <f>+M12+M16+M20</f>
        <v>80</v>
      </c>
    </row>
    <row r="32" spans="1:13" ht="12">
      <c r="A32" t="s">
        <v>17</v>
      </c>
      <c r="D32" s="8">
        <f>+D27/D31</f>
        <v>6.980392156862745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5.725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0</v>
      </c>
      <c r="H35" t="s">
        <v>19</v>
      </c>
      <c r="M35" s="2">
        <v>2</v>
      </c>
    </row>
    <row r="36" spans="1:13" ht="12">
      <c r="A36" t="s">
        <v>20</v>
      </c>
      <c r="D36" s="2">
        <v>0</v>
      </c>
      <c r="H36" t="s">
        <v>20</v>
      </c>
      <c r="M36" s="2">
        <v>85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4</v>
      </c>
      <c r="H39" t="s">
        <v>22</v>
      </c>
      <c r="M39" s="2">
        <v>3</v>
      </c>
    </row>
    <row r="40" spans="1:13" ht="12">
      <c r="A40" t="s">
        <v>23</v>
      </c>
      <c r="D40" s="2">
        <f>48+29+52+40</f>
        <v>169</v>
      </c>
      <c r="H40" t="s">
        <v>23</v>
      </c>
      <c r="M40" s="2">
        <f>37+41+38</f>
        <v>116</v>
      </c>
    </row>
    <row r="41" spans="1:13" ht="12">
      <c r="A41" t="s">
        <v>24</v>
      </c>
      <c r="D41" s="8">
        <f>+D40/D39</f>
        <v>42.25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38.666666666666664</v>
      </c>
    </row>
    <row r="43" spans="1:13" ht="12">
      <c r="A43" t="s">
        <v>25</v>
      </c>
      <c r="D43" s="2">
        <v>2</v>
      </c>
      <c r="H43" t="s">
        <v>25</v>
      </c>
      <c r="M43" s="2">
        <v>4</v>
      </c>
    </row>
    <row r="44" spans="1:13" ht="12">
      <c r="A44" t="s">
        <v>26</v>
      </c>
      <c r="D44" s="2">
        <v>22</v>
      </c>
      <c r="H44" t="s">
        <v>26</v>
      </c>
      <c r="M44" s="2">
        <f>6+0+0+14</f>
        <v>20</v>
      </c>
    </row>
    <row r="45" spans="1:13" ht="12">
      <c r="A45" t="s">
        <v>27</v>
      </c>
      <c r="D45" s="8">
        <f>+D44/D43</f>
        <v>11</v>
      </c>
      <c r="H45" t="s">
        <v>27</v>
      </c>
      <c r="M45" s="8">
        <f>+M44/M43</f>
        <v>5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4</v>
      </c>
      <c r="H48" t="s">
        <v>30</v>
      </c>
      <c r="M48" s="2">
        <v>3</v>
      </c>
    </row>
    <row r="49" spans="1:13" ht="12">
      <c r="A49" t="s">
        <v>26</v>
      </c>
      <c r="D49" s="2">
        <f>14+20+12+15</f>
        <v>61</v>
      </c>
      <c r="H49" t="s">
        <v>26</v>
      </c>
      <c r="M49" s="2">
        <f>9+19+12</f>
        <v>40</v>
      </c>
    </row>
    <row r="50" spans="1:13" ht="12">
      <c r="A50" t="s">
        <v>27</v>
      </c>
      <c r="D50" s="8">
        <f>+D49/D48</f>
        <v>15.25</v>
      </c>
      <c r="H50" t="s">
        <v>27</v>
      </c>
      <c r="M50" s="8">
        <f>+M49/M48</f>
        <v>13.333333333333334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9</v>
      </c>
      <c r="H53" t="s">
        <v>31</v>
      </c>
      <c r="M53" s="2">
        <v>6</v>
      </c>
    </row>
    <row r="54" spans="1:13" ht="12">
      <c r="A54" t="s">
        <v>32</v>
      </c>
      <c r="D54" s="2">
        <v>71</v>
      </c>
      <c r="H54" t="s">
        <v>32</v>
      </c>
      <c r="M54" s="2">
        <v>45</v>
      </c>
    </row>
    <row r="56" spans="1:13" ht="12">
      <c r="A56" t="s">
        <v>33</v>
      </c>
      <c r="D56" s="2">
        <v>6</v>
      </c>
      <c r="H56" t="s">
        <v>33</v>
      </c>
      <c r="M56" s="2">
        <v>3</v>
      </c>
    </row>
    <row r="57" spans="1:13" ht="12">
      <c r="A57" t="s">
        <v>34</v>
      </c>
      <c r="D57" s="2">
        <v>1</v>
      </c>
      <c r="H57" t="s">
        <v>34</v>
      </c>
      <c r="M57" s="2">
        <v>1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2</v>
      </c>
      <c r="H59" t="s">
        <v>36</v>
      </c>
      <c r="M59" s="2">
        <v>5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3" ht="12">
      <c r="A62" t="s">
        <v>38</v>
      </c>
      <c r="D62" s="2">
        <v>14</v>
      </c>
      <c r="H62" t="s">
        <v>38</v>
      </c>
      <c r="M62" s="2">
        <v>23</v>
      </c>
    </row>
    <row r="63" spans="1:13" ht="12">
      <c r="A63" t="s">
        <v>39</v>
      </c>
      <c r="D63" s="2">
        <v>2</v>
      </c>
      <c r="H63" t="s">
        <v>39</v>
      </c>
      <c r="M63" s="2">
        <v>2</v>
      </c>
    </row>
    <row r="64" spans="1:13" ht="12">
      <c r="A64" t="s">
        <v>40</v>
      </c>
      <c r="D64" s="2">
        <v>0</v>
      </c>
      <c r="H64" t="s">
        <v>40</v>
      </c>
      <c r="M64" s="2">
        <v>2</v>
      </c>
    </row>
    <row r="65" spans="1:13" ht="12">
      <c r="A65" t="s">
        <v>41</v>
      </c>
      <c r="D65" s="2">
        <v>2</v>
      </c>
      <c r="H65" t="s">
        <v>41</v>
      </c>
      <c r="M65" s="2">
        <v>0</v>
      </c>
    </row>
    <row r="66" spans="1:13" ht="12">
      <c r="A66" t="s">
        <v>42</v>
      </c>
      <c r="D66" s="2">
        <v>0</v>
      </c>
      <c r="H66" t="s">
        <v>42</v>
      </c>
      <c r="M66" s="2">
        <v>0</v>
      </c>
    </row>
    <row r="67" spans="1:13" ht="12">
      <c r="A67" t="s">
        <v>43</v>
      </c>
      <c r="D67" s="2">
        <v>2</v>
      </c>
      <c r="H67" t="s">
        <v>43</v>
      </c>
      <c r="M67" s="2">
        <v>2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0</v>
      </c>
      <c r="H69" t="s">
        <v>45</v>
      </c>
      <c r="M69" s="2">
        <v>3</v>
      </c>
    </row>
    <row r="70" spans="1:13" ht="12">
      <c r="A70" t="s">
        <v>46</v>
      </c>
      <c r="D70" s="2">
        <v>0</v>
      </c>
      <c r="H70" t="s">
        <v>46</v>
      </c>
      <c r="M70" s="2">
        <v>4</v>
      </c>
    </row>
    <row r="71" spans="1:13" ht="12">
      <c r="A71" t="s">
        <v>47</v>
      </c>
      <c r="D71" s="8" t="e">
        <f>+D69/D70*100</f>
        <v>#DIV/0!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75</v>
      </c>
    </row>
    <row r="72" spans="1:13" ht="12">
      <c r="A72" t="s">
        <v>93</v>
      </c>
      <c r="D72" s="10" t="str">
        <f>IF(V24&lt;10,V28,V27)</f>
        <v>22:49</v>
      </c>
      <c r="E72" s="8"/>
      <c r="F72" s="8"/>
      <c r="H72" t="s">
        <v>93</v>
      </c>
      <c r="M72" s="10" t="str">
        <f>IF(W24&lt;10,W28,W27)</f>
        <v>37:11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8" ht="12">
      <c r="A77" t="s">
        <v>113</v>
      </c>
      <c r="C77">
        <v>9</v>
      </c>
      <c r="D77">
        <v>49</v>
      </c>
      <c r="E77" s="12">
        <f>+D77/C77</f>
        <v>5.444444444444445</v>
      </c>
      <c r="F77">
        <v>20</v>
      </c>
      <c r="H77">
        <v>1</v>
      </c>
    </row>
    <row r="78" spans="1:6" ht="12">
      <c r="A78" t="s">
        <v>114</v>
      </c>
      <c r="C78">
        <v>3</v>
      </c>
      <c r="D78">
        <v>4</v>
      </c>
      <c r="E78" s="12">
        <f>+D78/C78</f>
        <v>1.3333333333333333</v>
      </c>
      <c r="F78">
        <v>4</v>
      </c>
    </row>
    <row r="79" spans="1:6" ht="12">
      <c r="A79" t="s">
        <v>115</v>
      </c>
      <c r="C79">
        <v>2</v>
      </c>
      <c r="D79">
        <v>2</v>
      </c>
      <c r="E79" s="12">
        <f aca="true" t="shared" si="0" ref="E79:E85">+D79/C79</f>
        <v>1</v>
      </c>
      <c r="F79">
        <v>2</v>
      </c>
    </row>
    <row r="80" spans="1:6" ht="12">
      <c r="A80" t="s">
        <v>116</v>
      </c>
      <c r="C80">
        <v>1</v>
      </c>
      <c r="D80">
        <v>29</v>
      </c>
      <c r="E80" s="12">
        <f t="shared" si="0"/>
        <v>29</v>
      </c>
      <c r="F80">
        <v>29</v>
      </c>
    </row>
    <row r="81" spans="1:5" ht="12">
      <c r="A81" t="s">
        <v>117</v>
      </c>
      <c r="E81" s="12" t="e">
        <f t="shared" si="0"/>
        <v>#DIV/0!</v>
      </c>
    </row>
    <row r="82" spans="1:6" ht="12">
      <c r="A82" t="s">
        <v>118</v>
      </c>
      <c r="C82">
        <v>1</v>
      </c>
      <c r="D82">
        <v>2</v>
      </c>
      <c r="E82" s="12">
        <f t="shared" si="0"/>
        <v>2</v>
      </c>
      <c r="F82">
        <v>2</v>
      </c>
    </row>
    <row r="83" spans="1:5" ht="12">
      <c r="A83" t="s">
        <v>119</v>
      </c>
      <c r="E83" s="12" t="e">
        <f t="shared" si="0"/>
        <v>#DIV/0!</v>
      </c>
    </row>
    <row r="84" spans="1:5" ht="12">
      <c r="A84" t="s">
        <v>120</v>
      </c>
      <c r="E84" s="12" t="e">
        <f t="shared" si="0"/>
        <v>#DIV/0!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6" ht="12">
      <c r="A87" t="s">
        <v>123</v>
      </c>
      <c r="C87">
        <v>2</v>
      </c>
      <c r="D87">
        <v>17</v>
      </c>
      <c r="E87" s="12">
        <f>+D87/C87</f>
        <v>8.5</v>
      </c>
      <c r="F87">
        <v>15</v>
      </c>
    </row>
    <row r="88" spans="1:5" ht="12">
      <c r="A88" t="s">
        <v>124</v>
      </c>
      <c r="E88" s="8"/>
    </row>
    <row r="89" spans="1:5" ht="12">
      <c r="A89" t="s">
        <v>125</v>
      </c>
      <c r="E89" s="8"/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6" ht="12">
      <c r="A94" t="s">
        <v>113</v>
      </c>
      <c r="C94">
        <v>1</v>
      </c>
      <c r="D94">
        <v>8</v>
      </c>
      <c r="E94" s="12">
        <f t="shared" si="1"/>
        <v>8</v>
      </c>
      <c r="F94">
        <v>8</v>
      </c>
    </row>
    <row r="95" spans="1:5" ht="12">
      <c r="A95" t="s">
        <v>114</v>
      </c>
      <c r="E95" s="12" t="e">
        <f t="shared" si="1"/>
        <v>#DIV/0!</v>
      </c>
    </row>
    <row r="96" spans="1:6" ht="12">
      <c r="A96" t="s">
        <v>115</v>
      </c>
      <c r="C96">
        <v>2</v>
      </c>
      <c r="D96">
        <v>12</v>
      </c>
      <c r="E96" s="12">
        <f t="shared" si="1"/>
        <v>6</v>
      </c>
      <c r="F96">
        <v>13</v>
      </c>
    </row>
    <row r="97" spans="1:5" ht="12">
      <c r="A97" t="s">
        <v>117</v>
      </c>
      <c r="E97" s="12" t="e">
        <f t="shared" si="1"/>
        <v>#DIV/0!</v>
      </c>
    </row>
    <row r="98" spans="1:5" ht="12">
      <c r="A98" t="s">
        <v>128</v>
      </c>
      <c r="E98" s="12" t="e">
        <f t="shared" si="1"/>
        <v>#DIV/0!</v>
      </c>
    </row>
    <row r="99" spans="1:5" ht="12">
      <c r="A99" t="s">
        <v>119</v>
      </c>
      <c r="E99" s="12" t="e">
        <f t="shared" si="1"/>
        <v>#DIV/0!</v>
      </c>
    </row>
    <row r="100" spans="1:7" ht="12">
      <c r="A100" t="s">
        <v>120</v>
      </c>
      <c r="C100">
        <v>8</v>
      </c>
      <c r="D100">
        <v>139</v>
      </c>
      <c r="E100" s="12">
        <f t="shared" si="1"/>
        <v>17.375</v>
      </c>
      <c r="F100">
        <v>49</v>
      </c>
      <c r="G100">
        <v>1</v>
      </c>
    </row>
    <row r="101" spans="1:6" ht="12">
      <c r="A101" t="s">
        <v>129</v>
      </c>
      <c r="C101">
        <v>1</v>
      </c>
      <c r="D101">
        <v>17</v>
      </c>
      <c r="E101" s="12">
        <f t="shared" si="1"/>
        <v>17</v>
      </c>
      <c r="F101">
        <v>17</v>
      </c>
    </row>
    <row r="102" spans="1:5" ht="12">
      <c r="A102" t="s">
        <v>130</v>
      </c>
      <c r="E102" s="12" t="e">
        <f t="shared" si="1"/>
        <v>#DIV/0!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6" ht="12">
      <c r="A105" t="s">
        <v>132</v>
      </c>
      <c r="C105">
        <v>1</v>
      </c>
      <c r="D105">
        <v>14</v>
      </c>
      <c r="E105" s="12">
        <f>+D105/C105</f>
        <v>14</v>
      </c>
      <c r="F105">
        <v>14</v>
      </c>
    </row>
    <row r="106" spans="1:8" ht="12">
      <c r="A106" t="s">
        <v>123</v>
      </c>
      <c r="C106">
        <v>4</v>
      </c>
      <c r="D106">
        <v>82</v>
      </c>
      <c r="E106" s="12"/>
      <c r="F106">
        <v>34</v>
      </c>
      <c r="G106">
        <v>1</v>
      </c>
      <c r="H106">
        <v>1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>+G113/C113*100</f>
        <v>#DIV/0!</v>
      </c>
      <c r="K113" s="12" t="e">
        <f aca="true" t="shared" si="3" ref="K113:K118">+I113/C113*100</f>
        <v>#DIV/0!</v>
      </c>
      <c r="L113" s="12" t="e">
        <f aca="true" t="shared" si="4" ref="L113:L118">+F113/C113</f>
        <v>#DIV/0!</v>
      </c>
      <c r="M113" s="12" t="e">
        <f aca="true" t="shared" si="5" ref="M113:M118">100*(S113+U113+W113+Y113)/6</f>
        <v>#DIV/0!</v>
      </c>
      <c r="R113" t="e">
        <f aca="true" t="shared" si="6" ref="R113:R118">+(E113-30)/20</f>
        <v>#DIV/0!</v>
      </c>
      <c r="S113" s="2" t="e">
        <f aca="true" t="shared" si="7" ref="S113:S118">IF(R113&lt;0,0,R113)</f>
        <v>#DIV/0!</v>
      </c>
      <c r="T113" s="6" t="e">
        <f aca="true" t="shared" si="8" ref="T113:T118">+(L113-3)/4</f>
        <v>#DIV/0!</v>
      </c>
      <c r="U113" s="2" t="e">
        <f aca="true" t="shared" si="9" ref="U113:U118">IF(T113&lt;0,0,T113)</f>
        <v>#DIV/0!</v>
      </c>
      <c r="V113" t="e">
        <f aca="true" t="shared" si="10" ref="V113:V118">+J113/5</f>
        <v>#DIV/0!</v>
      </c>
      <c r="W113" s="2" t="e">
        <f aca="true" t="shared" si="11" ref="W113:W118">IF(V113&lt;0,0,V113)</f>
        <v>#DIV/0!</v>
      </c>
      <c r="X113" t="e">
        <f aca="true" t="shared" si="12" ref="X113:X118">(9.5-K113)/4</f>
        <v>#DIV/0!</v>
      </c>
      <c r="Y113" s="2" t="e">
        <f aca="true" t="shared" si="13" ref="Y113:Y118">IF(X113&lt;0,0,X113)</f>
        <v>#DIV/0!</v>
      </c>
    </row>
    <row r="114" spans="1:25" ht="12">
      <c r="A114" t="s">
        <v>118</v>
      </c>
      <c r="C114">
        <v>29</v>
      </c>
      <c r="D114">
        <v>17</v>
      </c>
      <c r="E114" s="12">
        <f t="shared" si="2"/>
        <v>58.620689655172406</v>
      </c>
      <c r="F114">
        <v>272</v>
      </c>
      <c r="G114">
        <v>2</v>
      </c>
      <c r="H114">
        <v>49</v>
      </c>
      <c r="J114" s="8">
        <f>+G114/C114*100</f>
        <v>6.896551724137931</v>
      </c>
      <c r="K114" s="12">
        <f t="shared" si="3"/>
        <v>0</v>
      </c>
      <c r="L114" s="12">
        <f t="shared" si="4"/>
        <v>9.379310344827585</v>
      </c>
      <c r="M114" s="12">
        <f t="shared" si="5"/>
        <v>113.00287356321839</v>
      </c>
      <c r="N114">
        <v>2</v>
      </c>
      <c r="O114">
        <v>4</v>
      </c>
      <c r="R114">
        <f t="shared" si="6"/>
        <v>1.4310344827586203</v>
      </c>
      <c r="S114" s="2">
        <f t="shared" si="7"/>
        <v>1.4310344827586203</v>
      </c>
      <c r="T114" s="6">
        <f t="shared" si="8"/>
        <v>1.5948275862068964</v>
      </c>
      <c r="U114" s="2">
        <f t="shared" si="9"/>
        <v>1.5948275862068964</v>
      </c>
      <c r="V114">
        <f t="shared" si="10"/>
        <v>1.379310344827586</v>
      </c>
      <c r="W114" s="2">
        <f t="shared" si="11"/>
        <v>1.379310344827586</v>
      </c>
      <c r="X114">
        <f t="shared" si="12"/>
        <v>2.375</v>
      </c>
      <c r="Y114" s="2">
        <f t="shared" si="13"/>
        <v>2.375</v>
      </c>
    </row>
    <row r="115" spans="1:25" ht="12">
      <c r="A115" t="s">
        <v>120</v>
      </c>
      <c r="E115" s="12" t="e">
        <f t="shared" si="2"/>
        <v>#DIV/0!</v>
      </c>
      <c r="J115" s="8" t="e">
        <f>+G115/C115*100</f>
        <v>#DIV/0!</v>
      </c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 t="e">
        <f t="shared" si="10"/>
        <v>#DIV/0!</v>
      </c>
      <c r="W115" s="2" t="e">
        <f t="shared" si="11"/>
        <v>#DIV/0!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 t="e">
        <f>+G116/C116*100</f>
        <v>#DIV/0!</v>
      </c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 t="e">
        <f t="shared" si="10"/>
        <v>#DIV/0!</v>
      </c>
      <c r="W116" s="2" t="e">
        <f t="shared" si="11"/>
        <v>#DIV/0!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E117" s="12" t="e">
        <f t="shared" si="2"/>
        <v>#DIV/0!</v>
      </c>
      <c r="J117" s="8"/>
      <c r="K117" s="12" t="e">
        <f t="shared" si="3"/>
        <v>#DIV/0!</v>
      </c>
      <c r="L117" s="12" t="e">
        <f t="shared" si="4"/>
        <v>#DIV/0!</v>
      </c>
      <c r="M117" s="12" t="e">
        <f t="shared" si="5"/>
        <v>#DIV/0!</v>
      </c>
      <c r="R117" t="e">
        <f t="shared" si="6"/>
        <v>#DIV/0!</v>
      </c>
      <c r="S117" s="2" t="e">
        <f t="shared" si="7"/>
        <v>#DIV/0!</v>
      </c>
      <c r="T117" s="6" t="e">
        <f t="shared" si="8"/>
        <v>#DIV/0!</v>
      </c>
      <c r="U117" s="2" t="e">
        <f t="shared" si="9"/>
        <v>#DIV/0!</v>
      </c>
      <c r="V117">
        <f t="shared" si="10"/>
        <v>0</v>
      </c>
      <c r="W117" s="2">
        <f t="shared" si="11"/>
        <v>0</v>
      </c>
      <c r="X117" t="e">
        <f t="shared" si="12"/>
        <v>#DIV/0!</v>
      </c>
      <c r="Y117" s="2" t="e">
        <f t="shared" si="13"/>
        <v>#DIV/0!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2</v>
      </c>
      <c r="E121">
        <v>22</v>
      </c>
      <c r="F121" s="12">
        <f aca="true" t="shared" si="14" ref="F121:F126">+E121/C121</f>
        <v>11</v>
      </c>
      <c r="G121">
        <v>12</v>
      </c>
    </row>
    <row r="122" spans="1:6" ht="12">
      <c r="A122" t="s">
        <v>134</v>
      </c>
      <c r="F122" s="12" t="e">
        <f t="shared" si="14"/>
        <v>#DIV/0!</v>
      </c>
    </row>
    <row r="123" spans="1:6" ht="12">
      <c r="A123" t="s">
        <v>135</v>
      </c>
      <c r="F123" s="12" t="e">
        <f t="shared" si="14"/>
        <v>#DIV/0!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6" ht="12">
      <c r="A132" t="s">
        <v>137</v>
      </c>
      <c r="C132">
        <v>1</v>
      </c>
      <c r="D132">
        <v>15</v>
      </c>
      <c r="E132" s="12">
        <f t="shared" si="15"/>
        <v>15</v>
      </c>
      <c r="F132">
        <v>15</v>
      </c>
    </row>
    <row r="133" spans="1:6" ht="12">
      <c r="A133" t="s">
        <v>116</v>
      </c>
      <c r="C133">
        <v>2</v>
      </c>
      <c r="D133">
        <v>34</v>
      </c>
      <c r="E133" s="12">
        <f t="shared" si="15"/>
        <v>17</v>
      </c>
      <c r="F133">
        <v>20</v>
      </c>
    </row>
    <row r="134" spans="1:5" ht="12">
      <c r="A134" t="s">
        <v>128</v>
      </c>
      <c r="E134" s="12" t="e">
        <f t="shared" si="15"/>
        <v>#DIV/0!</v>
      </c>
    </row>
    <row r="135" spans="1:5" ht="12">
      <c r="A135" t="s">
        <v>134</v>
      </c>
      <c r="E135" s="12" t="e">
        <f t="shared" si="15"/>
        <v>#DIV/0!</v>
      </c>
    </row>
    <row r="136" spans="1:6" ht="12">
      <c r="A136" t="s">
        <v>119</v>
      </c>
      <c r="C136">
        <v>1</v>
      </c>
      <c r="D136">
        <v>12</v>
      </c>
      <c r="E136" s="12">
        <f t="shared" si="15"/>
        <v>12</v>
      </c>
      <c r="F136">
        <v>12</v>
      </c>
    </row>
    <row r="137" spans="1:5" ht="12">
      <c r="A137" t="s">
        <v>135</v>
      </c>
      <c r="E137" s="12" t="e">
        <f>+D137/C137</f>
        <v>#DIV/0!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4</v>
      </c>
      <c r="D143">
        <f>48+29+52+40</f>
        <v>169</v>
      </c>
      <c r="F143">
        <v>52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C150">
        <v>3</v>
      </c>
      <c r="E150">
        <v>2</v>
      </c>
      <c r="F150">
        <v>2</v>
      </c>
      <c r="I150" s="12" t="e">
        <f>+H150/G150*100</f>
        <v>#DIV/0!</v>
      </c>
    </row>
    <row r="151" spans="1:9" ht="12">
      <c r="A151" t="s">
        <v>140</v>
      </c>
      <c r="I151" s="12" t="e">
        <f>+H151/G151*100</f>
        <v>#DIV/0!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8" ht="12">
      <c r="A157" t="s">
        <v>142</v>
      </c>
      <c r="C157">
        <v>2</v>
      </c>
      <c r="D157">
        <v>85</v>
      </c>
      <c r="E157" s="12">
        <f aca="true" t="shared" si="16" ref="E157:E163">+D157/C157</f>
        <v>42.5</v>
      </c>
      <c r="F157">
        <v>78</v>
      </c>
      <c r="H157">
        <v>2</v>
      </c>
    </row>
    <row r="158" spans="1:5" ht="12">
      <c r="A158" t="s">
        <v>143</v>
      </c>
      <c r="E158" s="12" t="e">
        <f t="shared" si="16"/>
        <v>#DIV/0!</v>
      </c>
    </row>
    <row r="159" spans="1:5" ht="12">
      <c r="A159" t="s">
        <v>144</v>
      </c>
      <c r="E159" s="12" t="e">
        <f t="shared" si="16"/>
        <v>#DIV/0!</v>
      </c>
    </row>
    <row r="160" spans="1:5" ht="12">
      <c r="A160" t="s">
        <v>145</v>
      </c>
      <c r="E160" s="12" t="e">
        <f t="shared" si="16"/>
        <v>#DIV/0!</v>
      </c>
    </row>
    <row r="161" spans="1:5" ht="12">
      <c r="A161" t="s">
        <v>146</v>
      </c>
      <c r="E161" s="12" t="e">
        <f t="shared" si="16"/>
        <v>#DIV/0!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>
        <v>2</v>
      </c>
      <c r="D172" s="3">
        <v>9</v>
      </c>
    </row>
    <row r="173" spans="1:4" ht="12">
      <c r="A173" t="s">
        <v>148</v>
      </c>
      <c r="C173" s="3">
        <v>0.5</v>
      </c>
      <c r="D173" s="3">
        <v>0</v>
      </c>
    </row>
    <row r="174" spans="1:4" ht="12">
      <c r="A174" t="s">
        <v>145</v>
      </c>
      <c r="C174" s="3">
        <v>1</v>
      </c>
      <c r="D174" s="3">
        <v>9</v>
      </c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>
        <v>0.5</v>
      </c>
      <c r="D176" s="3">
        <v>1</v>
      </c>
    </row>
    <row r="177" spans="1:4" ht="12">
      <c r="A177" t="s">
        <v>151</v>
      </c>
      <c r="C177" s="3"/>
      <c r="D177" s="3"/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spans="1:3" ht="12">
      <c r="A194" t="s">
        <v>154</v>
      </c>
      <c r="C194">
        <v>1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spans="1:3" ht="12">
      <c r="A208" t="s">
        <v>147</v>
      </c>
      <c r="C208">
        <v>1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spans="1:3" ht="12">
      <c r="A220" t="s">
        <v>160</v>
      </c>
      <c r="C220">
        <v>1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ht="12">
      <c r="A241" t="s">
        <v>151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D5" sqref="D5"/>
    </sheetView>
  </sheetViews>
  <sheetFormatPr defaultColWidth="11.42187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16</v>
      </c>
      <c r="H6" s="1" t="s">
        <v>29</v>
      </c>
      <c r="M6" s="2">
        <v>22</v>
      </c>
    </row>
    <row r="7" spans="1:13" ht="12">
      <c r="A7" s="18" t="s">
        <v>95</v>
      </c>
      <c r="D7" s="2">
        <v>7</v>
      </c>
      <c r="H7" s="18" t="s">
        <v>95</v>
      </c>
      <c r="M7" s="2">
        <v>7</v>
      </c>
    </row>
    <row r="8" spans="1:13" ht="12">
      <c r="A8" s="18" t="s">
        <v>96</v>
      </c>
      <c r="D8" s="2">
        <v>9</v>
      </c>
      <c r="H8" s="18" t="s">
        <v>96</v>
      </c>
      <c r="M8" s="2">
        <v>14</v>
      </c>
    </row>
    <row r="9" spans="1:13" ht="12">
      <c r="A9" s="18" t="s">
        <v>97</v>
      </c>
      <c r="D9" s="2">
        <v>0</v>
      </c>
      <c r="H9" s="18" t="s">
        <v>97</v>
      </c>
      <c r="M9" s="2">
        <v>1</v>
      </c>
    </row>
    <row r="10" spans="1:14" ht="12">
      <c r="A10" s="21" t="s">
        <v>168</v>
      </c>
      <c r="C10">
        <v>5</v>
      </c>
      <c r="D10" s="2">
        <v>12</v>
      </c>
      <c r="E10" s="22">
        <f>+C10/D10</f>
        <v>0.4166666666666667</v>
      </c>
      <c r="H10" s="21" t="s">
        <v>168</v>
      </c>
      <c r="L10">
        <v>5</v>
      </c>
      <c r="M10" s="2">
        <v>13</v>
      </c>
      <c r="N10" s="22">
        <f>+L10/M10</f>
        <v>0.38461538461538464</v>
      </c>
    </row>
    <row r="12" spans="1:23" ht="12">
      <c r="A12" t="s">
        <v>1</v>
      </c>
      <c r="D12" s="2">
        <f>12+4+7+5+2</f>
        <v>30</v>
      </c>
      <c r="H12" t="s">
        <v>1</v>
      </c>
      <c r="M12" s="2">
        <f>15+5+6</f>
        <v>26</v>
      </c>
      <c r="V12">
        <f>+D12</f>
        <v>30</v>
      </c>
      <c r="W12">
        <f>+M12</f>
        <v>26</v>
      </c>
    </row>
    <row r="13" spans="1:23" ht="12">
      <c r="A13" t="s">
        <v>2</v>
      </c>
      <c r="D13" s="2">
        <f>44+15+48+20+14</f>
        <v>141</v>
      </c>
      <c r="H13" t="s">
        <v>2</v>
      </c>
      <c r="M13" s="2">
        <f>79+16+29</f>
        <v>124</v>
      </c>
      <c r="U13" s="13"/>
      <c r="V13">
        <f>+D17</f>
        <v>13</v>
      </c>
      <c r="W13">
        <f>+M17</f>
        <v>27</v>
      </c>
    </row>
    <row r="14" spans="1:23" ht="12">
      <c r="A14" s="1" t="s">
        <v>3</v>
      </c>
      <c r="D14" s="8">
        <f>+D13/D12</f>
        <v>4.7</v>
      </c>
      <c r="H14" s="1" t="s">
        <v>3</v>
      </c>
      <c r="M14" s="8">
        <f>+M13/M12</f>
        <v>4.769230769230769</v>
      </c>
      <c r="V14">
        <f>+(D16-D17)/2</f>
        <v>6</v>
      </c>
      <c r="W14">
        <f>+(M16-M17)/2</f>
        <v>10</v>
      </c>
    </row>
    <row r="15" spans="22:23" ht="12">
      <c r="V15">
        <f>+D39/2</f>
        <v>3</v>
      </c>
      <c r="W15">
        <f>+M39/2</f>
        <v>2</v>
      </c>
    </row>
    <row r="16" spans="1:23" ht="12">
      <c r="A16" t="s">
        <v>4</v>
      </c>
      <c r="D16" s="2">
        <v>25</v>
      </c>
      <c r="H16" t="s">
        <v>4</v>
      </c>
      <c r="M16" s="2">
        <v>47</v>
      </c>
      <c r="V16">
        <f>+D43/2</f>
        <v>1</v>
      </c>
      <c r="W16">
        <f>+M43/2</f>
        <v>1</v>
      </c>
    </row>
    <row r="17" spans="1:23" ht="12">
      <c r="A17" t="s">
        <v>5</v>
      </c>
      <c r="D17" s="2">
        <v>13</v>
      </c>
      <c r="H17" t="s">
        <v>5</v>
      </c>
      <c r="M17" s="2">
        <v>27</v>
      </c>
      <c r="V17">
        <f>+D48/2</f>
        <v>1</v>
      </c>
      <c r="W17">
        <f>+M48/2</f>
        <v>2</v>
      </c>
    </row>
    <row r="18" spans="1:13" ht="12">
      <c r="A18" t="s">
        <v>6</v>
      </c>
      <c r="D18" s="8">
        <f>+D17/D16*100</f>
        <v>52</v>
      </c>
      <c r="H18" t="s">
        <v>6</v>
      </c>
      <c r="M18" s="8">
        <f>+M17/M16*100</f>
        <v>57.446808510638306</v>
      </c>
    </row>
    <row r="19" spans="1:24" ht="12">
      <c r="A19" t="s">
        <v>7</v>
      </c>
      <c r="D19" s="2">
        <v>182</v>
      </c>
      <c r="H19" t="s">
        <v>7</v>
      </c>
      <c r="M19" s="2">
        <v>328</v>
      </c>
      <c r="V19">
        <f>SUM(V12:V17)</f>
        <v>54</v>
      </c>
      <c r="W19">
        <f>SUM(W12:W17)</f>
        <v>68</v>
      </c>
      <c r="X19">
        <f>+W19+V19</f>
        <v>122</v>
      </c>
    </row>
    <row r="20" spans="1:23" ht="12">
      <c r="A20" t="s">
        <v>8</v>
      </c>
      <c r="D20" s="2">
        <v>2</v>
      </c>
      <c r="H20" t="s">
        <v>8</v>
      </c>
      <c r="M20" s="2">
        <v>3</v>
      </c>
      <c r="V20">
        <f>+V19/X19</f>
        <v>0.4426229508196721</v>
      </c>
      <c r="W20">
        <f>+W19/X19</f>
        <v>0.5573770491803278</v>
      </c>
    </row>
    <row r="21" spans="1:23" ht="12">
      <c r="A21" t="s">
        <v>9</v>
      </c>
      <c r="D21" s="2">
        <v>18</v>
      </c>
      <c r="H21" t="s">
        <v>9</v>
      </c>
      <c r="M21" s="2">
        <v>14</v>
      </c>
      <c r="V21">
        <f>+V20*60</f>
        <v>26.557377049180328</v>
      </c>
      <c r="W21">
        <f>+W20*60</f>
        <v>33.44262295081967</v>
      </c>
    </row>
    <row r="22" spans="1:23" ht="12">
      <c r="A22" t="s">
        <v>10</v>
      </c>
      <c r="D22">
        <f>+D19-D21</f>
        <v>164</v>
      </c>
      <c r="H22" t="s">
        <v>10</v>
      </c>
      <c r="M22">
        <f>+M19-M21</f>
        <v>314</v>
      </c>
      <c r="V22">
        <f>+V21-INT(V21)</f>
        <v>0.557377049180328</v>
      </c>
      <c r="W22">
        <f>+W21-INT(W21)</f>
        <v>0.4426229508196684</v>
      </c>
    </row>
    <row r="23" spans="1:23" ht="12">
      <c r="A23" t="s">
        <v>11</v>
      </c>
      <c r="D23" s="7">
        <f>+D22/(D16+D20)</f>
        <v>6.074074074074074</v>
      </c>
      <c r="H23" t="s">
        <v>11</v>
      </c>
      <c r="M23" s="7">
        <f>+M22/(M16+M20)</f>
        <v>6.28</v>
      </c>
      <c r="V23">
        <f>+V22*60</f>
        <v>33.44262295081968</v>
      </c>
      <c r="W23">
        <f>+W22*60</f>
        <v>26.557377049180104</v>
      </c>
    </row>
    <row r="24" spans="1:23" ht="12">
      <c r="A24" t="s">
        <v>12</v>
      </c>
      <c r="D24" s="7">
        <f>+D19/D17</f>
        <v>14</v>
      </c>
      <c r="H24" t="s">
        <v>12</v>
      </c>
      <c r="M24" s="7">
        <f>+M19/M17</f>
        <v>12.148148148148149</v>
      </c>
      <c r="U24">
        <v>0</v>
      </c>
      <c r="V24" s="11">
        <f>ROUND(V23,0)</f>
        <v>33</v>
      </c>
      <c r="W24">
        <f>ROUND(W23,0)</f>
        <v>27</v>
      </c>
    </row>
    <row r="25" spans="22:23" ht="12">
      <c r="V25">
        <f>INT(V21)</f>
        <v>26</v>
      </c>
      <c r="W25">
        <f>INT(W21)</f>
        <v>33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305</v>
      </c>
      <c r="H27" t="s">
        <v>14</v>
      </c>
      <c r="M27">
        <f>+M22+M13</f>
        <v>438</v>
      </c>
      <c r="V27" s="14" t="str">
        <f>+V25&amp;V26&amp;V24</f>
        <v>26:33</v>
      </c>
      <c r="W27" s="9" t="str">
        <f>+W25&amp;W26&amp;W24</f>
        <v>33:27</v>
      </c>
    </row>
    <row r="28" spans="1:23" ht="12">
      <c r="A28" t="s">
        <v>15</v>
      </c>
      <c r="D28" s="7">
        <f>+D13/D27*100</f>
        <v>46.22950819672131</v>
      </c>
      <c r="H28" t="s">
        <v>15</v>
      </c>
      <c r="M28" s="7">
        <f>+M13/M27*100</f>
        <v>28.31050228310502</v>
      </c>
      <c r="V28" s="9" t="str">
        <f>IF(V24&lt;10,+V25&amp;V26&amp;$U$24&amp;V24,+V25&amp;V26&amp;V24)</f>
        <v>26:33</v>
      </c>
      <c r="W28" s="9" t="str">
        <f>IF(W24&lt;10,+W25&amp;W26&amp;$U$24&amp;W24,+W25&amp;W26&amp;W24)</f>
        <v>33:27</v>
      </c>
    </row>
    <row r="29" spans="1:13" ht="12">
      <c r="A29" s="1" t="s">
        <v>90</v>
      </c>
      <c r="D29" s="7">
        <f>+D22/D27*100</f>
        <v>53.77049180327869</v>
      </c>
      <c r="H29" s="1" t="s">
        <v>90</v>
      </c>
      <c r="M29" s="7">
        <f>+M22/M27*100</f>
        <v>71.68949771689498</v>
      </c>
    </row>
    <row r="31" spans="1:13" ht="12">
      <c r="A31" t="s">
        <v>16</v>
      </c>
      <c r="D31">
        <f>+D12+D16+D20</f>
        <v>57</v>
      </c>
      <c r="H31" t="s">
        <v>16</v>
      </c>
      <c r="M31">
        <f>+M12+M16+M20</f>
        <v>76</v>
      </c>
    </row>
    <row r="32" spans="1:13" ht="12">
      <c r="A32" t="s">
        <v>17</v>
      </c>
      <c r="D32" s="8">
        <f>+D27/D31</f>
        <v>5.350877192982456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5.7631578947368425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0</v>
      </c>
      <c r="H35" t="s">
        <v>19</v>
      </c>
      <c r="M35" s="2">
        <v>3</v>
      </c>
    </row>
    <row r="36" spans="1:13" ht="12">
      <c r="A36" t="s">
        <v>20</v>
      </c>
      <c r="D36" s="2">
        <v>0</v>
      </c>
      <c r="H36" t="s">
        <v>20</v>
      </c>
      <c r="M36" s="2">
        <f>65+13+38</f>
        <v>116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6</v>
      </c>
      <c r="H39" t="s">
        <v>22</v>
      </c>
      <c r="M39" s="2">
        <v>4</v>
      </c>
    </row>
    <row r="40" spans="1:13" ht="12">
      <c r="A40" t="s">
        <v>23</v>
      </c>
      <c r="D40" s="2">
        <f>36+34+45+38+30+41</f>
        <v>224</v>
      </c>
      <c r="H40" t="s">
        <v>23</v>
      </c>
      <c r="M40" s="2">
        <f>30+41+63+52</f>
        <v>186</v>
      </c>
    </row>
    <row r="41" spans="1:13" ht="12">
      <c r="A41" t="s">
        <v>24</v>
      </c>
      <c r="D41" s="8">
        <f>+D40/D39</f>
        <v>37.333333333333336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46.5</v>
      </c>
    </row>
    <row r="43" spans="1:13" ht="12">
      <c r="A43" t="s">
        <v>25</v>
      </c>
      <c r="D43" s="2">
        <v>2</v>
      </c>
      <c r="H43" t="s">
        <v>25</v>
      </c>
      <c r="M43" s="2">
        <v>2</v>
      </c>
    </row>
    <row r="44" spans="1:13" ht="12">
      <c r="A44" t="s">
        <v>26</v>
      </c>
      <c r="D44" s="2">
        <v>7</v>
      </c>
      <c r="H44" t="s">
        <v>26</v>
      </c>
      <c r="M44" s="2">
        <v>5</v>
      </c>
    </row>
    <row r="45" spans="1:13" ht="12">
      <c r="A45" t="s">
        <v>27</v>
      </c>
      <c r="D45" s="8">
        <f>+D44/D43</f>
        <v>3.5</v>
      </c>
      <c r="H45" t="s">
        <v>27</v>
      </c>
      <c r="M45" s="8">
        <f>+M44/M43</f>
        <v>2.5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2</v>
      </c>
      <c r="H48" t="s">
        <v>30</v>
      </c>
      <c r="M48" s="2">
        <v>4</v>
      </c>
    </row>
    <row r="49" spans="1:13" ht="12">
      <c r="A49" t="s">
        <v>26</v>
      </c>
      <c r="D49" s="2">
        <v>10</v>
      </c>
      <c r="H49" t="s">
        <v>26</v>
      </c>
      <c r="M49" s="2">
        <f>15+15+21+17</f>
        <v>68</v>
      </c>
    </row>
    <row r="50" spans="1:13" ht="12">
      <c r="A50" t="s">
        <v>27</v>
      </c>
      <c r="D50" s="8">
        <f>+D49/D48</f>
        <v>5</v>
      </c>
      <c r="H50" t="s">
        <v>27</v>
      </c>
      <c r="M50" s="8">
        <f>+M49/M48</f>
        <v>17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6</v>
      </c>
      <c r="H53" t="s">
        <v>31</v>
      </c>
      <c r="M53" s="2">
        <v>7</v>
      </c>
    </row>
    <row r="54" spans="1:13" ht="12">
      <c r="A54" t="s">
        <v>32</v>
      </c>
      <c r="D54" s="2">
        <v>43</v>
      </c>
      <c r="H54" t="s">
        <v>32</v>
      </c>
      <c r="M54" s="2">
        <v>50</v>
      </c>
    </row>
    <row r="56" spans="1:13" ht="12">
      <c r="A56" t="s">
        <v>33</v>
      </c>
      <c r="D56" s="2">
        <v>1</v>
      </c>
      <c r="H56" t="s">
        <v>33</v>
      </c>
      <c r="M56" s="2">
        <v>1</v>
      </c>
    </row>
    <row r="57" spans="1:13" ht="12">
      <c r="A57" t="s">
        <v>34</v>
      </c>
      <c r="D57" s="2">
        <v>0</v>
      </c>
      <c r="H57" t="s">
        <v>34</v>
      </c>
      <c r="M57" s="2">
        <v>0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1</v>
      </c>
      <c r="H59" t="s">
        <v>36</v>
      </c>
      <c r="M59" s="2">
        <v>1</v>
      </c>
    </row>
    <row r="60" spans="1:13" ht="12">
      <c r="A60" s="1" t="s">
        <v>37</v>
      </c>
      <c r="D60" s="2">
        <v>0</v>
      </c>
      <c r="H60" s="1" t="s">
        <v>37</v>
      </c>
      <c r="M60" s="2">
        <v>1</v>
      </c>
    </row>
    <row r="61" ht="12">
      <c r="M61" s="2"/>
    </row>
    <row r="62" spans="1:13" ht="12">
      <c r="A62" t="s">
        <v>38</v>
      </c>
      <c r="D62" s="2">
        <v>17</v>
      </c>
      <c r="H62" t="s">
        <v>38</v>
      </c>
      <c r="M62" s="2">
        <v>13</v>
      </c>
    </row>
    <row r="63" spans="1:13" ht="12">
      <c r="A63" t="s">
        <v>39</v>
      </c>
      <c r="D63" s="2">
        <v>2</v>
      </c>
      <c r="H63" t="s">
        <v>39</v>
      </c>
      <c r="M63" s="2">
        <v>1</v>
      </c>
    </row>
    <row r="64" spans="1:13" ht="12">
      <c r="A64" t="s">
        <v>40</v>
      </c>
      <c r="D64" s="2">
        <v>0</v>
      </c>
      <c r="H64" t="s">
        <v>40</v>
      </c>
      <c r="M64" s="2">
        <v>0</v>
      </c>
    </row>
    <row r="65" spans="1:13" ht="12">
      <c r="A65" t="s">
        <v>41</v>
      </c>
      <c r="D65" s="2">
        <v>1</v>
      </c>
      <c r="H65" t="s">
        <v>41</v>
      </c>
      <c r="M65" s="2">
        <v>0</v>
      </c>
    </row>
    <row r="66" spans="1:13" ht="12">
      <c r="A66" t="s">
        <v>42</v>
      </c>
      <c r="D66" s="2">
        <v>1</v>
      </c>
      <c r="H66" t="s">
        <v>42</v>
      </c>
      <c r="M66" s="2">
        <v>1</v>
      </c>
    </row>
    <row r="67" spans="1:13" ht="12">
      <c r="A67" t="s">
        <v>43</v>
      </c>
      <c r="D67" s="2">
        <v>2</v>
      </c>
      <c r="H67" t="s">
        <v>43</v>
      </c>
      <c r="M67" s="2">
        <v>1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1</v>
      </c>
      <c r="H69" t="s">
        <v>45</v>
      </c>
      <c r="M69" s="2">
        <v>2</v>
      </c>
    </row>
    <row r="70" spans="1:13" ht="12">
      <c r="A70" t="s">
        <v>46</v>
      </c>
      <c r="D70" s="2">
        <v>3</v>
      </c>
      <c r="H70" t="s">
        <v>46</v>
      </c>
      <c r="M70" s="2">
        <v>2</v>
      </c>
    </row>
    <row r="71" spans="1:13" ht="12">
      <c r="A71" t="s">
        <v>47</v>
      </c>
      <c r="D71" s="8">
        <f>+D69/D70*100</f>
        <v>33.33333333333333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100</v>
      </c>
    </row>
    <row r="72" spans="1:13" ht="12">
      <c r="A72" t="s">
        <v>93</v>
      </c>
      <c r="D72" s="10" t="str">
        <f>IF(V24&lt;10,V28,V27)</f>
        <v>26:33</v>
      </c>
      <c r="E72" s="8"/>
      <c r="F72" s="8"/>
      <c r="H72" t="s">
        <v>93</v>
      </c>
      <c r="M72" s="10" t="str">
        <f>IF(W24&lt;10,W28,W27)</f>
        <v>33:27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6" ht="12">
      <c r="A77" t="s">
        <v>113</v>
      </c>
      <c r="C77">
        <v>12</v>
      </c>
      <c r="D77">
        <v>44</v>
      </c>
      <c r="E77" s="12">
        <f>+D77/C77</f>
        <v>3.6666666666666665</v>
      </c>
      <c r="F77">
        <v>11</v>
      </c>
    </row>
    <row r="78" spans="1:6" ht="12">
      <c r="A78" t="s">
        <v>114</v>
      </c>
      <c r="C78">
        <v>7</v>
      </c>
      <c r="D78">
        <v>48</v>
      </c>
      <c r="E78" s="12">
        <f>+D78/C78</f>
        <v>6.857142857142857</v>
      </c>
      <c r="F78">
        <v>12</v>
      </c>
    </row>
    <row r="79" spans="1:6" ht="12">
      <c r="A79" t="s">
        <v>115</v>
      </c>
      <c r="C79">
        <v>5</v>
      </c>
      <c r="D79">
        <v>20</v>
      </c>
      <c r="E79" s="12">
        <f aca="true" t="shared" si="0" ref="E79:E85">+D79/C79</f>
        <v>4</v>
      </c>
      <c r="F79">
        <v>10</v>
      </c>
    </row>
    <row r="80" spans="1:6" ht="12">
      <c r="A80" t="s">
        <v>116</v>
      </c>
      <c r="C80">
        <v>2</v>
      </c>
      <c r="D80">
        <v>14</v>
      </c>
      <c r="E80" s="12">
        <f t="shared" si="0"/>
        <v>7</v>
      </c>
      <c r="F80">
        <v>14</v>
      </c>
    </row>
    <row r="81" spans="1:5" ht="12">
      <c r="A81" t="s">
        <v>117</v>
      </c>
      <c r="E81" s="12" t="e">
        <f t="shared" si="0"/>
        <v>#DIV/0!</v>
      </c>
    </row>
    <row r="82" spans="1:5" ht="12">
      <c r="A82" t="s">
        <v>118</v>
      </c>
      <c r="E82" s="12" t="e">
        <f t="shared" si="0"/>
        <v>#DIV/0!</v>
      </c>
    </row>
    <row r="83" spans="1:5" ht="12">
      <c r="A83" t="s">
        <v>119</v>
      </c>
      <c r="E83" s="12" t="e">
        <f t="shared" si="0"/>
        <v>#DIV/0!</v>
      </c>
    </row>
    <row r="84" spans="1:5" ht="12">
      <c r="A84" t="s">
        <v>120</v>
      </c>
      <c r="E84" s="12" t="e">
        <f t="shared" si="0"/>
        <v>#DIV/0!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6" ht="12">
      <c r="A87" t="s">
        <v>123</v>
      </c>
      <c r="C87">
        <v>4</v>
      </c>
      <c r="D87">
        <v>15</v>
      </c>
      <c r="E87" s="12">
        <f>+D87/C87</f>
        <v>3.75</v>
      </c>
      <c r="F87">
        <v>7</v>
      </c>
    </row>
    <row r="88" spans="1:5" ht="12">
      <c r="A88" t="s">
        <v>124</v>
      </c>
      <c r="E88" s="8"/>
    </row>
    <row r="89" spans="1:5" ht="12">
      <c r="A89" t="s">
        <v>125</v>
      </c>
      <c r="E89" s="8"/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6" ht="12">
      <c r="A94" t="s">
        <v>113</v>
      </c>
      <c r="C94">
        <v>3</v>
      </c>
      <c r="D94">
        <v>70</v>
      </c>
      <c r="E94" s="12">
        <f t="shared" si="1"/>
        <v>23.333333333333332</v>
      </c>
      <c r="F94">
        <v>50</v>
      </c>
    </row>
    <row r="95" spans="1:6" ht="12">
      <c r="A95" t="s">
        <v>114</v>
      </c>
      <c r="C95">
        <v>2</v>
      </c>
      <c r="D95">
        <v>35</v>
      </c>
      <c r="E95" s="12">
        <f t="shared" si="1"/>
        <v>17.5</v>
      </c>
      <c r="F95">
        <v>18</v>
      </c>
    </row>
    <row r="96" spans="1:5" ht="12">
      <c r="A96" t="s">
        <v>115</v>
      </c>
      <c r="E96" s="12" t="e">
        <f t="shared" si="1"/>
        <v>#DIV/0!</v>
      </c>
    </row>
    <row r="97" spans="1:5" ht="12">
      <c r="A97" t="s">
        <v>117</v>
      </c>
      <c r="E97" s="12" t="e">
        <f t="shared" si="1"/>
        <v>#DIV/0!</v>
      </c>
    </row>
    <row r="98" spans="1:5" ht="12">
      <c r="A98" t="s">
        <v>128</v>
      </c>
      <c r="E98" s="12" t="e">
        <f t="shared" si="1"/>
        <v>#DIV/0!</v>
      </c>
    </row>
    <row r="99" spans="1:5" ht="12">
      <c r="A99" t="s">
        <v>119</v>
      </c>
      <c r="E99" s="12" t="e">
        <f t="shared" si="1"/>
        <v>#DIV/0!</v>
      </c>
    </row>
    <row r="100" spans="1:7" ht="12">
      <c r="A100" t="s">
        <v>120</v>
      </c>
      <c r="C100">
        <v>3</v>
      </c>
      <c r="D100">
        <v>24</v>
      </c>
      <c r="E100" s="12">
        <f t="shared" si="1"/>
        <v>8</v>
      </c>
      <c r="F100">
        <v>11</v>
      </c>
      <c r="G100">
        <v>1</v>
      </c>
    </row>
    <row r="101" spans="1:6" ht="12">
      <c r="A101" t="s">
        <v>129</v>
      </c>
      <c r="C101">
        <v>2</v>
      </c>
      <c r="D101">
        <v>17</v>
      </c>
      <c r="E101" s="12">
        <f t="shared" si="1"/>
        <v>8.5</v>
      </c>
      <c r="F101">
        <v>11</v>
      </c>
    </row>
    <row r="102" spans="1:5" ht="12">
      <c r="A102" t="s">
        <v>130</v>
      </c>
      <c r="E102" s="12" t="e">
        <f t="shared" si="1"/>
        <v>#DIV/0!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5" ht="12">
      <c r="A105" t="s">
        <v>132</v>
      </c>
      <c r="E105" s="12" t="e">
        <f>+D105/C105</f>
        <v>#DIV/0!</v>
      </c>
    </row>
    <row r="106" spans="1:6" ht="12">
      <c r="A106" t="s">
        <v>123</v>
      </c>
      <c r="C106">
        <v>3</v>
      </c>
      <c r="D106">
        <v>36</v>
      </c>
      <c r="E106" s="12"/>
      <c r="F106">
        <v>22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 aca="true" t="shared" si="3" ref="J113:J118">+G113/C113*100</f>
        <v>#DIV/0!</v>
      </c>
      <c r="K113" s="12" t="e">
        <f aca="true" t="shared" si="4" ref="K113:K118">+I113/C113*100</f>
        <v>#DIV/0!</v>
      </c>
      <c r="L113" s="12" t="e">
        <f aca="true" t="shared" si="5" ref="L113:L118">+F113/C113</f>
        <v>#DIV/0!</v>
      </c>
      <c r="M113" s="12" t="e">
        <f aca="true" t="shared" si="6" ref="M113:M118">100*(S113+U113+W113+Y113)/6</f>
        <v>#DIV/0!</v>
      </c>
      <c r="R113" t="e">
        <f aca="true" t="shared" si="7" ref="R113:R118">+(E113-30)/20</f>
        <v>#DIV/0!</v>
      </c>
      <c r="S113" s="2" t="e">
        <f aca="true" t="shared" si="8" ref="S113:S118">IF(R113&lt;0,0,R113)</f>
        <v>#DIV/0!</v>
      </c>
      <c r="T113" s="6" t="e">
        <f aca="true" t="shared" si="9" ref="T113:T118">+(L113-3)/4</f>
        <v>#DIV/0!</v>
      </c>
      <c r="U113" s="2" t="e">
        <f aca="true" t="shared" si="10" ref="U113:U118">IF(T113&lt;0,0,T113)</f>
        <v>#DIV/0!</v>
      </c>
      <c r="V113" t="e">
        <f aca="true" t="shared" si="11" ref="V113:V118">+J113/5</f>
        <v>#DIV/0!</v>
      </c>
      <c r="W113" s="2" t="e">
        <f aca="true" t="shared" si="12" ref="W113:W118">IF(V113&lt;0,0,V113)</f>
        <v>#DIV/0!</v>
      </c>
      <c r="X113" t="e">
        <f aca="true" t="shared" si="13" ref="X113:X118">(9.5-K113)/4</f>
        <v>#DIV/0!</v>
      </c>
      <c r="Y113" s="2" t="e">
        <f aca="true" t="shared" si="14" ref="Y113:Y118">IF(X113&lt;0,0,X113)</f>
        <v>#DIV/0!</v>
      </c>
    </row>
    <row r="114" spans="1:25" ht="12">
      <c r="A114" t="s">
        <v>118</v>
      </c>
      <c r="C114">
        <v>25</v>
      </c>
      <c r="D114">
        <v>13</v>
      </c>
      <c r="E114" s="12">
        <f t="shared" si="2"/>
        <v>52</v>
      </c>
      <c r="F114">
        <v>182</v>
      </c>
      <c r="G114">
        <v>1</v>
      </c>
      <c r="H114">
        <v>50</v>
      </c>
      <c r="J114" s="8">
        <f t="shared" si="3"/>
        <v>4</v>
      </c>
      <c r="K114" s="12">
        <f t="shared" si="4"/>
        <v>0</v>
      </c>
      <c r="L114" s="12">
        <f t="shared" si="5"/>
        <v>7.28</v>
      </c>
      <c r="M114" s="12">
        <f t="shared" si="6"/>
        <v>89.08333333333333</v>
      </c>
      <c r="O114">
        <v>2</v>
      </c>
      <c r="R114">
        <f t="shared" si="7"/>
        <v>1.1</v>
      </c>
      <c r="S114" s="2">
        <f t="shared" si="8"/>
        <v>1.1</v>
      </c>
      <c r="T114" s="6">
        <f t="shared" si="9"/>
        <v>1.07</v>
      </c>
      <c r="U114" s="2">
        <f t="shared" si="10"/>
        <v>1.07</v>
      </c>
      <c r="V114">
        <f t="shared" si="11"/>
        <v>0.8</v>
      </c>
      <c r="W114" s="2">
        <f t="shared" si="12"/>
        <v>0.8</v>
      </c>
      <c r="X114">
        <f t="shared" si="13"/>
        <v>2.375</v>
      </c>
      <c r="Y114" s="2">
        <f t="shared" si="14"/>
        <v>2.375</v>
      </c>
    </row>
    <row r="115" spans="1:25" ht="12">
      <c r="A115" t="s">
        <v>120</v>
      </c>
      <c r="E115" s="12" t="e">
        <f t="shared" si="2"/>
        <v>#DIV/0!</v>
      </c>
      <c r="J115" s="8" t="e">
        <f t="shared" si="3"/>
        <v>#DIV/0!</v>
      </c>
      <c r="K115" s="12" t="e">
        <f t="shared" si="4"/>
        <v>#DIV/0!</v>
      </c>
      <c r="L115" s="12" t="e">
        <f t="shared" si="5"/>
        <v>#DIV/0!</v>
      </c>
      <c r="M115" s="12" t="e">
        <f t="shared" si="6"/>
        <v>#DIV/0!</v>
      </c>
      <c r="R115" t="e">
        <f t="shared" si="7"/>
        <v>#DIV/0!</v>
      </c>
      <c r="S115" s="2" t="e">
        <f t="shared" si="8"/>
        <v>#DIV/0!</v>
      </c>
      <c r="T115" s="6" t="e">
        <f t="shared" si="9"/>
        <v>#DIV/0!</v>
      </c>
      <c r="U115" s="2" t="e">
        <f t="shared" si="10"/>
        <v>#DIV/0!</v>
      </c>
      <c r="V115" t="e">
        <f t="shared" si="11"/>
        <v>#DIV/0!</v>
      </c>
      <c r="W115" s="2" t="e">
        <f t="shared" si="12"/>
        <v>#DIV/0!</v>
      </c>
      <c r="X115" t="e">
        <f t="shared" si="13"/>
        <v>#DIV/0!</v>
      </c>
      <c r="Y115" s="2" t="e">
        <f t="shared" si="14"/>
        <v>#DIV/0!</v>
      </c>
    </row>
    <row r="116" spans="1:25" ht="12">
      <c r="A116" t="s">
        <v>124</v>
      </c>
      <c r="E116" s="12" t="e">
        <f t="shared" si="2"/>
        <v>#DIV/0!</v>
      </c>
      <c r="J116" s="8" t="e">
        <f t="shared" si="3"/>
        <v>#DIV/0!</v>
      </c>
      <c r="K116" s="12" t="e">
        <f t="shared" si="4"/>
        <v>#DIV/0!</v>
      </c>
      <c r="L116" s="12" t="e">
        <f t="shared" si="5"/>
        <v>#DIV/0!</v>
      </c>
      <c r="M116" s="12" t="e">
        <f t="shared" si="6"/>
        <v>#DIV/0!</v>
      </c>
      <c r="R116" t="e">
        <f t="shared" si="7"/>
        <v>#DIV/0!</v>
      </c>
      <c r="S116" s="2" t="e">
        <f t="shared" si="8"/>
        <v>#DIV/0!</v>
      </c>
      <c r="T116" s="6" t="e">
        <f t="shared" si="9"/>
        <v>#DIV/0!</v>
      </c>
      <c r="U116" s="2" t="e">
        <f t="shared" si="10"/>
        <v>#DIV/0!</v>
      </c>
      <c r="V116" t="e">
        <f t="shared" si="11"/>
        <v>#DIV/0!</v>
      </c>
      <c r="W116" s="2" t="e">
        <f t="shared" si="12"/>
        <v>#DIV/0!</v>
      </c>
      <c r="X116" t="e">
        <f t="shared" si="13"/>
        <v>#DIV/0!</v>
      </c>
      <c r="Y116" s="2" t="e">
        <f t="shared" si="14"/>
        <v>#DIV/0!</v>
      </c>
    </row>
    <row r="117" spans="1:25" ht="12">
      <c r="A117" t="s">
        <v>125</v>
      </c>
      <c r="E117" s="12" t="e">
        <f t="shared" si="2"/>
        <v>#DIV/0!</v>
      </c>
      <c r="J117" s="8" t="e">
        <f t="shared" si="3"/>
        <v>#DIV/0!</v>
      </c>
      <c r="K117" s="12" t="e">
        <f t="shared" si="4"/>
        <v>#DIV/0!</v>
      </c>
      <c r="L117" s="12" t="e">
        <f t="shared" si="5"/>
        <v>#DIV/0!</v>
      </c>
      <c r="M117" s="12" t="e">
        <f t="shared" si="6"/>
        <v>#DIV/0!</v>
      </c>
      <c r="R117" t="e">
        <f t="shared" si="7"/>
        <v>#DIV/0!</v>
      </c>
      <c r="S117" s="2" t="e">
        <f t="shared" si="8"/>
        <v>#DIV/0!</v>
      </c>
      <c r="T117" s="6" t="e">
        <f t="shared" si="9"/>
        <v>#DIV/0!</v>
      </c>
      <c r="U117" s="2" t="e">
        <f t="shared" si="10"/>
        <v>#DIV/0!</v>
      </c>
      <c r="V117" t="e">
        <f t="shared" si="11"/>
        <v>#DIV/0!</v>
      </c>
      <c r="W117" s="2" t="e">
        <f t="shared" si="12"/>
        <v>#DIV/0!</v>
      </c>
      <c r="X117" t="e">
        <f t="shared" si="13"/>
        <v>#DIV/0!</v>
      </c>
      <c r="Y117" s="2" t="e">
        <f t="shared" si="14"/>
        <v>#DIV/0!</v>
      </c>
    </row>
    <row r="118" spans="5:25" ht="12">
      <c r="E118" s="12" t="e">
        <f t="shared" si="2"/>
        <v>#DIV/0!</v>
      </c>
      <c r="J118" s="8" t="e">
        <f t="shared" si="3"/>
        <v>#DIV/0!</v>
      </c>
      <c r="K118" s="12" t="e">
        <f t="shared" si="4"/>
        <v>#DIV/0!</v>
      </c>
      <c r="L118" s="12" t="e">
        <f t="shared" si="5"/>
        <v>#DIV/0!</v>
      </c>
      <c r="M118" s="12" t="e">
        <f t="shared" si="6"/>
        <v>#DIV/0!</v>
      </c>
      <c r="R118" t="e">
        <f t="shared" si="7"/>
        <v>#DIV/0!</v>
      </c>
      <c r="S118" s="2" t="e">
        <f t="shared" si="8"/>
        <v>#DIV/0!</v>
      </c>
      <c r="T118" s="6" t="e">
        <f t="shared" si="9"/>
        <v>#DIV/0!</v>
      </c>
      <c r="U118" s="2" t="e">
        <f t="shared" si="10"/>
        <v>#DIV/0!</v>
      </c>
      <c r="V118" t="e">
        <f t="shared" si="11"/>
        <v>#DIV/0!</v>
      </c>
      <c r="W118" s="2" t="e">
        <f t="shared" si="12"/>
        <v>#DIV/0!</v>
      </c>
      <c r="X118" t="e">
        <f t="shared" si="13"/>
        <v>#DIV/0!</v>
      </c>
      <c r="Y118" s="2" t="e">
        <f t="shared" si="14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2</v>
      </c>
      <c r="E121">
        <v>7</v>
      </c>
      <c r="F121" s="12">
        <f aca="true" t="shared" si="15" ref="F121:F126">+E121/C121</f>
        <v>3.5</v>
      </c>
      <c r="G121">
        <v>7</v>
      </c>
    </row>
    <row r="122" spans="1:6" ht="12">
      <c r="A122" t="s">
        <v>134</v>
      </c>
      <c r="F122" s="12" t="e">
        <f t="shared" si="15"/>
        <v>#DIV/0!</v>
      </c>
    </row>
    <row r="123" spans="1:6" ht="12">
      <c r="A123" t="s">
        <v>135</v>
      </c>
      <c r="F123" s="12" t="e">
        <f t="shared" si="15"/>
        <v>#DIV/0!</v>
      </c>
    </row>
    <row r="124" ht="12">
      <c r="F124" s="12" t="e">
        <f t="shared" si="15"/>
        <v>#DIV/0!</v>
      </c>
    </row>
    <row r="125" ht="12">
      <c r="F125" s="12" t="e">
        <f t="shared" si="15"/>
        <v>#DIV/0!</v>
      </c>
    </row>
    <row r="126" ht="12">
      <c r="F126" s="12" t="e">
        <f t="shared" si="15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6" ref="E131:E136">+D131/C131</f>
        <v>#DIV/0!</v>
      </c>
    </row>
    <row r="132" spans="1:5" ht="12">
      <c r="A132" t="s">
        <v>137</v>
      </c>
      <c r="E132" s="12" t="e">
        <f t="shared" si="16"/>
        <v>#DIV/0!</v>
      </c>
    </row>
    <row r="133" spans="1:8" ht="12">
      <c r="A133" t="s">
        <v>116</v>
      </c>
      <c r="C133">
        <v>1</v>
      </c>
      <c r="D133">
        <v>0</v>
      </c>
      <c r="E133" s="12">
        <f t="shared" si="16"/>
        <v>0</v>
      </c>
      <c r="F133">
        <v>0</v>
      </c>
      <c r="H133">
        <v>1</v>
      </c>
    </row>
    <row r="134" spans="1:5" ht="12">
      <c r="A134" t="s">
        <v>128</v>
      </c>
      <c r="E134" s="12" t="e">
        <f t="shared" si="16"/>
        <v>#DIV/0!</v>
      </c>
    </row>
    <row r="135" spans="1:6" ht="12">
      <c r="A135" t="s">
        <v>134</v>
      </c>
      <c r="C135">
        <v>1</v>
      </c>
      <c r="D135">
        <v>10</v>
      </c>
      <c r="E135" s="12">
        <f t="shared" si="16"/>
        <v>10</v>
      </c>
      <c r="F135">
        <v>10</v>
      </c>
    </row>
    <row r="136" spans="1:5" ht="12">
      <c r="A136" t="s">
        <v>119</v>
      </c>
      <c r="E136" s="12" t="e">
        <f t="shared" si="16"/>
        <v>#DIV/0!</v>
      </c>
    </row>
    <row r="137" spans="1:5" ht="12">
      <c r="A137" t="s">
        <v>135</v>
      </c>
      <c r="E137" s="12" t="e">
        <f>+D137/C137</f>
        <v>#DIV/0!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6" ht="12">
      <c r="A142" t="s">
        <v>138</v>
      </c>
      <c r="C142">
        <v>6</v>
      </c>
      <c r="D142">
        <f>36+34+45+38+30+41</f>
        <v>224</v>
      </c>
      <c r="E142" s="12"/>
      <c r="F142">
        <v>45</v>
      </c>
    </row>
    <row r="143" ht="12">
      <c r="A143" t="s">
        <v>124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16" ht="12">
      <c r="A150" t="s">
        <v>139</v>
      </c>
      <c r="C150">
        <v>4</v>
      </c>
      <c r="E150">
        <v>2</v>
      </c>
      <c r="F150">
        <v>2</v>
      </c>
      <c r="G150">
        <v>3</v>
      </c>
      <c r="H150">
        <v>1</v>
      </c>
      <c r="I150" s="12">
        <f>+H150/G150*100</f>
        <v>33.33333333333333</v>
      </c>
      <c r="J150">
        <v>28</v>
      </c>
      <c r="N150">
        <v>2</v>
      </c>
      <c r="O150">
        <v>1</v>
      </c>
      <c r="P150">
        <v>1</v>
      </c>
    </row>
    <row r="151" spans="1:9" ht="12">
      <c r="A151" t="s">
        <v>140</v>
      </c>
      <c r="I151" s="12" t="e">
        <f>+H151/G151*100</f>
        <v>#DIV/0!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6" ht="12">
      <c r="A156" t="s">
        <v>141</v>
      </c>
      <c r="C156">
        <v>1</v>
      </c>
      <c r="D156">
        <v>13</v>
      </c>
      <c r="E156" s="12">
        <f>+D156/C156</f>
        <v>13</v>
      </c>
      <c r="F156">
        <v>13</v>
      </c>
    </row>
    <row r="157" spans="1:5" ht="12">
      <c r="A157" t="s">
        <v>142</v>
      </c>
      <c r="E157" s="12" t="e">
        <f aca="true" t="shared" si="17" ref="E157:E163">+D157/C157</f>
        <v>#DIV/0!</v>
      </c>
    </row>
    <row r="158" spans="1:6" ht="12">
      <c r="A158" t="s">
        <v>143</v>
      </c>
      <c r="C158">
        <v>1</v>
      </c>
      <c r="D158">
        <v>38</v>
      </c>
      <c r="E158" s="12">
        <f t="shared" si="17"/>
        <v>38</v>
      </c>
      <c r="F158">
        <v>38</v>
      </c>
    </row>
    <row r="159" spans="1:7" ht="12">
      <c r="A159" t="s">
        <v>144</v>
      </c>
      <c r="C159">
        <v>1</v>
      </c>
      <c r="D159">
        <v>65</v>
      </c>
      <c r="E159" s="12">
        <f t="shared" si="17"/>
        <v>65</v>
      </c>
      <c r="F159">
        <v>65</v>
      </c>
      <c r="G159">
        <v>1</v>
      </c>
    </row>
    <row r="160" spans="1:5" ht="12">
      <c r="A160" t="s">
        <v>145</v>
      </c>
      <c r="E160" s="12" t="e">
        <f t="shared" si="17"/>
        <v>#DIV/0!</v>
      </c>
    </row>
    <row r="161" spans="1:5" ht="12">
      <c r="A161" t="s">
        <v>146</v>
      </c>
      <c r="E161" s="12" t="e">
        <f t="shared" si="17"/>
        <v>#DIV/0!</v>
      </c>
    </row>
    <row r="162" ht="12">
      <c r="E162" s="12" t="e">
        <f t="shared" si="17"/>
        <v>#DIV/0!</v>
      </c>
    </row>
    <row r="163" ht="12">
      <c r="E163" s="12" t="e">
        <f t="shared" si="17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>
        <v>0.5</v>
      </c>
      <c r="D172" s="3">
        <v>4</v>
      </c>
    </row>
    <row r="173" spans="1:4" ht="12">
      <c r="A173" t="s">
        <v>148</v>
      </c>
      <c r="C173" s="3">
        <v>1.5</v>
      </c>
      <c r="D173" s="3">
        <v>3</v>
      </c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>
        <v>1</v>
      </c>
      <c r="D176" s="3">
        <v>7</v>
      </c>
    </row>
    <row r="177" spans="1:4" ht="12">
      <c r="A177" t="s">
        <v>151</v>
      </c>
      <c r="C177" s="3"/>
      <c r="D177" s="3"/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spans="1:3" ht="12">
      <c r="A241" t="s">
        <v>151</v>
      </c>
      <c r="C241">
        <v>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34"/>
  <sheetViews>
    <sheetView zoomScale="150" zoomScaleNormal="150" workbookViewId="0" topLeftCell="A1">
      <selection activeCell="A25" sqref="A25"/>
    </sheetView>
  </sheetViews>
  <sheetFormatPr defaultColWidth="11.421875" defaultRowHeight="12.75"/>
  <cols>
    <col min="2" max="2" width="20.7109375" style="0" customWidth="1"/>
    <col min="3" max="4" width="7.28125" style="0" customWidth="1"/>
    <col min="5" max="5" width="5.7109375" style="0" customWidth="1"/>
    <col min="6" max="6" width="4.28125" style="0" customWidth="1"/>
    <col min="7" max="7" width="14.8515625" style="0" customWidth="1"/>
    <col min="8" max="8" width="4.8515625" style="0" customWidth="1"/>
    <col min="9" max="9" width="3.00390625" style="0" customWidth="1"/>
    <col min="10" max="10" width="6.00390625" style="0" customWidth="1"/>
    <col min="11" max="11" width="6.8515625" style="0" customWidth="1"/>
    <col min="12" max="12" width="3.00390625" style="0" customWidth="1"/>
    <col min="14" max="14" width="6.00390625" style="0" customWidth="1"/>
    <col min="15" max="15" width="6.8515625" style="0" customWidth="1"/>
    <col min="16" max="16" width="3.00390625" style="0" customWidth="1"/>
  </cols>
  <sheetData>
    <row r="4" spans="2:7" ht="12.75">
      <c r="B4" s="74" t="s">
        <v>192</v>
      </c>
      <c r="C4" s="74"/>
      <c r="D4" s="74"/>
      <c r="E4" s="74"/>
      <c r="F4" s="74"/>
      <c r="G4" s="74"/>
    </row>
    <row r="5" spans="2:17" ht="15">
      <c r="B5" s="24"/>
      <c r="C5" s="48" t="s">
        <v>88</v>
      </c>
      <c r="D5" s="49" t="s">
        <v>89</v>
      </c>
      <c r="E5" s="75" t="s">
        <v>172</v>
      </c>
      <c r="F5" s="76"/>
      <c r="G5" s="76"/>
      <c r="H5" s="76"/>
      <c r="I5" s="50"/>
      <c r="J5" s="75" t="s">
        <v>173</v>
      </c>
      <c r="K5" s="76"/>
      <c r="L5" s="76"/>
      <c r="M5" s="77"/>
      <c r="N5" s="75" t="s">
        <v>174</v>
      </c>
      <c r="O5" s="76"/>
      <c r="P5" s="76"/>
      <c r="Q5" s="77"/>
    </row>
    <row r="6" spans="2:17" ht="12">
      <c r="B6" s="25" t="s">
        <v>175</v>
      </c>
      <c r="C6" s="37" t="s">
        <v>193</v>
      </c>
      <c r="D6" s="38" t="s">
        <v>194</v>
      </c>
      <c r="E6" s="39">
        <v>15</v>
      </c>
      <c r="F6" s="32" t="s">
        <v>179</v>
      </c>
      <c r="G6" s="33" t="s">
        <v>180</v>
      </c>
      <c r="H6" s="40">
        <v>17</v>
      </c>
      <c r="I6" s="36" t="s">
        <v>177</v>
      </c>
      <c r="J6" s="51"/>
      <c r="K6" s="52"/>
      <c r="L6" s="53"/>
      <c r="M6" s="54"/>
      <c r="N6" s="55"/>
      <c r="O6" s="56"/>
      <c r="P6" s="56"/>
      <c r="Q6" s="54"/>
    </row>
    <row r="7" spans="2:17" ht="12">
      <c r="B7" s="26"/>
      <c r="C7" s="40"/>
      <c r="D7" s="41"/>
      <c r="E7" s="39">
        <v>10</v>
      </c>
      <c r="F7" s="32" t="s">
        <v>171</v>
      </c>
      <c r="G7" s="33" t="s">
        <v>188</v>
      </c>
      <c r="H7" s="40">
        <v>34</v>
      </c>
      <c r="I7" s="36" t="s">
        <v>177</v>
      </c>
      <c r="J7" s="57"/>
      <c r="K7" s="58"/>
      <c r="L7" s="53"/>
      <c r="M7" s="54"/>
      <c r="N7" s="55"/>
      <c r="O7" s="56"/>
      <c r="P7" s="56"/>
      <c r="Q7" s="54"/>
    </row>
    <row r="8" spans="2:17" ht="12">
      <c r="B8" s="25" t="s">
        <v>169</v>
      </c>
      <c r="C8" s="40"/>
      <c r="D8" s="41"/>
      <c r="E8" s="39">
        <v>44</v>
      </c>
      <c r="F8" s="32" t="s">
        <v>179</v>
      </c>
      <c r="G8" s="33" t="s">
        <v>195</v>
      </c>
      <c r="H8" s="40">
        <v>22</v>
      </c>
      <c r="I8" s="36" t="s">
        <v>182</v>
      </c>
      <c r="J8" s="51"/>
      <c r="K8" s="52"/>
      <c r="L8" s="53"/>
      <c r="M8" s="54"/>
      <c r="N8" s="55"/>
      <c r="O8" s="56"/>
      <c r="P8" s="56"/>
      <c r="Q8" s="54"/>
    </row>
    <row r="9" spans="2:17" ht="12">
      <c r="B9" s="26" t="s">
        <v>181</v>
      </c>
      <c r="C9" s="42">
        <f>+'Cumulative Stats'!C71+'Cumulative Stats'!E62</f>
        <v>19.6875</v>
      </c>
      <c r="D9" s="43">
        <f>+'Cumulative Stats'!F62</f>
        <v>20.125</v>
      </c>
      <c r="E9" s="39">
        <v>33</v>
      </c>
      <c r="F9" s="32" t="s">
        <v>171</v>
      </c>
      <c r="G9" s="33" t="s">
        <v>196</v>
      </c>
      <c r="H9" s="40">
        <v>13</v>
      </c>
      <c r="I9" s="36" t="s">
        <v>182</v>
      </c>
      <c r="J9" s="59"/>
      <c r="K9" s="60"/>
      <c r="L9" s="53"/>
      <c r="M9" s="54"/>
      <c r="N9" s="55"/>
      <c r="O9" s="56"/>
      <c r="P9" s="56"/>
      <c r="Q9" s="54"/>
    </row>
    <row r="10" spans="2:17" ht="12">
      <c r="B10" s="27" t="s">
        <v>183</v>
      </c>
      <c r="C10" s="42">
        <f>+'Cumulative Stats'!E13</f>
        <v>100.75</v>
      </c>
      <c r="D10" s="43">
        <f>+'Cumulative Stats'!F13</f>
        <v>99.625</v>
      </c>
      <c r="E10" s="39">
        <v>13</v>
      </c>
      <c r="F10" s="32" t="s">
        <v>179</v>
      </c>
      <c r="G10" s="33" t="s">
        <v>176</v>
      </c>
      <c r="H10" s="40">
        <v>30</v>
      </c>
      <c r="I10" s="36" t="s">
        <v>177</v>
      </c>
      <c r="J10" s="51"/>
      <c r="K10" s="52"/>
      <c r="L10" s="53"/>
      <c r="M10" s="54"/>
      <c r="N10" s="55"/>
      <c r="O10" s="56"/>
      <c r="P10" s="56"/>
      <c r="Q10" s="54"/>
    </row>
    <row r="11" spans="2:17" ht="12">
      <c r="B11" s="28" t="s">
        <v>3</v>
      </c>
      <c r="C11" s="42">
        <f>+'Cumulative Stats'!D14</f>
        <v>3.566371681415929</v>
      </c>
      <c r="D11" s="43">
        <f>+'Cumulative Stats'!F14</f>
        <v>3.6227272727272726</v>
      </c>
      <c r="E11" s="39">
        <v>37</v>
      </c>
      <c r="F11" s="32" t="s">
        <v>179</v>
      </c>
      <c r="G11" s="33" t="s">
        <v>178</v>
      </c>
      <c r="H11" s="40">
        <v>13</v>
      </c>
      <c r="I11" s="36" t="s">
        <v>182</v>
      </c>
      <c r="J11" s="51"/>
      <c r="K11" s="52"/>
      <c r="L11" s="53"/>
      <c r="M11" s="54"/>
      <c r="N11" s="55"/>
      <c r="O11" s="56"/>
      <c r="P11" s="56"/>
      <c r="Q11" s="54"/>
    </row>
    <row r="12" spans="2:17" ht="12">
      <c r="B12" s="27" t="s">
        <v>185</v>
      </c>
      <c r="C12" s="42">
        <f>+'Cumulative Stats'!E22</f>
        <v>190.5625</v>
      </c>
      <c r="D12" s="43">
        <f>+'Cumulative Stats'!F22</f>
        <v>214.1875</v>
      </c>
      <c r="E12" s="39">
        <v>15</v>
      </c>
      <c r="F12" s="32" t="s">
        <v>171</v>
      </c>
      <c r="G12" s="33" t="s">
        <v>197</v>
      </c>
      <c r="H12" s="40">
        <v>14</v>
      </c>
      <c r="I12" s="36" t="s">
        <v>182</v>
      </c>
      <c r="J12" s="51"/>
      <c r="K12" s="52"/>
      <c r="L12" s="53"/>
      <c r="M12" s="54"/>
      <c r="N12" s="55"/>
      <c r="O12" s="56"/>
      <c r="P12" s="56"/>
      <c r="Q12" s="54"/>
    </row>
    <row r="13" spans="2:17" ht="12">
      <c r="B13" s="29" t="s">
        <v>186</v>
      </c>
      <c r="C13" s="40">
        <f>+'Cumulative Stats'!D20</f>
        <v>43</v>
      </c>
      <c r="D13" s="41">
        <f>+'Cumulative Stats'!F20*16</f>
        <v>37</v>
      </c>
      <c r="E13" s="39">
        <v>14</v>
      </c>
      <c r="F13" s="32" t="s">
        <v>179</v>
      </c>
      <c r="G13" s="33" t="s">
        <v>190</v>
      </c>
      <c r="H13" s="40">
        <v>17</v>
      </c>
      <c r="I13" s="36" t="s">
        <v>177</v>
      </c>
      <c r="J13" s="51"/>
      <c r="K13" s="52"/>
      <c r="L13" s="53"/>
      <c r="M13" s="54"/>
      <c r="N13" s="55"/>
      <c r="O13" s="56"/>
      <c r="P13" s="56"/>
      <c r="Q13" s="54"/>
    </row>
    <row r="14" spans="2:17" ht="12">
      <c r="B14" s="26" t="s">
        <v>187</v>
      </c>
      <c r="C14" s="42">
        <f>+'Cumulative Stats'!E27</f>
        <v>291.3125</v>
      </c>
      <c r="D14" s="43">
        <f>+'Cumulative Stats'!F27</f>
        <v>313.8125</v>
      </c>
      <c r="E14" s="39">
        <v>7</v>
      </c>
      <c r="F14" s="32" t="s">
        <v>179</v>
      </c>
      <c r="G14" s="33" t="s">
        <v>198</v>
      </c>
      <c r="H14" s="40">
        <v>29</v>
      </c>
      <c r="I14" s="36" t="s">
        <v>177</v>
      </c>
      <c r="J14" s="51"/>
      <c r="K14" s="52"/>
      <c r="L14" s="53"/>
      <c r="M14" s="54"/>
      <c r="N14" s="55"/>
      <c r="O14" s="56"/>
      <c r="P14" s="56"/>
      <c r="Q14" s="54"/>
    </row>
    <row r="15" spans="2:17" ht="12">
      <c r="B15" s="30"/>
      <c r="C15" s="40"/>
      <c r="D15" s="41"/>
      <c r="E15" s="39">
        <v>20</v>
      </c>
      <c r="F15" s="32" t="s">
        <v>171</v>
      </c>
      <c r="G15" s="33" t="s">
        <v>184</v>
      </c>
      <c r="H15" s="40">
        <v>30</v>
      </c>
      <c r="I15" s="36" t="s">
        <v>177</v>
      </c>
      <c r="J15" s="51"/>
      <c r="K15" s="52"/>
      <c r="L15" s="53"/>
      <c r="M15" s="54"/>
      <c r="N15" s="55"/>
      <c r="O15" s="56"/>
      <c r="P15" s="56"/>
      <c r="Q15" s="54"/>
    </row>
    <row r="16" spans="2:17" ht="12">
      <c r="B16" s="25" t="s">
        <v>170</v>
      </c>
      <c r="C16" s="42"/>
      <c r="D16" s="43"/>
      <c r="E16" s="39">
        <v>31</v>
      </c>
      <c r="F16" s="32" t="s">
        <v>171</v>
      </c>
      <c r="G16" s="33" t="s">
        <v>176</v>
      </c>
      <c r="H16" s="40">
        <v>21</v>
      </c>
      <c r="I16" s="36" t="s">
        <v>182</v>
      </c>
      <c r="J16" s="61"/>
      <c r="K16" s="52"/>
      <c r="L16" s="53"/>
      <c r="M16" s="54"/>
      <c r="N16" s="55"/>
      <c r="O16" s="56"/>
      <c r="P16" s="56"/>
      <c r="Q16" s="54"/>
    </row>
    <row r="17" spans="2:17" ht="12">
      <c r="B17" s="26" t="s">
        <v>189</v>
      </c>
      <c r="C17" s="42">
        <f>+'Cumulative Stats'!N62</f>
        <v>21.75</v>
      </c>
      <c r="D17" s="43">
        <f>+'Cumulative Stats'!O62</f>
        <v>24.25</v>
      </c>
      <c r="E17" s="39">
        <v>22</v>
      </c>
      <c r="F17" s="32" t="s">
        <v>179</v>
      </c>
      <c r="G17" s="33" t="s">
        <v>196</v>
      </c>
      <c r="H17" s="40">
        <v>38</v>
      </c>
      <c r="I17" s="36" t="s">
        <v>177</v>
      </c>
      <c r="J17" s="51"/>
      <c r="K17" s="52"/>
      <c r="L17" s="53"/>
      <c r="M17" s="54"/>
      <c r="N17" s="55"/>
      <c r="O17" s="56"/>
      <c r="P17" s="56"/>
      <c r="Q17" s="54"/>
    </row>
    <row r="18" spans="2:17" ht="12">
      <c r="B18" s="27" t="s">
        <v>183</v>
      </c>
      <c r="C18" s="42">
        <f>+'Cumulative Stats'!A15+'Cumulative Stats'!N13</f>
        <v>145.8125</v>
      </c>
      <c r="D18" s="43">
        <f>+'Cumulative Stats'!B15+'Cumulative Stats'!O13</f>
        <v>175.375</v>
      </c>
      <c r="E18" s="39">
        <v>20</v>
      </c>
      <c r="F18" s="32" t="s">
        <v>171</v>
      </c>
      <c r="G18" s="33" t="s">
        <v>195</v>
      </c>
      <c r="H18" s="40">
        <v>13</v>
      </c>
      <c r="I18" s="36" t="s">
        <v>182</v>
      </c>
      <c r="J18" s="61"/>
      <c r="K18" s="62"/>
      <c r="L18" s="53"/>
      <c r="M18" s="54"/>
      <c r="N18" s="55"/>
      <c r="O18" s="56"/>
      <c r="P18" s="56"/>
      <c r="Q18" s="54"/>
    </row>
    <row r="19" spans="2:17" ht="12">
      <c r="B19" s="28" t="s">
        <v>3</v>
      </c>
      <c r="C19" s="42">
        <f>+'Cumulative Stats'!M14</f>
        <v>4.344506517690875</v>
      </c>
      <c r="D19" s="43">
        <f>+'Cumulative Stats'!O14</f>
        <v>4.772108843537415</v>
      </c>
      <c r="E19" s="39">
        <v>3</v>
      </c>
      <c r="F19" s="32" t="s">
        <v>171</v>
      </c>
      <c r="G19" s="33" t="s">
        <v>190</v>
      </c>
      <c r="H19" s="40">
        <v>21</v>
      </c>
      <c r="I19" s="36" t="s">
        <v>177</v>
      </c>
      <c r="J19" s="61"/>
      <c r="K19" s="52"/>
      <c r="L19" s="53"/>
      <c r="M19" s="54"/>
      <c r="N19" s="55"/>
      <c r="O19" s="56"/>
      <c r="P19" s="56"/>
      <c r="Q19" s="54"/>
    </row>
    <row r="20" spans="2:17" ht="12">
      <c r="B20" s="27" t="s">
        <v>185</v>
      </c>
      <c r="C20" s="42">
        <f>+'Cumulative Stats'!N22</f>
        <v>205.9375</v>
      </c>
      <c r="D20" s="43">
        <f>+'Cumulative Stats'!O22</f>
        <v>195.875</v>
      </c>
      <c r="E20" s="39">
        <v>14</v>
      </c>
      <c r="F20" s="32" t="s">
        <v>179</v>
      </c>
      <c r="G20" s="33" t="s">
        <v>188</v>
      </c>
      <c r="H20" s="40">
        <v>23</v>
      </c>
      <c r="I20" s="36" t="s">
        <v>177</v>
      </c>
      <c r="J20" s="63"/>
      <c r="K20" s="64"/>
      <c r="L20" s="65"/>
      <c r="M20" s="66"/>
      <c r="N20" s="55"/>
      <c r="O20" s="56"/>
      <c r="P20" s="56"/>
      <c r="Q20" s="54"/>
    </row>
    <row r="21" spans="2:17" ht="12">
      <c r="B21" s="29" t="s">
        <v>191</v>
      </c>
      <c r="C21" s="40">
        <f>+'Cumulative Stats'!M20</f>
        <v>42</v>
      </c>
      <c r="D21" s="41">
        <f>+'Cumulative Stats'!O20*16</f>
        <v>36</v>
      </c>
      <c r="E21" s="44">
        <v>17</v>
      </c>
      <c r="F21" s="32" t="s">
        <v>171</v>
      </c>
      <c r="G21" s="33" t="s">
        <v>199</v>
      </c>
      <c r="H21" s="47">
        <v>13</v>
      </c>
      <c r="I21" s="36" t="s">
        <v>182</v>
      </c>
      <c r="J21" s="78" t="s">
        <v>200</v>
      </c>
      <c r="K21" s="79"/>
      <c r="L21" s="79"/>
      <c r="M21" s="80"/>
      <c r="N21" s="81" t="s">
        <v>202</v>
      </c>
      <c r="O21" s="82"/>
      <c r="P21" s="82"/>
      <c r="Q21" s="83"/>
    </row>
    <row r="22" spans="2:17" ht="12">
      <c r="B22" s="31" t="s">
        <v>187</v>
      </c>
      <c r="C22" s="45">
        <f>+'Cumulative Stats'!N27</f>
        <v>351.75</v>
      </c>
      <c r="D22" s="46">
        <f>+'Cumulative Stats'!O27</f>
        <v>371.25</v>
      </c>
      <c r="E22" s="44">
        <v>315</v>
      </c>
      <c r="F22" s="34"/>
      <c r="G22" s="35"/>
      <c r="H22" s="47">
        <v>348</v>
      </c>
      <c r="I22" s="23"/>
      <c r="J22" s="68" t="s">
        <v>201</v>
      </c>
      <c r="K22" s="69"/>
      <c r="L22" s="69"/>
      <c r="M22" s="70"/>
      <c r="N22" s="71" t="s">
        <v>203</v>
      </c>
      <c r="O22" s="72"/>
      <c r="P22" s="72"/>
      <c r="Q22" s="73"/>
    </row>
    <row r="34" ht="12">
      <c r="O34" t="s">
        <v>204</v>
      </c>
    </row>
  </sheetData>
  <sheetProtection/>
  <mergeCells count="8">
    <mergeCell ref="J22:M22"/>
    <mergeCell ref="N22:Q22"/>
    <mergeCell ref="B4:G4"/>
    <mergeCell ref="E5:H5"/>
    <mergeCell ref="J5:M5"/>
    <mergeCell ref="N5:Q5"/>
    <mergeCell ref="J21:M21"/>
    <mergeCell ref="N21:Q21"/>
  </mergeCells>
  <printOptions/>
  <pageMargins left="0.75" right="0.75" top="1" bottom="1" header="0.5" footer="0.5"/>
  <pageSetup fitToHeight="1" fitToWidth="1" orientation="landscape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D174" sqref="D174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13</v>
      </c>
      <c r="H6" s="1" t="s">
        <v>29</v>
      </c>
      <c r="M6" s="2">
        <v>20</v>
      </c>
    </row>
    <row r="7" spans="1:13" ht="12">
      <c r="A7" s="18" t="s">
        <v>95</v>
      </c>
      <c r="D7" s="2">
        <v>4</v>
      </c>
      <c r="H7" s="18" t="s">
        <v>95</v>
      </c>
      <c r="M7" s="2">
        <v>7</v>
      </c>
    </row>
    <row r="8" spans="1:13" ht="12">
      <c r="A8" s="18" t="s">
        <v>96</v>
      </c>
      <c r="D8" s="2">
        <v>9</v>
      </c>
      <c r="H8" s="18" t="s">
        <v>96</v>
      </c>
      <c r="M8" s="2">
        <v>11</v>
      </c>
    </row>
    <row r="9" spans="1:13" ht="12">
      <c r="A9" s="18" t="s">
        <v>97</v>
      </c>
      <c r="D9" s="2">
        <v>0</v>
      </c>
      <c r="H9" s="18" t="s">
        <v>97</v>
      </c>
      <c r="M9" s="2">
        <v>2</v>
      </c>
    </row>
    <row r="10" spans="1:14" ht="12">
      <c r="A10" s="21" t="s">
        <v>168</v>
      </c>
      <c r="C10">
        <v>5</v>
      </c>
      <c r="D10" s="2">
        <v>15</v>
      </c>
      <c r="E10" s="22">
        <f>+C10/D10</f>
        <v>0.3333333333333333</v>
      </c>
      <c r="H10" s="21" t="s">
        <v>168</v>
      </c>
      <c r="L10">
        <v>5</v>
      </c>
      <c r="M10" s="2">
        <v>14</v>
      </c>
      <c r="N10" s="22">
        <f>+L10/M10</f>
        <v>0.35714285714285715</v>
      </c>
    </row>
    <row r="12" spans="1:23" ht="12">
      <c r="A12" t="s">
        <v>1</v>
      </c>
      <c r="D12" s="2">
        <f>7+6+6+1+1+1</f>
        <v>22</v>
      </c>
      <c r="H12" t="s">
        <v>1</v>
      </c>
      <c r="M12" s="2">
        <f>17+11+4+1+1+6</f>
        <v>40</v>
      </c>
      <c r="V12">
        <f>+D12</f>
        <v>22</v>
      </c>
      <c r="W12">
        <f>+M12</f>
        <v>40</v>
      </c>
    </row>
    <row r="13" spans="1:23" ht="12">
      <c r="A13" t="s">
        <v>2</v>
      </c>
      <c r="D13" s="2">
        <f>15+10+14+10+18+0</f>
        <v>67</v>
      </c>
      <c r="H13" t="s">
        <v>2</v>
      </c>
      <c r="M13" s="2">
        <f>66+31+25+40+3-7</f>
        <v>158</v>
      </c>
      <c r="P13" s="13"/>
      <c r="U13" s="13"/>
      <c r="V13">
        <f>+D17</f>
        <v>20</v>
      </c>
      <c r="W13">
        <f>+M17</f>
        <v>21</v>
      </c>
    </row>
    <row r="14" spans="1:23" ht="12">
      <c r="A14" s="1" t="s">
        <v>3</v>
      </c>
      <c r="D14" s="8">
        <f>+D13/D12</f>
        <v>3.0454545454545454</v>
      </c>
      <c r="H14" s="1" t="s">
        <v>3</v>
      </c>
      <c r="M14" s="8">
        <f>+M13/M12</f>
        <v>3.95</v>
      </c>
      <c r="V14">
        <f>+(D16-D17)/2</f>
        <v>7</v>
      </c>
      <c r="W14">
        <f>+(M16-M17)/2</f>
        <v>4.5</v>
      </c>
    </row>
    <row r="15" spans="22:23" ht="12">
      <c r="V15">
        <f>+D39/2</f>
        <v>2</v>
      </c>
      <c r="W15">
        <f>+M39/2</f>
        <v>2.5</v>
      </c>
    </row>
    <row r="16" spans="1:23" ht="12">
      <c r="A16" t="s">
        <v>4</v>
      </c>
      <c r="D16" s="2">
        <v>34</v>
      </c>
      <c r="H16" t="s">
        <v>4</v>
      </c>
      <c r="M16" s="2">
        <v>30</v>
      </c>
      <c r="V16">
        <f>+D43/2</f>
        <v>1.5</v>
      </c>
      <c r="W16">
        <f>+M43/2</f>
        <v>1</v>
      </c>
    </row>
    <row r="17" spans="1:23" ht="12">
      <c r="A17" t="s">
        <v>5</v>
      </c>
      <c r="D17" s="2">
        <v>20</v>
      </c>
      <c r="H17" t="s">
        <v>5</v>
      </c>
      <c r="M17" s="2">
        <v>21</v>
      </c>
      <c r="V17">
        <f>+D48/2</f>
        <v>2</v>
      </c>
      <c r="W17">
        <f>+M48/2</f>
        <v>1.5</v>
      </c>
    </row>
    <row r="18" spans="1:13" ht="12">
      <c r="A18" t="s">
        <v>6</v>
      </c>
      <c r="D18" s="8">
        <f>+D17/D16*100</f>
        <v>58.82352941176471</v>
      </c>
      <c r="H18" t="s">
        <v>6</v>
      </c>
      <c r="M18" s="8">
        <f>+M17/M16*100</f>
        <v>70</v>
      </c>
    </row>
    <row r="19" spans="1:24" ht="12">
      <c r="A19" t="s">
        <v>7</v>
      </c>
      <c r="C19" t="str">
        <f>IF(D19=SUM(D92:D105),"ok","ERR")</f>
        <v>ERR</v>
      </c>
      <c r="D19" s="2">
        <v>275</v>
      </c>
      <c r="H19" t="s">
        <v>7</v>
      </c>
      <c r="M19" s="2">
        <v>258</v>
      </c>
      <c r="V19">
        <f>SUM(V12:V17)</f>
        <v>54.5</v>
      </c>
      <c r="W19">
        <f>SUM(W12:W17)</f>
        <v>70.5</v>
      </c>
      <c r="X19">
        <f>+W19+V19</f>
        <v>125</v>
      </c>
    </row>
    <row r="20" spans="1:23" ht="12">
      <c r="A20" t="s">
        <v>8</v>
      </c>
      <c r="D20" s="2">
        <v>3</v>
      </c>
      <c r="H20" t="s">
        <v>8</v>
      </c>
      <c r="M20" s="2">
        <v>1</v>
      </c>
      <c r="V20">
        <f>+V19/X19</f>
        <v>0.436</v>
      </c>
      <c r="W20">
        <f>+W19/X19</f>
        <v>0.564</v>
      </c>
    </row>
    <row r="21" spans="1:23" ht="12">
      <c r="A21" t="s">
        <v>9</v>
      </c>
      <c r="D21" s="2">
        <v>26</v>
      </c>
      <c r="H21" t="s">
        <v>9</v>
      </c>
      <c r="M21" s="2">
        <v>14</v>
      </c>
      <c r="V21">
        <f>+V20*60</f>
        <v>26.16</v>
      </c>
      <c r="W21">
        <f>+W20*60</f>
        <v>33.839999999999996</v>
      </c>
    </row>
    <row r="22" spans="1:23" ht="12">
      <c r="A22" t="s">
        <v>10</v>
      </c>
      <c r="D22">
        <f>+D19-D21</f>
        <v>249</v>
      </c>
      <c r="H22" t="s">
        <v>10</v>
      </c>
      <c r="M22">
        <f>+M19-M21</f>
        <v>244</v>
      </c>
      <c r="V22">
        <f>+V21-INT(V21)</f>
        <v>0.16000000000000014</v>
      </c>
      <c r="W22">
        <f>+W21-INT(W21)</f>
        <v>0.8399999999999963</v>
      </c>
    </row>
    <row r="23" spans="1:23" ht="12">
      <c r="A23" t="s">
        <v>11</v>
      </c>
      <c r="D23" s="7">
        <f>+D22/(D16+D20)</f>
        <v>6.72972972972973</v>
      </c>
      <c r="H23" t="s">
        <v>11</v>
      </c>
      <c r="M23" s="7">
        <f>+M22/(M16+M20)</f>
        <v>7.870967741935484</v>
      </c>
      <c r="V23">
        <f>+V22*60</f>
        <v>9.600000000000009</v>
      </c>
      <c r="W23">
        <f>+W22*60</f>
        <v>50.39999999999978</v>
      </c>
    </row>
    <row r="24" spans="1:23" ht="12">
      <c r="A24" t="s">
        <v>12</v>
      </c>
      <c r="D24" s="7">
        <f>+D19/D17</f>
        <v>13.75</v>
      </c>
      <c r="H24" t="s">
        <v>12</v>
      </c>
      <c r="M24" s="7">
        <f>+M19/M17</f>
        <v>12.285714285714286</v>
      </c>
      <c r="Q24" s="11"/>
      <c r="U24">
        <v>0</v>
      </c>
      <c r="V24" s="11">
        <f>ROUND(V23,0)</f>
        <v>10</v>
      </c>
      <c r="W24">
        <f>ROUND(W23,0)</f>
        <v>50</v>
      </c>
    </row>
    <row r="25" spans="22:23" ht="12">
      <c r="V25">
        <f>INT(V21)</f>
        <v>26</v>
      </c>
      <c r="W25">
        <f>INT(W21)</f>
        <v>33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316</v>
      </c>
      <c r="H27" t="s">
        <v>14</v>
      </c>
      <c r="M27">
        <f>+M22+M13</f>
        <v>402</v>
      </c>
      <c r="Q27" s="14"/>
      <c r="R27" s="9"/>
      <c r="V27" s="14" t="str">
        <f>+V25&amp;V26&amp;V24</f>
        <v>26:10</v>
      </c>
      <c r="W27" s="9" t="str">
        <f>+W25&amp;W26&amp;W24</f>
        <v>33:50</v>
      </c>
    </row>
    <row r="28" spans="1:23" ht="12">
      <c r="A28" t="s">
        <v>15</v>
      </c>
      <c r="D28" s="7">
        <f>+D13/D27*100</f>
        <v>21.202531645569618</v>
      </c>
      <c r="H28" t="s">
        <v>15</v>
      </c>
      <c r="M28" s="7">
        <f>+M13/M27*100</f>
        <v>39.30348258706468</v>
      </c>
      <c r="Q28" s="9"/>
      <c r="R28" s="9"/>
      <c r="V28" s="9" t="str">
        <f>IF(V24&lt;10,+V25&amp;V26&amp;$U$24&amp;V24,+V25&amp;V26&amp;V24)</f>
        <v>26:10</v>
      </c>
      <c r="W28" s="9" t="str">
        <f>IF(W24&lt;10,+W25&amp;W26&amp;$U$24&amp;W24,+W25&amp;W26&amp;W24)</f>
        <v>33:50</v>
      </c>
    </row>
    <row r="29" spans="1:16" ht="12">
      <c r="A29" s="1" t="s">
        <v>90</v>
      </c>
      <c r="D29" s="7">
        <f>+D22/D27*100</f>
        <v>78.79746835443038</v>
      </c>
      <c r="H29" s="1" t="s">
        <v>90</v>
      </c>
      <c r="M29" s="7">
        <f>+M22/M27*100</f>
        <v>60.69651741293532</v>
      </c>
      <c r="P29" s="13"/>
    </row>
    <row r="31" spans="1:13" ht="12">
      <c r="A31" t="s">
        <v>16</v>
      </c>
      <c r="D31">
        <f>+D12+D16+D20</f>
        <v>59</v>
      </c>
      <c r="H31" t="s">
        <v>16</v>
      </c>
      <c r="M31">
        <f>+M12+M16+M20</f>
        <v>71</v>
      </c>
    </row>
    <row r="32" spans="1:13" ht="12">
      <c r="A32" t="s">
        <v>17</v>
      </c>
      <c r="D32" s="8">
        <f>+D27/D31</f>
        <v>5.3559322033898304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5.661971830985915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1</v>
      </c>
      <c r="H35" t="s">
        <v>19</v>
      </c>
      <c r="M35" s="2">
        <v>0</v>
      </c>
    </row>
    <row r="36" spans="1:13" ht="12">
      <c r="A36" t="s">
        <v>20</v>
      </c>
      <c r="D36" s="2">
        <v>0</v>
      </c>
      <c r="H36" t="s">
        <v>20</v>
      </c>
      <c r="M36" s="2">
        <v>0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4</v>
      </c>
      <c r="H39" t="s">
        <v>22</v>
      </c>
      <c r="M39" s="2">
        <v>5</v>
      </c>
    </row>
    <row r="40" spans="1:13" ht="12">
      <c r="A40" t="s">
        <v>23</v>
      </c>
      <c r="D40" s="2">
        <f>41+31+46+33</f>
        <v>151</v>
      </c>
      <c r="G40" t="str">
        <f>IF(D40=SUM(D142:D144),"ok","ERR")</f>
        <v>ok</v>
      </c>
      <c r="H40" t="s">
        <v>23</v>
      </c>
      <c r="M40" s="2">
        <f>46+41+50+43+54</f>
        <v>234</v>
      </c>
    </row>
    <row r="41" spans="1:13" ht="12">
      <c r="A41" t="s">
        <v>24</v>
      </c>
      <c r="D41" s="8">
        <f>+D40/D39</f>
        <v>37.75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46.8</v>
      </c>
    </row>
    <row r="43" spans="1:13" ht="12">
      <c r="A43" t="s">
        <v>25</v>
      </c>
      <c r="D43" s="2">
        <v>3</v>
      </c>
      <c r="H43" t="s">
        <v>25</v>
      </c>
      <c r="M43" s="2">
        <v>2</v>
      </c>
    </row>
    <row r="44" spans="1:13" ht="12">
      <c r="A44" t="s">
        <v>26</v>
      </c>
      <c r="D44" s="2">
        <v>31</v>
      </c>
      <c r="H44" t="s">
        <v>26</v>
      </c>
      <c r="M44" s="2">
        <v>2</v>
      </c>
    </row>
    <row r="45" spans="1:13" ht="12">
      <c r="A45" t="s">
        <v>27</v>
      </c>
      <c r="D45" s="8">
        <f>+D44/D43</f>
        <v>10.333333333333334</v>
      </c>
      <c r="H45" t="s">
        <v>27</v>
      </c>
      <c r="M45" s="8">
        <f>+M44/M43</f>
        <v>1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4</v>
      </c>
      <c r="H48" t="s">
        <v>30</v>
      </c>
      <c r="M48" s="2">
        <v>3</v>
      </c>
    </row>
    <row r="49" spans="1:13" ht="12">
      <c r="A49" t="s">
        <v>26</v>
      </c>
      <c r="D49" s="2">
        <f>13+18+17+9</f>
        <v>57</v>
      </c>
      <c r="G49" t="str">
        <f>IF(D49=SUM(D131:D139),"ok","ERR")</f>
        <v>ok</v>
      </c>
      <c r="H49" t="s">
        <v>26</v>
      </c>
      <c r="M49" s="2">
        <v>46</v>
      </c>
    </row>
    <row r="50" spans="1:13" ht="12">
      <c r="A50" t="s">
        <v>27</v>
      </c>
      <c r="D50" s="8">
        <f>+D49/D48</f>
        <v>14.25</v>
      </c>
      <c r="H50" t="s">
        <v>27</v>
      </c>
      <c r="M50" s="8">
        <f>+M49/M48</f>
        <v>15.333333333333334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3</v>
      </c>
      <c r="H53" t="s">
        <v>31</v>
      </c>
      <c r="M53" s="2">
        <v>7</v>
      </c>
    </row>
    <row r="54" spans="1:13" ht="12">
      <c r="A54" t="s">
        <v>32</v>
      </c>
      <c r="D54" s="2">
        <v>30</v>
      </c>
      <c r="H54" t="s">
        <v>32</v>
      </c>
      <c r="M54" s="2">
        <v>55</v>
      </c>
    </row>
    <row r="56" spans="1:13" ht="12">
      <c r="A56" t="s">
        <v>33</v>
      </c>
      <c r="D56" s="2">
        <v>1</v>
      </c>
      <c r="G56" t="str">
        <f>IF(D56=SUM(H76:H105)+SUM(N113:N116)+SUM(I120:I125)+SUM(H130:H135)+SUM(H142:H144)+SUM(H154:H166)+SUM(G187:G237),"ok","ERR")</f>
        <v>ok</v>
      </c>
      <c r="H56" t="s">
        <v>33</v>
      </c>
      <c r="M56" s="2">
        <v>1</v>
      </c>
    </row>
    <row r="57" spans="1:13" ht="12">
      <c r="A57" t="s">
        <v>34</v>
      </c>
      <c r="D57" s="2">
        <v>0</v>
      </c>
      <c r="H57" t="s">
        <v>34</v>
      </c>
      <c r="M57" s="2">
        <v>0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1</v>
      </c>
      <c r="H59" t="s">
        <v>36</v>
      </c>
      <c r="M59" s="2">
        <v>1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1" ht="12">
      <c r="M61" s="2"/>
    </row>
    <row r="62" spans="1:16" ht="12">
      <c r="A62" t="s">
        <v>38</v>
      </c>
      <c r="D62" s="2">
        <v>15</v>
      </c>
      <c r="H62" t="s">
        <v>38</v>
      </c>
      <c r="M62" s="2">
        <v>17</v>
      </c>
      <c r="N62" t="str">
        <f>IF(K62=K63*6+K68*2+K69*3+K67,"ok","ERR")</f>
        <v>ok</v>
      </c>
      <c r="P62" t="str">
        <f>IF(M62=M63*6+M68*2+M69*3+M67,"ok","ERR")</f>
        <v>ok</v>
      </c>
    </row>
    <row r="63" spans="1:13" ht="12">
      <c r="A63" t="s">
        <v>39</v>
      </c>
      <c r="D63" s="2">
        <v>1</v>
      </c>
      <c r="H63" t="s">
        <v>39</v>
      </c>
      <c r="M63" s="2">
        <v>2</v>
      </c>
    </row>
    <row r="64" spans="1:13" ht="12">
      <c r="A64" t="s">
        <v>40</v>
      </c>
      <c r="D64" s="2">
        <v>1</v>
      </c>
      <c r="G64" t="str">
        <f>IF(D64=SUM(G76:G87),"ok","ERR")</f>
        <v>ok</v>
      </c>
      <c r="H64" t="s">
        <v>40</v>
      </c>
      <c r="M64" s="2">
        <v>0</v>
      </c>
    </row>
    <row r="65" spans="1:13" ht="12">
      <c r="A65" t="s">
        <v>41</v>
      </c>
      <c r="D65" s="2">
        <v>0</v>
      </c>
      <c r="H65" t="s">
        <v>41</v>
      </c>
      <c r="M65" s="2">
        <v>2</v>
      </c>
    </row>
    <row r="66" spans="1:13" ht="12">
      <c r="A66" t="s">
        <v>42</v>
      </c>
      <c r="D66" s="2">
        <v>0</v>
      </c>
      <c r="H66" t="s">
        <v>42</v>
      </c>
      <c r="M66" s="2">
        <v>0</v>
      </c>
    </row>
    <row r="67" spans="1:13" ht="12">
      <c r="A67" t="s">
        <v>43</v>
      </c>
      <c r="D67" s="2">
        <v>0</v>
      </c>
      <c r="H67" t="s">
        <v>43</v>
      </c>
      <c r="M67" s="2">
        <v>2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3</v>
      </c>
      <c r="H69" t="s">
        <v>45</v>
      </c>
      <c r="M69" s="2">
        <v>1</v>
      </c>
    </row>
    <row r="70" spans="1:13" ht="12">
      <c r="A70" t="s">
        <v>46</v>
      </c>
      <c r="D70" s="2">
        <v>4</v>
      </c>
      <c r="H70" t="s">
        <v>46</v>
      </c>
      <c r="M70" s="2">
        <v>2</v>
      </c>
    </row>
    <row r="71" spans="1:13" ht="12">
      <c r="A71" t="s">
        <v>47</v>
      </c>
      <c r="D71" s="8">
        <f>+D69/D70*100</f>
        <v>75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50</v>
      </c>
    </row>
    <row r="72" spans="1:13" ht="12">
      <c r="A72" t="s">
        <v>93</v>
      </c>
      <c r="D72" s="10" t="str">
        <f>IF(V24&lt;10,V28,V27)</f>
        <v>26:10</v>
      </c>
      <c r="E72" s="8"/>
      <c r="F72" s="8"/>
      <c r="H72" t="s">
        <v>93</v>
      </c>
      <c r="M72" s="10" t="str">
        <f>IF(W24&lt;10,W28,W27)</f>
        <v>33:50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5" ht="12">
      <c r="A77" t="s">
        <v>113</v>
      </c>
      <c r="E77" s="12" t="e">
        <f>+D77/C77</f>
        <v>#DIV/0!</v>
      </c>
    </row>
    <row r="78" spans="1:7" ht="12">
      <c r="A78" t="s">
        <v>114</v>
      </c>
      <c r="C78">
        <v>6</v>
      </c>
      <c r="D78">
        <v>10</v>
      </c>
      <c r="E78" s="12">
        <f>+D78/C78</f>
        <v>1.6666666666666667</v>
      </c>
      <c r="F78">
        <v>4</v>
      </c>
      <c r="G78">
        <v>1</v>
      </c>
    </row>
    <row r="79" spans="1:6" ht="12">
      <c r="A79" t="s">
        <v>115</v>
      </c>
      <c r="C79">
        <v>6</v>
      </c>
      <c r="D79">
        <v>14</v>
      </c>
      <c r="E79" s="12">
        <f aca="true" t="shared" si="0" ref="E79:E85">+D79/C79</f>
        <v>2.3333333333333335</v>
      </c>
      <c r="F79">
        <v>4</v>
      </c>
    </row>
    <row r="80" spans="1:5" ht="12">
      <c r="A80" t="s">
        <v>116</v>
      </c>
      <c r="E80" s="12" t="e">
        <f t="shared" si="0"/>
        <v>#DIV/0!</v>
      </c>
    </row>
    <row r="81" spans="1:6" ht="12">
      <c r="A81" t="s">
        <v>117</v>
      </c>
      <c r="C81">
        <v>1</v>
      </c>
      <c r="D81">
        <v>10</v>
      </c>
      <c r="E81" s="12">
        <f t="shared" si="0"/>
        <v>10</v>
      </c>
      <c r="F81">
        <v>10</v>
      </c>
    </row>
    <row r="82" spans="1:5" ht="12">
      <c r="A82" t="s">
        <v>118</v>
      </c>
      <c r="E82" s="12" t="e">
        <f t="shared" si="0"/>
        <v>#DIV/0!</v>
      </c>
    </row>
    <row r="83" spans="1:5" ht="12">
      <c r="A83" t="s">
        <v>119</v>
      </c>
      <c r="E83" s="12" t="e">
        <f t="shared" si="0"/>
        <v>#DIV/0!</v>
      </c>
    </row>
    <row r="84" spans="1:5" ht="12">
      <c r="A84" t="s">
        <v>120</v>
      </c>
      <c r="E84" s="12" t="e">
        <f t="shared" si="0"/>
        <v>#DIV/0!</v>
      </c>
    </row>
    <row r="85" spans="1:5" ht="12">
      <c r="A85" t="s">
        <v>121</v>
      </c>
      <c r="E85" s="12" t="e">
        <f t="shared" si="0"/>
        <v>#DIV/0!</v>
      </c>
    </row>
    <row r="86" spans="1:6" ht="12">
      <c r="A86" t="s">
        <v>122</v>
      </c>
      <c r="C86">
        <v>1</v>
      </c>
      <c r="D86">
        <v>18</v>
      </c>
      <c r="E86" s="12">
        <f>+D86/C86</f>
        <v>18</v>
      </c>
      <c r="F86">
        <v>18</v>
      </c>
    </row>
    <row r="87" spans="1:6" ht="12">
      <c r="A87" t="s">
        <v>123</v>
      </c>
      <c r="C87">
        <v>7</v>
      </c>
      <c r="D87">
        <v>15</v>
      </c>
      <c r="E87" s="12">
        <f>+D87/C87</f>
        <v>2.142857142857143</v>
      </c>
      <c r="F87">
        <v>4</v>
      </c>
    </row>
    <row r="88" spans="1:5" ht="12">
      <c r="A88" t="s">
        <v>124</v>
      </c>
      <c r="E88" s="8"/>
    </row>
    <row r="89" spans="1:5" ht="12">
      <c r="A89" t="s">
        <v>125</v>
      </c>
      <c r="C89">
        <v>1</v>
      </c>
      <c r="E89" s="8"/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5" ht="12">
      <c r="A94" t="s">
        <v>113</v>
      </c>
      <c r="E94" s="12" t="e">
        <f t="shared" si="1"/>
        <v>#DIV/0!</v>
      </c>
    </row>
    <row r="95" spans="1:6" ht="12">
      <c r="A95" t="s">
        <v>114</v>
      </c>
      <c r="C95">
        <v>2</v>
      </c>
      <c r="D95">
        <v>6</v>
      </c>
      <c r="E95" s="12">
        <f t="shared" si="1"/>
        <v>3</v>
      </c>
      <c r="F95">
        <v>4</v>
      </c>
    </row>
    <row r="96" spans="1:5" ht="12">
      <c r="A96" t="s">
        <v>115</v>
      </c>
      <c r="C96">
        <v>1</v>
      </c>
      <c r="E96" s="12">
        <f t="shared" si="1"/>
        <v>0</v>
      </c>
    </row>
    <row r="97" spans="1:5" ht="12">
      <c r="A97" t="s">
        <v>117</v>
      </c>
      <c r="E97" s="12" t="e">
        <f t="shared" si="1"/>
        <v>#DIV/0!</v>
      </c>
    </row>
    <row r="98" spans="1:5" ht="12">
      <c r="A98" t="s">
        <v>128</v>
      </c>
      <c r="E98" s="12" t="e">
        <f t="shared" si="1"/>
        <v>#DIV/0!</v>
      </c>
    </row>
    <row r="99" spans="1:5" ht="12">
      <c r="A99" t="s">
        <v>119</v>
      </c>
      <c r="E99" s="12" t="e">
        <f t="shared" si="1"/>
        <v>#DIV/0!</v>
      </c>
    </row>
    <row r="100" spans="1:6" ht="12">
      <c r="A100" t="s">
        <v>120</v>
      </c>
      <c r="C100">
        <v>8</v>
      </c>
      <c r="D100">
        <v>190</v>
      </c>
      <c r="E100" s="12">
        <f t="shared" si="1"/>
        <v>23.75</v>
      </c>
      <c r="F100">
        <v>31</v>
      </c>
    </row>
    <row r="101" spans="1:6" ht="12">
      <c r="A101" t="s">
        <v>129</v>
      </c>
      <c r="C101">
        <v>4</v>
      </c>
      <c r="D101">
        <v>61</v>
      </c>
      <c r="E101" s="12">
        <f t="shared" si="1"/>
        <v>15.25</v>
      </c>
      <c r="F101">
        <v>24</v>
      </c>
    </row>
    <row r="102" spans="1:5" ht="12">
      <c r="A102" t="s">
        <v>130</v>
      </c>
      <c r="E102" s="12" t="e">
        <f t="shared" si="1"/>
        <v>#DIV/0!</v>
      </c>
    </row>
    <row r="103" spans="1:6" ht="12">
      <c r="A103" t="s">
        <v>122</v>
      </c>
      <c r="C103">
        <v>1</v>
      </c>
      <c r="D103">
        <v>8</v>
      </c>
      <c r="E103" s="12">
        <f t="shared" si="1"/>
        <v>8</v>
      </c>
      <c r="F103">
        <v>8</v>
      </c>
    </row>
    <row r="104" spans="1:5" ht="12">
      <c r="A104" t="s">
        <v>131</v>
      </c>
      <c r="E104" s="12" t="e">
        <f>+D104/C104</f>
        <v>#DIV/0!</v>
      </c>
    </row>
    <row r="105" spans="1:5" ht="12">
      <c r="A105" t="s">
        <v>132</v>
      </c>
      <c r="C105">
        <v>1</v>
      </c>
      <c r="E105" s="12">
        <f>+D105/C105</f>
        <v>0</v>
      </c>
    </row>
    <row r="106" spans="1:6" ht="12">
      <c r="A106" t="s">
        <v>123</v>
      </c>
      <c r="C106">
        <v>3</v>
      </c>
      <c r="D106">
        <v>10</v>
      </c>
      <c r="E106" s="12"/>
      <c r="F106">
        <v>6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 aca="true" t="shared" si="3" ref="J113:J118">+G113/C113*100</f>
        <v>#DIV/0!</v>
      </c>
      <c r="K113" s="12" t="e">
        <f aca="true" t="shared" si="4" ref="K113:K118">+I113/C113*100</f>
        <v>#DIV/0!</v>
      </c>
      <c r="L113" s="12" t="e">
        <f aca="true" t="shared" si="5" ref="L113:L118">+F113/C113</f>
        <v>#DIV/0!</v>
      </c>
      <c r="M113" s="12" t="e">
        <f aca="true" t="shared" si="6" ref="M113:M118">100*(S113+U113+W113+Y113)/6</f>
        <v>#DIV/0!</v>
      </c>
      <c r="R113" t="e">
        <f aca="true" t="shared" si="7" ref="R113:R118">+(E113-30)/20</f>
        <v>#DIV/0!</v>
      </c>
      <c r="S113" s="2" t="e">
        <f aca="true" t="shared" si="8" ref="S113:S118">IF(R113&lt;0,0,R113)</f>
        <v>#DIV/0!</v>
      </c>
      <c r="T113" s="6" t="e">
        <f aca="true" t="shared" si="9" ref="T113:T118">+(L113-3)/4</f>
        <v>#DIV/0!</v>
      </c>
      <c r="U113" s="2" t="e">
        <f aca="true" t="shared" si="10" ref="U113:U118">IF(T113&lt;0,0,T113)</f>
        <v>#DIV/0!</v>
      </c>
      <c r="V113" t="e">
        <f aca="true" t="shared" si="11" ref="V113:V118">+J113/5</f>
        <v>#DIV/0!</v>
      </c>
      <c r="W113" s="2" t="e">
        <f aca="true" t="shared" si="12" ref="W113:W118">IF(V113&lt;0,0,V113)</f>
        <v>#DIV/0!</v>
      </c>
      <c r="X113" t="e">
        <f aca="true" t="shared" si="13" ref="X113:X118">(9.5-K113)/4</f>
        <v>#DIV/0!</v>
      </c>
      <c r="Y113" s="2" t="e">
        <f aca="true" t="shared" si="14" ref="Y113:Y118">IF(X113&lt;0,0,X113)</f>
        <v>#DIV/0!</v>
      </c>
    </row>
    <row r="114" spans="1:25" ht="12">
      <c r="A114" t="s">
        <v>118</v>
      </c>
      <c r="E114" s="12" t="e">
        <f t="shared" si="2"/>
        <v>#DIV/0!</v>
      </c>
      <c r="J114" s="8" t="e">
        <f t="shared" si="3"/>
        <v>#DIV/0!</v>
      </c>
      <c r="K114" s="12" t="e">
        <f t="shared" si="4"/>
        <v>#DIV/0!</v>
      </c>
      <c r="L114" s="12" t="e">
        <f t="shared" si="5"/>
        <v>#DIV/0!</v>
      </c>
      <c r="M114" s="12" t="e">
        <f t="shared" si="6"/>
        <v>#DIV/0!</v>
      </c>
      <c r="R114" t="e">
        <f t="shared" si="7"/>
        <v>#DIV/0!</v>
      </c>
      <c r="S114" s="2" t="e">
        <f t="shared" si="8"/>
        <v>#DIV/0!</v>
      </c>
      <c r="T114" s="6" t="e">
        <f t="shared" si="9"/>
        <v>#DIV/0!</v>
      </c>
      <c r="U114" s="2" t="e">
        <f t="shared" si="10"/>
        <v>#DIV/0!</v>
      </c>
      <c r="V114" t="e">
        <f t="shared" si="11"/>
        <v>#DIV/0!</v>
      </c>
      <c r="W114" s="2" t="e">
        <f t="shared" si="12"/>
        <v>#DIV/0!</v>
      </c>
      <c r="X114" t="e">
        <f t="shared" si="13"/>
        <v>#DIV/0!</v>
      </c>
      <c r="Y114" s="2" t="e">
        <f t="shared" si="14"/>
        <v>#DIV/0!</v>
      </c>
    </row>
    <row r="115" spans="1:25" ht="12">
      <c r="A115" t="s">
        <v>120</v>
      </c>
      <c r="E115" s="12" t="e">
        <f t="shared" si="2"/>
        <v>#DIV/0!</v>
      </c>
      <c r="J115" s="8" t="e">
        <f t="shared" si="3"/>
        <v>#DIV/0!</v>
      </c>
      <c r="K115" s="12" t="e">
        <f t="shared" si="4"/>
        <v>#DIV/0!</v>
      </c>
      <c r="L115" s="12" t="e">
        <f t="shared" si="5"/>
        <v>#DIV/0!</v>
      </c>
      <c r="M115" s="12" t="e">
        <f t="shared" si="6"/>
        <v>#DIV/0!</v>
      </c>
      <c r="R115" t="e">
        <f t="shared" si="7"/>
        <v>#DIV/0!</v>
      </c>
      <c r="S115" s="2" t="e">
        <f t="shared" si="8"/>
        <v>#DIV/0!</v>
      </c>
      <c r="T115" s="6" t="e">
        <f t="shared" si="9"/>
        <v>#DIV/0!</v>
      </c>
      <c r="U115" s="2" t="e">
        <f t="shared" si="10"/>
        <v>#DIV/0!</v>
      </c>
      <c r="V115" t="e">
        <f t="shared" si="11"/>
        <v>#DIV/0!</v>
      </c>
      <c r="W115" s="2" t="e">
        <f t="shared" si="12"/>
        <v>#DIV/0!</v>
      </c>
      <c r="X115" t="e">
        <f t="shared" si="13"/>
        <v>#DIV/0!</v>
      </c>
      <c r="Y115" s="2" t="e">
        <f t="shared" si="14"/>
        <v>#DIV/0!</v>
      </c>
    </row>
    <row r="116" spans="1:25" ht="12">
      <c r="A116" t="s">
        <v>124</v>
      </c>
      <c r="E116" s="12" t="e">
        <f t="shared" si="2"/>
        <v>#DIV/0!</v>
      </c>
      <c r="J116" s="8" t="e">
        <f t="shared" si="3"/>
        <v>#DIV/0!</v>
      </c>
      <c r="K116" s="12" t="e">
        <f t="shared" si="4"/>
        <v>#DIV/0!</v>
      </c>
      <c r="L116" s="12" t="e">
        <f t="shared" si="5"/>
        <v>#DIV/0!</v>
      </c>
      <c r="M116" s="12" t="e">
        <f t="shared" si="6"/>
        <v>#DIV/0!</v>
      </c>
      <c r="R116" t="e">
        <f t="shared" si="7"/>
        <v>#DIV/0!</v>
      </c>
      <c r="S116" s="2" t="e">
        <f t="shared" si="8"/>
        <v>#DIV/0!</v>
      </c>
      <c r="T116" s="6" t="e">
        <f t="shared" si="9"/>
        <v>#DIV/0!</v>
      </c>
      <c r="U116" s="2" t="e">
        <f t="shared" si="10"/>
        <v>#DIV/0!</v>
      </c>
      <c r="V116" t="e">
        <f t="shared" si="11"/>
        <v>#DIV/0!</v>
      </c>
      <c r="W116" s="2" t="e">
        <f t="shared" si="12"/>
        <v>#DIV/0!</v>
      </c>
      <c r="X116" t="e">
        <f t="shared" si="13"/>
        <v>#DIV/0!</v>
      </c>
      <c r="Y116" s="2" t="e">
        <f t="shared" si="14"/>
        <v>#DIV/0!</v>
      </c>
    </row>
    <row r="117" spans="1:25" ht="12">
      <c r="A117" t="s">
        <v>125</v>
      </c>
      <c r="C117">
        <v>34</v>
      </c>
      <c r="D117">
        <v>20</v>
      </c>
      <c r="E117" s="12">
        <f t="shared" si="2"/>
        <v>58.82352941176471</v>
      </c>
      <c r="F117">
        <v>275</v>
      </c>
      <c r="H117">
        <v>31</v>
      </c>
      <c r="I117">
        <v>1</v>
      </c>
      <c r="J117" s="8">
        <f t="shared" si="3"/>
        <v>0</v>
      </c>
      <c r="K117" s="12">
        <f t="shared" si="4"/>
        <v>2.941176470588235</v>
      </c>
      <c r="L117" s="12">
        <f t="shared" si="5"/>
        <v>8.088235294117647</v>
      </c>
      <c r="M117" s="12">
        <f t="shared" si="6"/>
        <v>72.54901960784315</v>
      </c>
      <c r="O117">
        <v>3</v>
      </c>
      <c r="R117">
        <f t="shared" si="7"/>
        <v>1.4411764705882355</v>
      </c>
      <c r="S117" s="2">
        <f t="shared" si="8"/>
        <v>1.4411764705882355</v>
      </c>
      <c r="T117" s="6">
        <f t="shared" si="9"/>
        <v>1.2720588235294117</v>
      </c>
      <c r="U117" s="2">
        <f t="shared" si="10"/>
        <v>1.2720588235294117</v>
      </c>
      <c r="V117">
        <f t="shared" si="11"/>
        <v>0</v>
      </c>
      <c r="W117" s="2">
        <f t="shared" si="12"/>
        <v>0</v>
      </c>
      <c r="X117">
        <f t="shared" si="13"/>
        <v>1.6397058823529411</v>
      </c>
      <c r="Y117" s="2">
        <f t="shared" si="14"/>
        <v>1.6397058823529411</v>
      </c>
    </row>
    <row r="118" spans="5:25" ht="12">
      <c r="E118" s="12" t="e">
        <f t="shared" si="2"/>
        <v>#DIV/0!</v>
      </c>
      <c r="J118" s="8" t="e">
        <f t="shared" si="3"/>
        <v>#DIV/0!</v>
      </c>
      <c r="K118" s="12" t="e">
        <f t="shared" si="4"/>
        <v>#DIV/0!</v>
      </c>
      <c r="L118" s="12" t="e">
        <f t="shared" si="5"/>
        <v>#DIV/0!</v>
      </c>
      <c r="M118" s="12" t="e">
        <f t="shared" si="6"/>
        <v>#DIV/0!</v>
      </c>
      <c r="R118" t="e">
        <f t="shared" si="7"/>
        <v>#DIV/0!</v>
      </c>
      <c r="S118" s="2" t="e">
        <f t="shared" si="8"/>
        <v>#DIV/0!</v>
      </c>
      <c r="T118" s="6" t="e">
        <f t="shared" si="9"/>
        <v>#DIV/0!</v>
      </c>
      <c r="U118" s="2" t="e">
        <f t="shared" si="10"/>
        <v>#DIV/0!</v>
      </c>
      <c r="V118" t="e">
        <f t="shared" si="11"/>
        <v>#DIV/0!</v>
      </c>
      <c r="W118" s="2" t="e">
        <f t="shared" si="12"/>
        <v>#DIV/0!</v>
      </c>
      <c r="X118" t="e">
        <f t="shared" si="13"/>
        <v>#DIV/0!</v>
      </c>
      <c r="Y118" s="2" t="e">
        <f t="shared" si="14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9" ht="12">
      <c r="A121" t="s">
        <v>128</v>
      </c>
      <c r="C121">
        <v>2</v>
      </c>
      <c r="D121">
        <v>1</v>
      </c>
      <c r="E121">
        <v>8</v>
      </c>
      <c r="F121" s="12">
        <f aca="true" t="shared" si="15" ref="F121:F126">+E121/C121</f>
        <v>4</v>
      </c>
      <c r="G121">
        <v>8</v>
      </c>
      <c r="I121">
        <v>1</v>
      </c>
    </row>
    <row r="122" spans="1:6" ht="12">
      <c r="A122" t="s">
        <v>134</v>
      </c>
      <c r="F122" s="12" t="e">
        <f t="shared" si="15"/>
        <v>#DIV/0!</v>
      </c>
    </row>
    <row r="123" spans="1:7" ht="12">
      <c r="A123" t="s">
        <v>135</v>
      </c>
      <c r="C123">
        <v>1</v>
      </c>
      <c r="E123">
        <v>23</v>
      </c>
      <c r="F123" s="12">
        <f t="shared" si="15"/>
        <v>23</v>
      </c>
      <c r="G123">
        <v>23</v>
      </c>
    </row>
    <row r="124" ht="12">
      <c r="F124" s="12" t="e">
        <f t="shared" si="15"/>
        <v>#DIV/0!</v>
      </c>
    </row>
    <row r="125" ht="12">
      <c r="F125" s="12" t="e">
        <f t="shared" si="15"/>
        <v>#DIV/0!</v>
      </c>
    </row>
    <row r="126" ht="12">
      <c r="F126" s="12" t="e">
        <f t="shared" si="15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6" ref="E131:E136">+D131/C131</f>
        <v>#DIV/0!</v>
      </c>
    </row>
    <row r="132" spans="1:5" ht="12">
      <c r="A132" t="s">
        <v>137</v>
      </c>
      <c r="E132" s="12" t="e">
        <f t="shared" si="16"/>
        <v>#DIV/0!</v>
      </c>
    </row>
    <row r="133" spans="1:5" ht="12">
      <c r="A133" t="s">
        <v>116</v>
      </c>
      <c r="E133" s="12" t="e">
        <f t="shared" si="16"/>
        <v>#DIV/0!</v>
      </c>
    </row>
    <row r="134" spans="1:6" ht="12">
      <c r="A134" t="s">
        <v>128</v>
      </c>
      <c r="C134">
        <v>2</v>
      </c>
      <c r="D134">
        <v>31</v>
      </c>
      <c r="E134" s="12">
        <f t="shared" si="16"/>
        <v>15.5</v>
      </c>
      <c r="F134">
        <v>18</v>
      </c>
    </row>
    <row r="135" spans="1:6" ht="12">
      <c r="A135" t="s">
        <v>134</v>
      </c>
      <c r="C135">
        <v>1</v>
      </c>
      <c r="D135">
        <v>9</v>
      </c>
      <c r="E135" s="12">
        <f t="shared" si="16"/>
        <v>9</v>
      </c>
      <c r="F135">
        <v>9</v>
      </c>
    </row>
    <row r="136" spans="1:5" ht="12">
      <c r="A136" t="s">
        <v>119</v>
      </c>
      <c r="E136" s="12" t="e">
        <f t="shared" si="16"/>
        <v>#DIV/0!</v>
      </c>
    </row>
    <row r="137" spans="1:6" ht="12">
      <c r="A137" t="s">
        <v>135</v>
      </c>
      <c r="C137">
        <v>1</v>
      </c>
      <c r="D137">
        <v>17</v>
      </c>
      <c r="E137" s="12">
        <f>+D137/C137</f>
        <v>17</v>
      </c>
      <c r="F137">
        <v>17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4</v>
      </c>
      <c r="D143">
        <f>41+31+46+33</f>
        <v>151</v>
      </c>
      <c r="F143">
        <v>46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19" ht="12">
      <c r="A151" t="s">
        <v>140</v>
      </c>
      <c r="C151">
        <v>4</v>
      </c>
      <c r="D151">
        <v>1</v>
      </c>
      <c r="E151">
        <v>1</v>
      </c>
      <c r="G151">
        <v>4</v>
      </c>
      <c r="H151">
        <v>3</v>
      </c>
      <c r="I151" s="12">
        <f>+H151/G151*100</f>
        <v>75</v>
      </c>
      <c r="J151">
        <v>49</v>
      </c>
      <c r="N151">
        <v>1</v>
      </c>
      <c r="O151">
        <v>1</v>
      </c>
      <c r="P151">
        <v>1</v>
      </c>
      <c r="R151">
        <v>2</v>
      </c>
      <c r="S151">
        <v>2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7" ref="E157:E163">+D157/C157</f>
        <v>#DIV/0!</v>
      </c>
    </row>
    <row r="158" spans="1:5" ht="12">
      <c r="A158" t="s">
        <v>143</v>
      </c>
      <c r="E158" s="12" t="e">
        <f t="shared" si="17"/>
        <v>#DIV/0!</v>
      </c>
    </row>
    <row r="159" spans="1:5" ht="12">
      <c r="A159" t="s">
        <v>144</v>
      </c>
      <c r="E159" s="12" t="e">
        <f t="shared" si="17"/>
        <v>#DIV/0!</v>
      </c>
    </row>
    <row r="160" spans="1:5" ht="12">
      <c r="A160" t="s">
        <v>145</v>
      </c>
      <c r="E160" s="12" t="e">
        <f t="shared" si="17"/>
        <v>#DIV/0!</v>
      </c>
    </row>
    <row r="161" spans="1:5" ht="12">
      <c r="A161" t="s">
        <v>146</v>
      </c>
      <c r="E161" s="12" t="e">
        <f t="shared" si="17"/>
        <v>#DIV/0!</v>
      </c>
    </row>
    <row r="162" ht="12">
      <c r="E162" s="12" t="e">
        <f t="shared" si="17"/>
        <v>#DIV/0!</v>
      </c>
    </row>
    <row r="163" ht="12">
      <c r="E163" s="12" t="e">
        <f t="shared" si="17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/>
      <c r="D172" s="3"/>
    </row>
    <row r="173" spans="1:4" ht="12">
      <c r="A173" t="s">
        <v>148</v>
      </c>
      <c r="C173" s="3">
        <v>0.5</v>
      </c>
      <c r="D173" s="3">
        <v>7</v>
      </c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/>
      <c r="D176" s="3"/>
    </row>
    <row r="177" spans="1:4" ht="12">
      <c r="A177" t="s">
        <v>151</v>
      </c>
      <c r="C177" s="3">
        <v>0.5</v>
      </c>
      <c r="D177" s="3">
        <v>7</v>
      </c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ht="12">
      <c r="A241" t="s">
        <v>151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C20" sqref="C20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710937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12</v>
      </c>
      <c r="H6" s="1" t="s">
        <v>29</v>
      </c>
      <c r="M6" s="2">
        <v>26</v>
      </c>
    </row>
    <row r="7" spans="1:13" ht="12">
      <c r="A7" s="18" t="s">
        <v>95</v>
      </c>
      <c r="D7" s="2">
        <v>1</v>
      </c>
      <c r="H7" s="18" t="s">
        <v>95</v>
      </c>
      <c r="M7" s="2">
        <v>13</v>
      </c>
    </row>
    <row r="8" spans="1:13" ht="12">
      <c r="A8" s="18" t="s">
        <v>96</v>
      </c>
      <c r="D8" s="2">
        <v>10</v>
      </c>
      <c r="H8" s="18" t="s">
        <v>96</v>
      </c>
      <c r="M8" s="2">
        <v>11</v>
      </c>
    </row>
    <row r="9" spans="1:13" ht="12">
      <c r="A9" s="18" t="s">
        <v>97</v>
      </c>
      <c r="D9" s="2">
        <v>1</v>
      </c>
      <c r="H9" s="18" t="s">
        <v>97</v>
      </c>
      <c r="M9" s="2">
        <v>2</v>
      </c>
    </row>
    <row r="10" spans="1:14" ht="12">
      <c r="A10" s="21" t="s">
        <v>168</v>
      </c>
      <c r="C10">
        <v>4</v>
      </c>
      <c r="D10" s="2">
        <v>12</v>
      </c>
      <c r="E10" s="22">
        <f>+C10/D10</f>
        <v>0.3333333333333333</v>
      </c>
      <c r="H10" s="21" t="s">
        <v>171</v>
      </c>
      <c r="L10">
        <v>8</v>
      </c>
      <c r="M10" s="2">
        <v>18</v>
      </c>
      <c r="N10" s="22">
        <f>+L10/M10</f>
        <v>0.4444444444444444</v>
      </c>
    </row>
    <row r="12" spans="1:23" ht="12">
      <c r="A12" t="s">
        <v>1</v>
      </c>
      <c r="D12" s="2">
        <f>4+2+3+2+2+1+1</f>
        <v>15</v>
      </c>
      <c r="H12" t="s">
        <v>1</v>
      </c>
      <c r="M12" s="2">
        <f>14+16+6+1+4+5+1</f>
        <v>47</v>
      </c>
      <c r="V12">
        <f>+D12</f>
        <v>15</v>
      </c>
      <c r="W12">
        <f>+M12</f>
        <v>47</v>
      </c>
    </row>
    <row r="13" spans="1:23" ht="12">
      <c r="A13" t="s">
        <v>2</v>
      </c>
      <c r="D13" s="2">
        <v>32</v>
      </c>
      <c r="H13" t="s">
        <v>2</v>
      </c>
      <c r="M13" s="2">
        <f>74+54+27+9+0-1+37</f>
        <v>200</v>
      </c>
      <c r="U13" s="13"/>
      <c r="V13">
        <f>+D17</f>
        <v>15</v>
      </c>
      <c r="W13">
        <f>+M17</f>
        <v>16</v>
      </c>
    </row>
    <row r="14" spans="1:23" ht="12">
      <c r="A14" s="1" t="s">
        <v>3</v>
      </c>
      <c r="D14" s="8">
        <f>+D13/D12</f>
        <v>2.1333333333333333</v>
      </c>
      <c r="H14" s="1" t="s">
        <v>3</v>
      </c>
      <c r="M14" s="8">
        <f>+M13/M12</f>
        <v>4.25531914893617</v>
      </c>
      <c r="V14">
        <f>+(D16-D17)/2</f>
        <v>7</v>
      </c>
      <c r="W14">
        <f>+(M16-M17)/2</f>
        <v>6</v>
      </c>
    </row>
    <row r="15" spans="22:23" ht="12">
      <c r="V15">
        <f>+D39/2</f>
        <v>3.5</v>
      </c>
      <c r="W15">
        <f>+M39/2</f>
        <v>2.5</v>
      </c>
    </row>
    <row r="16" spans="1:23" ht="12">
      <c r="A16" t="s">
        <v>4</v>
      </c>
      <c r="D16" s="2">
        <v>29</v>
      </c>
      <c r="H16" t="s">
        <v>4</v>
      </c>
      <c r="M16" s="2">
        <v>28</v>
      </c>
      <c r="V16">
        <f>+D43/2</f>
        <v>1</v>
      </c>
      <c r="W16">
        <f>+M43/2</f>
        <v>2.5</v>
      </c>
    </row>
    <row r="17" spans="1:23" ht="12">
      <c r="A17" t="s">
        <v>5</v>
      </c>
      <c r="D17" s="2">
        <v>15</v>
      </c>
      <c r="H17" t="s">
        <v>5</v>
      </c>
      <c r="M17" s="2">
        <v>16</v>
      </c>
      <c r="V17">
        <f>+D48/2</f>
        <v>3</v>
      </c>
      <c r="W17">
        <f>+M48/2</f>
        <v>0.5</v>
      </c>
    </row>
    <row r="18" spans="1:13" ht="12">
      <c r="A18" t="s">
        <v>6</v>
      </c>
      <c r="D18" s="8">
        <f>+D17/D16*100</f>
        <v>51.724137931034484</v>
      </c>
      <c r="H18" t="s">
        <v>6</v>
      </c>
      <c r="M18" s="8">
        <f>+M17/M16*100</f>
        <v>57.14285714285714</v>
      </c>
    </row>
    <row r="19" spans="1:24" ht="12">
      <c r="A19" t="s">
        <v>7</v>
      </c>
      <c r="D19" s="2">
        <v>206</v>
      </c>
      <c r="H19" t="s">
        <v>7</v>
      </c>
      <c r="M19" s="2">
        <v>180</v>
      </c>
      <c r="V19">
        <f>SUM(V12:V17)</f>
        <v>44.5</v>
      </c>
      <c r="W19">
        <f>SUM(W12:W17)</f>
        <v>74.5</v>
      </c>
      <c r="X19">
        <f>+W19+V19</f>
        <v>119</v>
      </c>
    </row>
    <row r="20" spans="1:23" ht="12">
      <c r="A20" t="s">
        <v>8</v>
      </c>
      <c r="D20" s="2">
        <v>4</v>
      </c>
      <c r="H20" t="s">
        <v>8</v>
      </c>
      <c r="M20" s="2">
        <v>6</v>
      </c>
      <c r="V20">
        <f>+V19/X19</f>
        <v>0.3739495798319328</v>
      </c>
      <c r="W20">
        <f>+W19/X19</f>
        <v>0.6260504201680672</v>
      </c>
    </row>
    <row r="21" spans="1:23" ht="12">
      <c r="A21" t="s">
        <v>9</v>
      </c>
      <c r="D21" s="2">
        <v>23</v>
      </c>
      <c r="H21" t="s">
        <v>9</v>
      </c>
      <c r="M21" s="2">
        <f>9+12+9+8+9+4</f>
        <v>51</v>
      </c>
      <c r="V21">
        <f>+V20*60</f>
        <v>22.436974789915965</v>
      </c>
      <c r="W21">
        <f>+W20*60</f>
        <v>37.563025210084035</v>
      </c>
    </row>
    <row r="22" spans="1:23" ht="12">
      <c r="A22" t="s">
        <v>10</v>
      </c>
      <c r="D22">
        <f>+D19-D21</f>
        <v>183</v>
      </c>
      <c r="H22" t="s">
        <v>10</v>
      </c>
      <c r="M22">
        <f>+M19-M21</f>
        <v>129</v>
      </c>
      <c r="V22">
        <f>+V21-INT(V21)</f>
        <v>0.43697478991596483</v>
      </c>
      <c r="W22">
        <f>+W21-INT(W21)</f>
        <v>0.5630252100840352</v>
      </c>
    </row>
    <row r="23" spans="1:23" ht="12">
      <c r="A23" t="s">
        <v>11</v>
      </c>
      <c r="D23" s="7">
        <f>+D22/(D16+D20)</f>
        <v>5.545454545454546</v>
      </c>
      <c r="H23" t="s">
        <v>11</v>
      </c>
      <c r="M23" s="7">
        <f>+M22/(M16+M20)</f>
        <v>3.7941176470588234</v>
      </c>
      <c r="V23">
        <f>+V22*60</f>
        <v>26.21848739495789</v>
      </c>
      <c r="W23">
        <f>+W22*60</f>
        <v>33.78151260504211</v>
      </c>
    </row>
    <row r="24" spans="1:23" ht="12">
      <c r="A24" t="s">
        <v>12</v>
      </c>
      <c r="D24" s="7">
        <f>+D19/D17</f>
        <v>13.733333333333333</v>
      </c>
      <c r="H24" t="s">
        <v>12</v>
      </c>
      <c r="M24" s="7">
        <f>+M19/M17</f>
        <v>11.25</v>
      </c>
      <c r="U24">
        <v>0</v>
      </c>
      <c r="V24" s="11">
        <f>ROUND(V23,0)</f>
        <v>26</v>
      </c>
      <c r="W24">
        <f>ROUND(W23,0)</f>
        <v>34</v>
      </c>
    </row>
    <row r="25" spans="22:23" ht="12">
      <c r="V25">
        <f>INT(V21)</f>
        <v>22</v>
      </c>
      <c r="W25">
        <f>INT(W21)</f>
        <v>37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215</v>
      </c>
      <c r="H27" t="s">
        <v>14</v>
      </c>
      <c r="M27">
        <f>+M22+M13</f>
        <v>329</v>
      </c>
      <c r="Q27" s="9"/>
      <c r="R27" s="9"/>
      <c r="V27" s="14" t="str">
        <f>+V25&amp;V26&amp;V24</f>
        <v>22:26</v>
      </c>
      <c r="W27" s="9" t="str">
        <f>+W25&amp;W26&amp;W24</f>
        <v>37:34</v>
      </c>
    </row>
    <row r="28" spans="1:23" ht="12">
      <c r="A28" t="s">
        <v>15</v>
      </c>
      <c r="D28" s="7">
        <f>+D13/D27*100</f>
        <v>14.883720930232558</v>
      </c>
      <c r="H28" t="s">
        <v>15</v>
      </c>
      <c r="M28" s="7">
        <f>+M13/M27*100</f>
        <v>60.790273556231</v>
      </c>
      <c r="V28" s="9" t="str">
        <f>IF(V24&lt;10,+V25&amp;V26&amp;$U$24&amp;V24,+V25&amp;V26&amp;V24)</f>
        <v>22:26</v>
      </c>
      <c r="W28" s="9" t="str">
        <f>IF(W24&lt;10,+W25&amp;W26&amp;$U$24&amp;W24,+W25&amp;W26&amp;W24)</f>
        <v>37:34</v>
      </c>
    </row>
    <row r="29" spans="1:13" ht="12">
      <c r="A29" s="1" t="s">
        <v>90</v>
      </c>
      <c r="D29" s="7">
        <f>+D22/D27*100</f>
        <v>85.11627906976744</v>
      </c>
      <c r="H29" s="1" t="s">
        <v>90</v>
      </c>
      <c r="M29" s="7">
        <f>+M22/M27*100</f>
        <v>39.209726443769</v>
      </c>
    </row>
    <row r="31" spans="1:13" ht="12">
      <c r="A31" t="s">
        <v>16</v>
      </c>
      <c r="D31">
        <f>+D12+D16+D20</f>
        <v>48</v>
      </c>
      <c r="H31" t="s">
        <v>16</v>
      </c>
      <c r="M31">
        <f>+M12+M16+M20</f>
        <v>81</v>
      </c>
    </row>
    <row r="32" spans="1:13" ht="12">
      <c r="A32" t="s">
        <v>17</v>
      </c>
      <c r="D32" s="8">
        <f>+D27/D31</f>
        <v>4.479166666666667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4.061728395061729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0</v>
      </c>
      <c r="H35" t="s">
        <v>19</v>
      </c>
      <c r="M35" s="2">
        <v>0</v>
      </c>
    </row>
    <row r="36" spans="1:13" ht="12">
      <c r="A36" t="s">
        <v>20</v>
      </c>
      <c r="D36" s="2">
        <v>0</v>
      </c>
      <c r="H36" t="s">
        <v>20</v>
      </c>
      <c r="M36" s="2">
        <v>0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7</v>
      </c>
      <c r="H39" t="s">
        <v>22</v>
      </c>
      <c r="M39" s="2">
        <v>5</v>
      </c>
    </row>
    <row r="40" spans="1:13" ht="12">
      <c r="A40" t="s">
        <v>23</v>
      </c>
      <c r="D40" s="2">
        <f>40+32+28+31+34+32+34</f>
        <v>231</v>
      </c>
      <c r="G40" t="str">
        <f>IF(D40=SUM(D142:D144),"ok","ERR")</f>
        <v>ok</v>
      </c>
      <c r="H40" t="s">
        <v>23</v>
      </c>
      <c r="M40" s="2">
        <f>24+32+22+33+40</f>
        <v>151</v>
      </c>
    </row>
    <row r="41" spans="1:13" ht="12">
      <c r="A41" t="s">
        <v>24</v>
      </c>
      <c r="D41" s="8">
        <f>+D40/D39</f>
        <v>33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30.2</v>
      </c>
    </row>
    <row r="43" spans="1:13" ht="12">
      <c r="A43" t="s">
        <v>25</v>
      </c>
      <c r="D43" s="2">
        <v>2</v>
      </c>
      <c r="H43" t="s">
        <v>25</v>
      </c>
      <c r="M43" s="2">
        <v>5</v>
      </c>
    </row>
    <row r="44" spans="1:13" ht="12">
      <c r="A44" t="s">
        <v>26</v>
      </c>
      <c r="D44" s="2">
        <v>51</v>
      </c>
      <c r="H44" t="s">
        <v>26</v>
      </c>
      <c r="M44" s="2">
        <v>44</v>
      </c>
    </row>
    <row r="45" spans="1:13" ht="12">
      <c r="A45" t="s">
        <v>27</v>
      </c>
      <c r="D45" s="8">
        <f>+D44/D43</f>
        <v>25.5</v>
      </c>
      <c r="H45" t="s">
        <v>27</v>
      </c>
      <c r="M45" s="8">
        <f>+M44/M43</f>
        <v>8.8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6</v>
      </c>
      <c r="H48" t="s">
        <v>30</v>
      </c>
      <c r="M48" s="2">
        <v>1</v>
      </c>
    </row>
    <row r="49" spans="1:13" ht="12">
      <c r="A49" t="s">
        <v>26</v>
      </c>
      <c r="D49" s="2">
        <f>14+9+14+20+20+5</f>
        <v>82</v>
      </c>
      <c r="G49" t="str">
        <f>IF(D49=SUM(D131:D139),"ok","ERR")</f>
        <v>ok</v>
      </c>
      <c r="H49" t="s">
        <v>26</v>
      </c>
      <c r="M49" s="2">
        <v>29</v>
      </c>
    </row>
    <row r="50" spans="1:13" ht="12">
      <c r="A50" t="s">
        <v>27</v>
      </c>
      <c r="D50" s="8">
        <f>+D49/D48</f>
        <v>13.666666666666666</v>
      </c>
      <c r="H50" t="s">
        <v>27</v>
      </c>
      <c r="M50" s="8">
        <f>+M49/M48</f>
        <v>29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5</v>
      </c>
      <c r="H53" t="s">
        <v>31</v>
      </c>
      <c r="M53" s="2">
        <v>2</v>
      </c>
    </row>
    <row r="54" spans="1:13" ht="12">
      <c r="A54" t="s">
        <v>32</v>
      </c>
      <c r="D54" s="2">
        <v>29</v>
      </c>
      <c r="H54" t="s">
        <v>32</v>
      </c>
      <c r="M54" s="2">
        <v>15</v>
      </c>
    </row>
    <row r="56" spans="1:13" ht="12">
      <c r="A56" t="s">
        <v>33</v>
      </c>
      <c r="D56" s="2">
        <v>6</v>
      </c>
      <c r="G56" t="str">
        <f>IF(D56=SUM(H76:H105)+SUM(N113:N116)+SUM(I120:I125)+SUM(H130:H135)+SUM(H142:H144)+SUM(H154:H166)+SUM(G187:G237),"ok","ERR")</f>
        <v>ERR</v>
      </c>
      <c r="H56" t="s">
        <v>33</v>
      </c>
      <c r="M56" s="2">
        <v>1</v>
      </c>
    </row>
    <row r="57" spans="1:13" ht="12">
      <c r="A57" t="s">
        <v>34</v>
      </c>
      <c r="D57" s="2">
        <v>1</v>
      </c>
      <c r="H57" t="s">
        <v>34</v>
      </c>
      <c r="M57" s="2">
        <v>1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0</v>
      </c>
      <c r="H59" t="s">
        <v>36</v>
      </c>
      <c r="M59" s="2">
        <v>5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6" ht="12">
      <c r="A62" t="s">
        <v>38</v>
      </c>
      <c r="D62" s="2">
        <v>10</v>
      </c>
      <c r="H62" t="s">
        <v>38</v>
      </c>
      <c r="M62" s="2">
        <v>34</v>
      </c>
      <c r="N62" t="str">
        <f>IF(K62=K63*6+K68*2+K69*3+K67,"ok","ERR")</f>
        <v>ok</v>
      </c>
      <c r="P62" t="str">
        <f>IF(M62=M63*6+M68*2+M69*3+M67,"ok","ERR")</f>
        <v>ok</v>
      </c>
    </row>
    <row r="63" spans="1:13" ht="12">
      <c r="A63" t="s">
        <v>39</v>
      </c>
      <c r="D63" s="2">
        <v>1</v>
      </c>
      <c r="H63" t="s">
        <v>39</v>
      </c>
      <c r="M63" s="2">
        <v>4</v>
      </c>
    </row>
    <row r="64" spans="1:13" ht="12">
      <c r="A64" t="s">
        <v>40</v>
      </c>
      <c r="D64" s="2">
        <v>0</v>
      </c>
      <c r="G64" t="str">
        <f>IF(D64=SUM(G76:G87),"ok","ERR")</f>
        <v>ok</v>
      </c>
      <c r="H64" t="s">
        <v>40</v>
      </c>
      <c r="M64" s="2">
        <v>1</v>
      </c>
    </row>
    <row r="65" spans="1:13" ht="12">
      <c r="A65" t="s">
        <v>41</v>
      </c>
      <c r="D65" s="2">
        <v>1</v>
      </c>
      <c r="H65" t="s">
        <v>41</v>
      </c>
      <c r="M65" s="2">
        <v>3</v>
      </c>
    </row>
    <row r="66" spans="1:13" ht="12">
      <c r="A66" t="s">
        <v>42</v>
      </c>
      <c r="D66" s="2">
        <v>0</v>
      </c>
      <c r="H66" t="s">
        <v>42</v>
      </c>
      <c r="M66" s="2">
        <v>0</v>
      </c>
    </row>
    <row r="67" spans="1:13" ht="12">
      <c r="A67" t="s">
        <v>43</v>
      </c>
      <c r="D67" s="2">
        <v>1</v>
      </c>
      <c r="H67" t="s">
        <v>43</v>
      </c>
      <c r="M67" s="2">
        <v>4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1</v>
      </c>
      <c r="H69" t="s">
        <v>45</v>
      </c>
      <c r="M69" s="2">
        <v>2</v>
      </c>
    </row>
    <row r="70" spans="1:13" ht="12">
      <c r="A70" t="s">
        <v>46</v>
      </c>
      <c r="D70" s="2">
        <v>1</v>
      </c>
      <c r="H70" t="s">
        <v>46</v>
      </c>
      <c r="M70" s="2">
        <v>4</v>
      </c>
    </row>
    <row r="71" spans="1:13" ht="12">
      <c r="A71" t="s">
        <v>47</v>
      </c>
      <c r="D71" s="8">
        <f>+D69/D70*100</f>
        <v>100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50</v>
      </c>
    </row>
    <row r="72" spans="1:13" ht="12">
      <c r="A72" t="s">
        <v>93</v>
      </c>
      <c r="D72" s="10" t="str">
        <f>IF(V24&lt;10,V28,V27)</f>
        <v>22:26</v>
      </c>
      <c r="E72" s="8"/>
      <c r="F72" s="8"/>
      <c r="H72" t="s">
        <v>93</v>
      </c>
      <c r="M72" s="10" t="str">
        <f>IF(W24&lt;10,W28,W27)</f>
        <v>37:34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8" ht="12">
      <c r="A76" t="s">
        <v>112</v>
      </c>
      <c r="C76">
        <v>2</v>
      </c>
      <c r="D76">
        <v>3</v>
      </c>
      <c r="E76" s="12">
        <f>+D76/C76</f>
        <v>1.5</v>
      </c>
      <c r="F76">
        <v>3</v>
      </c>
      <c r="H76">
        <v>1</v>
      </c>
    </row>
    <row r="77" spans="1:5" ht="12">
      <c r="A77" t="s">
        <v>113</v>
      </c>
      <c r="E77" s="12" t="e">
        <f>+D77/C77</f>
        <v>#DIV/0!</v>
      </c>
    </row>
    <row r="78" spans="1:6" ht="12">
      <c r="A78" t="s">
        <v>114</v>
      </c>
      <c r="C78">
        <v>2</v>
      </c>
      <c r="D78">
        <v>13</v>
      </c>
      <c r="E78" s="12">
        <f>+D78/C78</f>
        <v>6.5</v>
      </c>
      <c r="F78">
        <v>10</v>
      </c>
    </row>
    <row r="79" spans="1:5" ht="12">
      <c r="A79" t="s">
        <v>115</v>
      </c>
      <c r="C79">
        <v>3</v>
      </c>
      <c r="D79">
        <v>-3</v>
      </c>
      <c r="E79" s="12">
        <f aca="true" t="shared" si="0" ref="E79:E85">+D79/C79</f>
        <v>-1</v>
      </c>
    </row>
    <row r="80" spans="1:5" ht="12">
      <c r="A80" t="s">
        <v>116</v>
      </c>
      <c r="E80" s="12" t="e">
        <f t="shared" si="0"/>
        <v>#DIV/0!</v>
      </c>
    </row>
    <row r="81" spans="1:6" ht="12">
      <c r="A81" t="s">
        <v>117</v>
      </c>
      <c r="C81">
        <v>2</v>
      </c>
      <c r="D81">
        <v>4</v>
      </c>
      <c r="E81" s="12">
        <f t="shared" si="0"/>
        <v>2</v>
      </c>
      <c r="F81">
        <v>4</v>
      </c>
    </row>
    <row r="82" spans="1:5" ht="12">
      <c r="A82" t="s">
        <v>118</v>
      </c>
      <c r="E82" s="12" t="e">
        <f t="shared" si="0"/>
        <v>#DIV/0!</v>
      </c>
    </row>
    <row r="83" spans="1:5" ht="12">
      <c r="A83" t="s">
        <v>119</v>
      </c>
      <c r="E83" s="12" t="e">
        <f t="shared" si="0"/>
        <v>#DIV/0!</v>
      </c>
    </row>
    <row r="84" spans="1:6" ht="12">
      <c r="A84" t="s">
        <v>120</v>
      </c>
      <c r="C84">
        <v>1</v>
      </c>
      <c r="D84">
        <v>10</v>
      </c>
      <c r="E84" s="12">
        <f t="shared" si="0"/>
        <v>10</v>
      </c>
      <c r="F84">
        <v>10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C86">
        <v>1</v>
      </c>
      <c r="E86" s="12">
        <f>+D86/C86</f>
        <v>0</v>
      </c>
    </row>
    <row r="87" spans="1:6" ht="12">
      <c r="A87" t="s">
        <v>123</v>
      </c>
      <c r="C87">
        <v>4</v>
      </c>
      <c r="D87">
        <v>5</v>
      </c>
      <c r="E87" s="12">
        <f>+D87/C87</f>
        <v>1.25</v>
      </c>
      <c r="F87">
        <v>7</v>
      </c>
    </row>
    <row r="88" spans="1:5" ht="12">
      <c r="A88" t="s">
        <v>124</v>
      </c>
      <c r="E88" s="8"/>
    </row>
    <row r="89" spans="1:5" ht="12">
      <c r="A89" t="s">
        <v>125</v>
      </c>
      <c r="E89" s="8"/>
    </row>
    <row r="90" spans="4:5" ht="12">
      <c r="D90">
        <f>SUM(D76:D87)</f>
        <v>32</v>
      </c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5" ht="12">
      <c r="A94" t="s">
        <v>113</v>
      </c>
      <c r="E94" s="12" t="e">
        <f t="shared" si="1"/>
        <v>#DIV/0!</v>
      </c>
    </row>
    <row r="95" spans="1:6" ht="12">
      <c r="A95" t="s">
        <v>114</v>
      </c>
      <c r="C95">
        <v>1</v>
      </c>
      <c r="D95">
        <v>33</v>
      </c>
      <c r="E95" s="12">
        <f t="shared" si="1"/>
        <v>33</v>
      </c>
      <c r="F95">
        <v>33</v>
      </c>
    </row>
    <row r="96" spans="1:6" ht="12">
      <c r="A96" t="s">
        <v>115</v>
      </c>
      <c r="C96">
        <v>2</v>
      </c>
      <c r="D96">
        <v>22</v>
      </c>
      <c r="E96" s="12">
        <f t="shared" si="1"/>
        <v>11</v>
      </c>
      <c r="F96">
        <v>12</v>
      </c>
    </row>
    <row r="97" spans="1:5" ht="12">
      <c r="A97" t="s">
        <v>117</v>
      </c>
      <c r="E97" s="12" t="e">
        <f t="shared" si="1"/>
        <v>#DIV/0!</v>
      </c>
    </row>
    <row r="98" spans="1:5" ht="12">
      <c r="A98" t="s">
        <v>128</v>
      </c>
      <c r="E98" s="12" t="e">
        <f t="shared" si="1"/>
        <v>#DIV/0!</v>
      </c>
    </row>
    <row r="99" spans="1:6" ht="12">
      <c r="A99" t="s">
        <v>119</v>
      </c>
      <c r="C99">
        <v>1</v>
      </c>
      <c r="D99">
        <v>1</v>
      </c>
      <c r="E99" s="12">
        <f t="shared" si="1"/>
        <v>1</v>
      </c>
      <c r="F99">
        <v>1</v>
      </c>
    </row>
    <row r="100" spans="1:7" ht="12">
      <c r="A100" t="s">
        <v>120</v>
      </c>
      <c r="C100">
        <v>4</v>
      </c>
      <c r="D100">
        <v>74</v>
      </c>
      <c r="E100" s="12">
        <f t="shared" si="1"/>
        <v>18.5</v>
      </c>
      <c r="F100">
        <v>42</v>
      </c>
      <c r="G100">
        <v>1</v>
      </c>
    </row>
    <row r="101" spans="1:6" ht="12">
      <c r="A101" t="s">
        <v>129</v>
      </c>
      <c r="C101">
        <v>2</v>
      </c>
      <c r="D101">
        <v>9</v>
      </c>
      <c r="E101" s="12">
        <f t="shared" si="1"/>
        <v>4.5</v>
      </c>
      <c r="F101">
        <v>7</v>
      </c>
    </row>
    <row r="102" spans="1:5" ht="12">
      <c r="A102" t="s">
        <v>130</v>
      </c>
      <c r="E102" s="12" t="e">
        <f t="shared" si="1"/>
        <v>#DIV/0!</v>
      </c>
    </row>
    <row r="103" spans="1:6" ht="12">
      <c r="A103" t="s">
        <v>122</v>
      </c>
      <c r="C103">
        <v>3</v>
      </c>
      <c r="D103">
        <v>28</v>
      </c>
      <c r="E103" s="12">
        <f t="shared" si="1"/>
        <v>9.333333333333334</v>
      </c>
      <c r="F103">
        <v>11</v>
      </c>
    </row>
    <row r="104" spans="1:5" ht="12">
      <c r="A104" t="s">
        <v>131</v>
      </c>
      <c r="E104" s="12" t="e">
        <f>+D104/C104</f>
        <v>#DIV/0!</v>
      </c>
    </row>
    <row r="105" spans="1:6" ht="12">
      <c r="A105" t="s">
        <v>132</v>
      </c>
      <c r="C105">
        <v>1</v>
      </c>
      <c r="D105">
        <v>21</v>
      </c>
      <c r="E105" s="12">
        <f>+D105/C105</f>
        <v>21</v>
      </c>
      <c r="F105">
        <v>21</v>
      </c>
    </row>
    <row r="106" spans="1:6" ht="12">
      <c r="A106" t="s">
        <v>123</v>
      </c>
      <c r="C106">
        <v>1</v>
      </c>
      <c r="D106">
        <v>18</v>
      </c>
      <c r="E106" s="12">
        <f>+D106/C106</f>
        <v>18</v>
      </c>
      <c r="F106">
        <v>18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C113">
        <v>4</v>
      </c>
      <c r="D113">
        <v>4</v>
      </c>
      <c r="E113" s="12">
        <f aca="true" t="shared" si="2" ref="E113:E118">+D113/C113*100</f>
        <v>100</v>
      </c>
      <c r="F113">
        <v>106</v>
      </c>
      <c r="G113">
        <v>1</v>
      </c>
      <c r="H113">
        <v>42</v>
      </c>
      <c r="J113" s="8">
        <f>+G113/C113*100</f>
        <v>25</v>
      </c>
      <c r="K113" s="12">
        <f aca="true" t="shared" si="3" ref="K113:K118">+I113/C113*100</f>
        <v>0</v>
      </c>
      <c r="L113" s="12">
        <f aca="true" t="shared" si="4" ref="L113:L118">+F113/C113</f>
        <v>26.5</v>
      </c>
      <c r="M113" s="12">
        <f aca="true" t="shared" si="5" ref="M113:M118">100*(S113+U113+W113+Y113)/6</f>
        <v>279.1666666666667</v>
      </c>
      <c r="R113">
        <f aca="true" t="shared" si="6" ref="R113:R118">+(E113-30)/20</f>
        <v>3.5</v>
      </c>
      <c r="S113" s="2">
        <f aca="true" t="shared" si="7" ref="S113:S118">IF(R113&lt;0,0,R113)</f>
        <v>3.5</v>
      </c>
      <c r="T113" s="6">
        <f aca="true" t="shared" si="8" ref="T113:T118">+(L113-3)/4</f>
        <v>5.875</v>
      </c>
      <c r="U113" s="2">
        <f aca="true" t="shared" si="9" ref="U113:U118">IF(T113&lt;0,0,T113)</f>
        <v>5.875</v>
      </c>
      <c r="V113">
        <f aca="true" t="shared" si="10" ref="V113:V118">+J113/5</f>
        <v>5</v>
      </c>
      <c r="W113" s="2">
        <f aca="true" t="shared" si="11" ref="W113:W118">IF(V113&lt;0,0,V113)</f>
        <v>5</v>
      </c>
      <c r="X113">
        <f aca="true" t="shared" si="12" ref="X113:X118">(9.5-K113)/4</f>
        <v>2.375</v>
      </c>
      <c r="Y113" s="2">
        <f aca="true" t="shared" si="13" ref="Y113:Y118">IF(X113&lt;0,0,X113)</f>
        <v>2.375</v>
      </c>
    </row>
    <row r="114" spans="1:25" ht="12">
      <c r="A114" t="s">
        <v>118</v>
      </c>
      <c r="E114" s="12" t="e">
        <f t="shared" si="2"/>
        <v>#DIV/0!</v>
      </c>
      <c r="J114" s="8"/>
      <c r="K114" s="12" t="e">
        <f t="shared" si="3"/>
        <v>#DIV/0!</v>
      </c>
      <c r="L114" s="12" t="e">
        <f t="shared" si="4"/>
        <v>#DIV/0!</v>
      </c>
      <c r="M114" s="12" t="e">
        <f t="shared" si="5"/>
        <v>#DIV/0!</v>
      </c>
      <c r="R114" t="e">
        <f t="shared" si="6"/>
        <v>#DIV/0!</v>
      </c>
      <c r="S114" s="2" t="e">
        <f t="shared" si="7"/>
        <v>#DIV/0!</v>
      </c>
      <c r="T114" s="6" t="e">
        <f t="shared" si="8"/>
        <v>#DIV/0!</v>
      </c>
      <c r="U114" s="2" t="e">
        <f t="shared" si="9"/>
        <v>#DIV/0!</v>
      </c>
      <c r="V114">
        <f t="shared" si="10"/>
        <v>0</v>
      </c>
      <c r="W114" s="2">
        <f t="shared" si="11"/>
        <v>0</v>
      </c>
      <c r="X114" t="e">
        <f t="shared" si="12"/>
        <v>#DIV/0!</v>
      </c>
      <c r="Y114" s="2" t="e">
        <f t="shared" si="13"/>
        <v>#DIV/0!</v>
      </c>
    </row>
    <row r="115" spans="1:25" ht="12">
      <c r="A115" t="s">
        <v>120</v>
      </c>
      <c r="E115" s="12" t="e">
        <f t="shared" si="2"/>
        <v>#DIV/0!</v>
      </c>
      <c r="J115" s="8" t="e">
        <f>+G115/C115*100</f>
        <v>#DIV/0!</v>
      </c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 t="e">
        <f t="shared" si="10"/>
        <v>#DIV/0!</v>
      </c>
      <c r="W115" s="2" t="e">
        <f t="shared" si="11"/>
        <v>#DIV/0!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/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>
        <f t="shared" si="10"/>
        <v>0</v>
      </c>
      <c r="W116" s="2">
        <f t="shared" si="11"/>
        <v>0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C117">
        <v>25</v>
      </c>
      <c r="D117">
        <v>11</v>
      </c>
      <c r="E117" s="12">
        <f t="shared" si="2"/>
        <v>44</v>
      </c>
      <c r="F117">
        <v>100</v>
      </c>
      <c r="J117" s="8"/>
      <c r="K117" s="12">
        <f t="shared" si="3"/>
        <v>0</v>
      </c>
      <c r="L117" s="12">
        <f t="shared" si="4"/>
        <v>4</v>
      </c>
      <c r="M117" s="12">
        <f t="shared" si="5"/>
        <v>55.416666666666664</v>
      </c>
      <c r="N117">
        <v>1</v>
      </c>
      <c r="O117">
        <v>4</v>
      </c>
      <c r="R117">
        <f t="shared" si="6"/>
        <v>0.7</v>
      </c>
      <c r="S117" s="2">
        <f t="shared" si="7"/>
        <v>0.7</v>
      </c>
      <c r="T117" s="6">
        <f t="shared" si="8"/>
        <v>0.25</v>
      </c>
      <c r="U117" s="2">
        <f t="shared" si="9"/>
        <v>0.25</v>
      </c>
      <c r="V117">
        <f t="shared" si="10"/>
        <v>0</v>
      </c>
      <c r="W117" s="2">
        <f t="shared" si="11"/>
        <v>0</v>
      </c>
      <c r="X117">
        <f t="shared" si="12"/>
        <v>2.375</v>
      </c>
      <c r="Y117" s="2">
        <f t="shared" si="13"/>
        <v>2.375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6" ht="12">
      <c r="A121" t="s">
        <v>128</v>
      </c>
      <c r="D121">
        <v>1</v>
      </c>
      <c r="F121" s="12" t="e">
        <f aca="true" t="shared" si="14" ref="F121:F126">+E121/C121</f>
        <v>#DIV/0!</v>
      </c>
    </row>
    <row r="122" spans="1:6" ht="12">
      <c r="A122" t="s">
        <v>134</v>
      </c>
      <c r="F122" s="12" t="e">
        <f t="shared" si="14"/>
        <v>#DIV/0!</v>
      </c>
    </row>
    <row r="123" spans="1:9" ht="12">
      <c r="A123" t="s">
        <v>135</v>
      </c>
      <c r="C123">
        <v>2</v>
      </c>
      <c r="E123">
        <v>51</v>
      </c>
      <c r="F123" s="12">
        <f t="shared" si="14"/>
        <v>25.5</v>
      </c>
      <c r="G123">
        <v>54</v>
      </c>
      <c r="I123">
        <v>2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5" ht="12">
      <c r="A132" t="s">
        <v>137</v>
      </c>
      <c r="E132" s="12" t="e">
        <f t="shared" si="15"/>
        <v>#DIV/0!</v>
      </c>
    </row>
    <row r="133" spans="1:5" ht="12">
      <c r="A133" t="s">
        <v>116</v>
      </c>
      <c r="E133" s="12" t="e">
        <f t="shared" si="15"/>
        <v>#DIV/0!</v>
      </c>
    </row>
    <row r="134" spans="1:5" ht="12">
      <c r="A134" t="s">
        <v>128</v>
      </c>
      <c r="E134" s="12" t="e">
        <f t="shared" si="15"/>
        <v>#DIV/0!</v>
      </c>
    </row>
    <row r="135" spans="1:8" ht="12">
      <c r="A135" t="s">
        <v>134</v>
      </c>
      <c r="C135">
        <v>1</v>
      </c>
      <c r="D135">
        <v>5</v>
      </c>
      <c r="E135" s="12">
        <f t="shared" si="15"/>
        <v>5</v>
      </c>
      <c r="F135">
        <v>5</v>
      </c>
      <c r="H135">
        <v>1</v>
      </c>
    </row>
    <row r="136" spans="1:6" ht="12">
      <c r="A136" t="s">
        <v>119</v>
      </c>
      <c r="C136">
        <v>1</v>
      </c>
      <c r="D136">
        <v>20</v>
      </c>
      <c r="E136" s="12">
        <f t="shared" si="15"/>
        <v>20</v>
      </c>
      <c r="F136">
        <v>20</v>
      </c>
    </row>
    <row r="137" spans="1:8" ht="12">
      <c r="A137" t="s">
        <v>135</v>
      </c>
      <c r="C137">
        <v>4</v>
      </c>
      <c r="D137">
        <f>14+9+14+20</f>
        <v>57</v>
      </c>
      <c r="E137" s="12">
        <f>+D137/C137</f>
        <v>14.25</v>
      </c>
      <c r="F137">
        <v>20</v>
      </c>
      <c r="H137">
        <v>1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7</v>
      </c>
      <c r="D143">
        <f>40+32+28+31+34+32+34</f>
        <v>231</v>
      </c>
      <c r="F143">
        <v>40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17" ht="12">
      <c r="A151" t="s">
        <v>140</v>
      </c>
      <c r="C151">
        <v>3</v>
      </c>
      <c r="D151">
        <v>2</v>
      </c>
      <c r="E151">
        <v>1</v>
      </c>
      <c r="F151">
        <v>1</v>
      </c>
      <c r="G151">
        <v>1</v>
      </c>
      <c r="H151">
        <v>1</v>
      </c>
      <c r="I151" s="12">
        <f>+H151/G151*100</f>
        <v>100</v>
      </c>
      <c r="J151">
        <v>35</v>
      </c>
      <c r="P151">
        <v>1</v>
      </c>
      <c r="Q151">
        <v>1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5" ht="12">
      <c r="A158" t="s">
        <v>143</v>
      </c>
      <c r="E158" s="12" t="e">
        <f t="shared" si="16"/>
        <v>#DIV/0!</v>
      </c>
    </row>
    <row r="159" spans="1:5" ht="12">
      <c r="A159" t="s">
        <v>144</v>
      </c>
      <c r="E159" s="12" t="e">
        <f t="shared" si="16"/>
        <v>#DIV/0!</v>
      </c>
    </row>
    <row r="160" spans="1:5" ht="12">
      <c r="A160" t="s">
        <v>145</v>
      </c>
      <c r="E160" s="12" t="e">
        <f t="shared" si="16"/>
        <v>#DIV/0!</v>
      </c>
    </row>
    <row r="161" spans="1:5" ht="12">
      <c r="A161" t="s">
        <v>146</v>
      </c>
      <c r="E161" s="12" t="e">
        <f t="shared" si="16"/>
        <v>#DIV/0!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>
        <v>1</v>
      </c>
      <c r="D171" s="3">
        <v>12</v>
      </c>
    </row>
    <row r="172" spans="1:4" ht="12">
      <c r="A172" t="s">
        <v>147</v>
      </c>
      <c r="C172" s="3">
        <v>1</v>
      </c>
      <c r="D172" s="3">
        <v>8</v>
      </c>
    </row>
    <row r="173" spans="1:4" ht="12">
      <c r="A173" t="s">
        <v>148</v>
      </c>
      <c r="C173" s="3">
        <v>1</v>
      </c>
      <c r="D173" s="3">
        <v>8</v>
      </c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>
        <v>2</v>
      </c>
      <c r="D176" s="3">
        <v>19</v>
      </c>
    </row>
    <row r="177" spans="1:4" ht="12">
      <c r="A177" t="s">
        <v>151</v>
      </c>
      <c r="C177" s="3">
        <v>1</v>
      </c>
      <c r="D177" s="3">
        <v>4</v>
      </c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spans="1:3" ht="12">
      <c r="A216" t="s">
        <v>128</v>
      </c>
      <c r="C216">
        <v>1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ht="12">
      <c r="A241" t="s">
        <v>151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F76" sqref="F76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18</v>
      </c>
      <c r="H6" s="1" t="s">
        <v>29</v>
      </c>
      <c r="M6" s="2">
        <v>23</v>
      </c>
    </row>
    <row r="7" spans="1:13" ht="12">
      <c r="A7" s="18" t="s">
        <v>95</v>
      </c>
      <c r="D7" s="2">
        <v>6</v>
      </c>
      <c r="H7" s="18" t="s">
        <v>95</v>
      </c>
      <c r="M7" s="2">
        <v>6</v>
      </c>
    </row>
    <row r="8" spans="1:13" ht="12">
      <c r="A8" s="18" t="s">
        <v>96</v>
      </c>
      <c r="D8" s="2">
        <v>11</v>
      </c>
      <c r="H8" s="18" t="s">
        <v>96</v>
      </c>
      <c r="M8" s="2">
        <v>16</v>
      </c>
    </row>
    <row r="9" spans="1:13" ht="12">
      <c r="A9" s="18" t="s">
        <v>97</v>
      </c>
      <c r="D9" s="2">
        <v>1</v>
      </c>
      <c r="H9" s="18" t="s">
        <v>97</v>
      </c>
      <c r="M9" s="2">
        <v>1</v>
      </c>
    </row>
    <row r="10" spans="1:14" ht="12">
      <c r="A10" s="21" t="s">
        <v>168</v>
      </c>
      <c r="C10">
        <v>8</v>
      </c>
      <c r="D10" s="2">
        <v>13</v>
      </c>
      <c r="E10" s="22">
        <f>+C10/D10</f>
        <v>0.6153846153846154</v>
      </c>
      <c r="H10" s="21" t="s">
        <v>168</v>
      </c>
      <c r="L10">
        <v>2</v>
      </c>
      <c r="M10" s="2">
        <v>9</v>
      </c>
      <c r="N10" s="22">
        <f>+L10/M10</f>
        <v>0.2222222222222222</v>
      </c>
    </row>
    <row r="12" spans="1:23" ht="12">
      <c r="A12" t="s">
        <v>1</v>
      </c>
      <c r="D12" s="2">
        <f>13+7+7+5+4</f>
        <v>36</v>
      </c>
      <c r="H12" t="s">
        <v>1</v>
      </c>
      <c r="M12" s="2">
        <f>6+7+8+1+2+4</f>
        <v>28</v>
      </c>
      <c r="V12">
        <f>+D12</f>
        <v>36</v>
      </c>
      <c r="W12">
        <f>+M12</f>
        <v>28</v>
      </c>
    </row>
    <row r="13" spans="1:23" ht="12">
      <c r="A13" t="s">
        <v>2</v>
      </c>
      <c r="D13" s="2">
        <f>27+35+0+18+14</f>
        <v>94</v>
      </c>
      <c r="H13" t="s">
        <v>2</v>
      </c>
      <c r="M13" s="2">
        <f>40+0+38+0+16+7</f>
        <v>101</v>
      </c>
      <c r="U13" s="13"/>
      <c r="V13">
        <f>+D17</f>
        <v>19</v>
      </c>
      <c r="W13">
        <f>+M17</f>
        <v>19</v>
      </c>
    </row>
    <row r="14" spans="1:23" ht="12">
      <c r="A14" s="1" t="s">
        <v>3</v>
      </c>
      <c r="D14" s="8">
        <f>+D13/D12</f>
        <v>2.611111111111111</v>
      </c>
      <c r="H14" s="1" t="s">
        <v>3</v>
      </c>
      <c r="M14" s="8">
        <f>+M13/M12</f>
        <v>3.607142857142857</v>
      </c>
      <c r="V14">
        <f>+(D16-D17)/2</f>
        <v>2.5</v>
      </c>
      <c r="W14">
        <f>+(M16-M17)/2</f>
        <v>8</v>
      </c>
    </row>
    <row r="15" spans="22:23" ht="12">
      <c r="V15">
        <f>+D39/2</f>
        <v>1.5</v>
      </c>
      <c r="W15">
        <f>+M39/2</f>
        <v>2.5</v>
      </c>
    </row>
    <row r="16" spans="1:23" ht="12">
      <c r="A16" t="s">
        <v>4</v>
      </c>
      <c r="D16" s="2">
        <v>24</v>
      </c>
      <c r="H16" t="s">
        <v>4</v>
      </c>
      <c r="M16" s="2">
        <v>35</v>
      </c>
      <c r="V16">
        <f>+D43/2</f>
        <v>1.5</v>
      </c>
      <c r="W16">
        <f>+M43/2</f>
        <v>0.5</v>
      </c>
    </row>
    <row r="17" spans="1:23" ht="12">
      <c r="A17" t="s">
        <v>5</v>
      </c>
      <c r="D17" s="2">
        <v>19</v>
      </c>
      <c r="H17" t="s">
        <v>5</v>
      </c>
      <c r="M17" s="2">
        <v>19</v>
      </c>
      <c r="V17">
        <f>+D48/2</f>
        <v>2.5</v>
      </c>
      <c r="W17">
        <f>+M48/2</f>
        <v>2</v>
      </c>
    </row>
    <row r="18" spans="1:13" ht="12">
      <c r="A18" t="s">
        <v>6</v>
      </c>
      <c r="D18" s="8">
        <f>+D17/D16*100</f>
        <v>79.16666666666666</v>
      </c>
      <c r="H18" t="s">
        <v>6</v>
      </c>
      <c r="M18" s="8">
        <f>+M17/M16*100</f>
        <v>54.285714285714285</v>
      </c>
    </row>
    <row r="19" spans="1:24" ht="12">
      <c r="A19" t="s">
        <v>7</v>
      </c>
      <c r="C19" t="str">
        <f>IF(D19=SUM(D92:D105),"ok","ERR")</f>
        <v>ERR</v>
      </c>
      <c r="D19" s="2">
        <v>220</v>
      </c>
      <c r="H19" t="s">
        <v>7</v>
      </c>
      <c r="M19" s="2">
        <v>301</v>
      </c>
      <c r="V19">
        <f>SUM(V12:V17)</f>
        <v>63</v>
      </c>
      <c r="W19">
        <f>SUM(W12:W17)</f>
        <v>60</v>
      </c>
      <c r="X19">
        <f>+W19+V19</f>
        <v>123</v>
      </c>
    </row>
    <row r="20" spans="1:23" ht="12">
      <c r="A20" t="s">
        <v>8</v>
      </c>
      <c r="D20" s="2">
        <v>3</v>
      </c>
      <c r="H20" t="s">
        <v>8</v>
      </c>
      <c r="M20" s="2">
        <v>3</v>
      </c>
      <c r="V20">
        <f>+V19/X19</f>
        <v>0.5121951219512195</v>
      </c>
      <c r="W20">
        <f>+W19/X19</f>
        <v>0.4878048780487805</v>
      </c>
    </row>
    <row r="21" spans="1:23" ht="12">
      <c r="A21" t="s">
        <v>9</v>
      </c>
      <c r="D21" s="2">
        <f>7+5+4</f>
        <v>16</v>
      </c>
      <c r="H21" t="s">
        <v>9</v>
      </c>
      <c r="M21" s="2">
        <v>22</v>
      </c>
      <c r="V21">
        <f>+V20*60</f>
        <v>30.731707317073173</v>
      </c>
      <c r="W21">
        <f>+W20*60</f>
        <v>29.268292682926827</v>
      </c>
    </row>
    <row r="22" spans="1:23" ht="12">
      <c r="A22" t="s">
        <v>10</v>
      </c>
      <c r="D22">
        <f>+D19-D21</f>
        <v>204</v>
      </c>
      <c r="H22" t="s">
        <v>10</v>
      </c>
      <c r="M22">
        <f>+M19-M21</f>
        <v>279</v>
      </c>
      <c r="V22">
        <f>+V21-INT(V21)</f>
        <v>0.7317073170731732</v>
      </c>
      <c r="W22">
        <f>+W21-INT(W21)</f>
        <v>0.26829268292682684</v>
      </c>
    </row>
    <row r="23" spans="1:23" ht="12">
      <c r="A23" t="s">
        <v>11</v>
      </c>
      <c r="D23" s="7">
        <f>+D22/(D20+D16)</f>
        <v>7.555555555555555</v>
      </c>
      <c r="H23" t="s">
        <v>11</v>
      </c>
      <c r="M23" s="7">
        <f>+M22/(M20+M16)</f>
        <v>7.342105263157895</v>
      </c>
      <c r="V23">
        <f>+V22*60</f>
        <v>43.90243902439039</v>
      </c>
      <c r="W23">
        <f>+W22*60</f>
        <v>16.09756097560961</v>
      </c>
    </row>
    <row r="24" spans="1:23" ht="12">
      <c r="A24" t="s">
        <v>12</v>
      </c>
      <c r="D24" s="7">
        <f>+D19/D17</f>
        <v>11.578947368421053</v>
      </c>
      <c r="H24" t="s">
        <v>12</v>
      </c>
      <c r="M24" s="7">
        <f>+M19/M17</f>
        <v>15.842105263157896</v>
      </c>
      <c r="U24">
        <v>0</v>
      </c>
      <c r="V24" s="11">
        <f>ROUND(V23,0)</f>
        <v>44</v>
      </c>
      <c r="W24">
        <f>ROUND(W23,0)</f>
        <v>16</v>
      </c>
    </row>
    <row r="25" spans="22:23" ht="12">
      <c r="V25">
        <f>INT(V21)</f>
        <v>30</v>
      </c>
      <c r="W25">
        <f>INT(W21)</f>
        <v>29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298</v>
      </c>
      <c r="H27" t="s">
        <v>14</v>
      </c>
      <c r="M27">
        <f>+M22+M13</f>
        <v>380</v>
      </c>
      <c r="Q27" s="9"/>
      <c r="R27" s="9"/>
      <c r="V27" s="14" t="str">
        <f>+V25&amp;V26&amp;V24</f>
        <v>30:44</v>
      </c>
      <c r="W27" s="9" t="str">
        <f>+W25&amp;W26&amp;W24</f>
        <v>29:16</v>
      </c>
    </row>
    <row r="28" spans="1:23" ht="12">
      <c r="A28" t="s">
        <v>15</v>
      </c>
      <c r="D28" s="7">
        <f>+D13/D27*100</f>
        <v>31.543624161073826</v>
      </c>
      <c r="H28" t="s">
        <v>15</v>
      </c>
      <c r="M28" s="7">
        <f>+M13/M27*100</f>
        <v>26.57894736842105</v>
      </c>
      <c r="V28" s="9" t="str">
        <f>IF(V24&lt;10,+V25&amp;V26&amp;$U$24&amp;V24,+V25&amp;V26&amp;V24)</f>
        <v>30:44</v>
      </c>
      <c r="W28" s="9" t="str">
        <f>IF(W24&lt;10,+W25&amp;W26&amp;$U$24&amp;W24,+W25&amp;W26&amp;W24)</f>
        <v>29:16</v>
      </c>
    </row>
    <row r="29" spans="1:13" ht="12">
      <c r="A29" s="1" t="s">
        <v>90</v>
      </c>
      <c r="D29" s="7">
        <f>+D22/D27*100</f>
        <v>68.45637583892618</v>
      </c>
      <c r="H29" s="1" t="s">
        <v>90</v>
      </c>
      <c r="M29" s="7">
        <f>+M22/M27*100</f>
        <v>73.42105263157895</v>
      </c>
    </row>
    <row r="31" spans="1:13" ht="12">
      <c r="A31" t="s">
        <v>16</v>
      </c>
      <c r="D31">
        <f>+D12+D16+D20</f>
        <v>63</v>
      </c>
      <c r="H31" t="s">
        <v>16</v>
      </c>
      <c r="M31">
        <f>+M12+M16+M20</f>
        <v>66</v>
      </c>
    </row>
    <row r="32" spans="1:13" ht="12">
      <c r="A32" t="s">
        <v>17</v>
      </c>
      <c r="D32" s="8">
        <f>+D27/D31</f>
        <v>4.73015873015873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5.757575757575758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1</v>
      </c>
      <c r="H35" t="s">
        <v>19</v>
      </c>
      <c r="M35" s="2">
        <v>2</v>
      </c>
    </row>
    <row r="36" spans="1:13" ht="12">
      <c r="A36" t="s">
        <v>20</v>
      </c>
      <c r="D36" s="2">
        <v>0</v>
      </c>
      <c r="H36" t="s">
        <v>20</v>
      </c>
      <c r="M36" s="2">
        <v>34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3</v>
      </c>
      <c r="H39" t="s">
        <v>22</v>
      </c>
      <c r="M39" s="2">
        <v>5</v>
      </c>
    </row>
    <row r="40" spans="1:13" ht="12">
      <c r="A40" t="s">
        <v>23</v>
      </c>
      <c r="D40" s="2">
        <f>42+44+28</f>
        <v>114</v>
      </c>
      <c r="G40" t="str">
        <f>IF(D40=SUM(D142:D144),"ok","ERR")</f>
        <v>ok</v>
      </c>
      <c r="H40" t="s">
        <v>23</v>
      </c>
      <c r="M40" s="2">
        <f>26+52+41+48+41</f>
        <v>208</v>
      </c>
    </row>
    <row r="41" spans="1:13" ht="12">
      <c r="A41" t="s">
        <v>24</v>
      </c>
      <c r="D41" s="8">
        <f>+D40/D39</f>
        <v>38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41.6</v>
      </c>
    </row>
    <row r="43" spans="1:13" ht="12">
      <c r="A43" t="s">
        <v>25</v>
      </c>
      <c r="D43" s="2">
        <v>3</v>
      </c>
      <c r="H43" t="s">
        <v>25</v>
      </c>
      <c r="M43" s="2">
        <v>1</v>
      </c>
    </row>
    <row r="44" spans="1:13" ht="12">
      <c r="A44" t="s">
        <v>26</v>
      </c>
      <c r="D44" s="2">
        <v>31</v>
      </c>
      <c r="H44" t="s">
        <v>26</v>
      </c>
      <c r="M44" s="2">
        <v>2</v>
      </c>
    </row>
    <row r="45" spans="1:13" ht="12">
      <c r="A45" t="s">
        <v>27</v>
      </c>
      <c r="D45" s="8">
        <f>+D44/D43</f>
        <v>10.333333333333334</v>
      </c>
      <c r="H45" t="s">
        <v>27</v>
      </c>
      <c r="M45" s="8">
        <f>+M44/M43</f>
        <v>2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5</v>
      </c>
      <c r="H48" t="s">
        <v>30</v>
      </c>
      <c r="M48" s="2">
        <v>4</v>
      </c>
    </row>
    <row r="49" spans="1:13" ht="12">
      <c r="A49" t="s">
        <v>26</v>
      </c>
      <c r="D49" s="2">
        <f>23+12+67+18+57</f>
        <v>177</v>
      </c>
      <c r="G49" t="str">
        <f>IF(D49=SUM(D131:D139),"ok","ERR")</f>
        <v>ok</v>
      </c>
      <c r="H49" t="s">
        <v>26</v>
      </c>
      <c r="M49" s="2">
        <f>41+25+12+16</f>
        <v>94</v>
      </c>
    </row>
    <row r="50" spans="1:13" ht="12">
      <c r="A50" t="s">
        <v>27</v>
      </c>
      <c r="D50" s="8">
        <f>+D49/D48</f>
        <v>35.4</v>
      </c>
      <c r="H50" t="s">
        <v>27</v>
      </c>
      <c r="M50" s="8">
        <f>+M49/M48</f>
        <v>23.5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2</v>
      </c>
      <c r="H53" t="s">
        <v>31</v>
      </c>
      <c r="M53" s="2">
        <v>4</v>
      </c>
    </row>
    <row r="54" spans="1:13" ht="12">
      <c r="A54" t="s">
        <v>32</v>
      </c>
      <c r="D54" s="2">
        <v>20</v>
      </c>
      <c r="H54" t="s">
        <v>32</v>
      </c>
      <c r="M54" s="2">
        <v>35</v>
      </c>
    </row>
    <row r="56" spans="1:13" ht="12">
      <c r="A56" t="s">
        <v>33</v>
      </c>
      <c r="D56" s="2">
        <v>4</v>
      </c>
      <c r="G56" t="str">
        <f>IF(D56=SUM(H76:H105)+SUM(N113:N116)+SUM(I120:I125)+SUM(H130:H135)+SUM(H142:H144)+SUM(H154:H166)+SUM(G187:G237),"ok","ERR")</f>
        <v>ERR</v>
      </c>
      <c r="H56" t="s">
        <v>33</v>
      </c>
      <c r="M56" s="2">
        <v>4</v>
      </c>
    </row>
    <row r="57" spans="1:13" ht="12">
      <c r="A57" t="s">
        <v>34</v>
      </c>
      <c r="D57" s="2">
        <v>3</v>
      </c>
      <c r="H57" t="s">
        <v>34</v>
      </c>
      <c r="M57" s="2">
        <v>2</v>
      </c>
    </row>
    <row r="58" spans="1:13" ht="12">
      <c r="A58" t="s">
        <v>35</v>
      </c>
      <c r="D58" s="2">
        <v>1</v>
      </c>
      <c r="H58" t="s">
        <v>35</v>
      </c>
      <c r="M58" s="2">
        <v>0</v>
      </c>
    </row>
    <row r="59" spans="1:13" ht="12">
      <c r="A59" t="s">
        <v>36</v>
      </c>
      <c r="D59" s="2">
        <v>2</v>
      </c>
      <c r="H59" t="s">
        <v>36</v>
      </c>
      <c r="M59" s="2">
        <v>1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6" ht="12">
      <c r="A62" t="s">
        <v>38</v>
      </c>
      <c r="D62" s="2">
        <v>44</v>
      </c>
      <c r="H62" t="s">
        <v>38</v>
      </c>
      <c r="M62" s="2">
        <v>22</v>
      </c>
      <c r="N62" t="str">
        <f>IF(K62=K63*6+K68*2+K69*3+K67,"ok","ERR")</f>
        <v>ok</v>
      </c>
      <c r="P62" t="str">
        <f>IF(M62=M63*6+M68*2+M69*3+M67,"ok","ERR")</f>
        <v>ok</v>
      </c>
    </row>
    <row r="63" spans="1:13" ht="12">
      <c r="A63" t="s">
        <v>39</v>
      </c>
      <c r="D63" s="2">
        <v>5</v>
      </c>
      <c r="H63" t="s">
        <v>39</v>
      </c>
      <c r="M63" s="2">
        <v>3</v>
      </c>
    </row>
    <row r="64" spans="1:13" ht="12">
      <c r="A64" t="s">
        <v>40</v>
      </c>
      <c r="D64" s="2">
        <v>1</v>
      </c>
      <c r="G64" t="str">
        <f>IF(D64=SUM(G76:G87),"ok","ERR")</f>
        <v>ok</v>
      </c>
      <c r="H64" t="s">
        <v>40</v>
      </c>
      <c r="M64" s="2">
        <v>1</v>
      </c>
    </row>
    <row r="65" spans="1:13" ht="12">
      <c r="A65" t="s">
        <v>41</v>
      </c>
      <c r="D65" s="2">
        <v>3</v>
      </c>
      <c r="H65" t="s">
        <v>41</v>
      </c>
      <c r="M65" s="2">
        <v>2</v>
      </c>
    </row>
    <row r="66" spans="1:13" ht="12">
      <c r="A66" t="s">
        <v>42</v>
      </c>
      <c r="D66" s="2">
        <v>1</v>
      </c>
      <c r="H66" t="s">
        <v>42</v>
      </c>
      <c r="M66" s="2">
        <v>0</v>
      </c>
    </row>
    <row r="67" spans="1:13" ht="12">
      <c r="A67" t="s">
        <v>43</v>
      </c>
      <c r="D67" s="2">
        <v>5</v>
      </c>
      <c r="H67" t="s">
        <v>43</v>
      </c>
      <c r="M67" s="2">
        <v>1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3</v>
      </c>
      <c r="H69" t="s">
        <v>45</v>
      </c>
      <c r="M69" s="2">
        <v>1</v>
      </c>
    </row>
    <row r="70" spans="1:13" ht="12">
      <c r="A70" t="s">
        <v>46</v>
      </c>
      <c r="D70" s="2">
        <v>3</v>
      </c>
      <c r="H70" t="s">
        <v>46</v>
      </c>
      <c r="M70" s="2">
        <v>1</v>
      </c>
    </row>
    <row r="71" spans="1:13" ht="12">
      <c r="A71" t="s">
        <v>47</v>
      </c>
      <c r="D71" s="8">
        <f>+D69/D70*100</f>
        <v>100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100</v>
      </c>
    </row>
    <row r="72" spans="1:13" ht="12">
      <c r="A72" t="s">
        <v>93</v>
      </c>
      <c r="D72" s="10" t="str">
        <f>IF(V24&lt;10,V28,V27)</f>
        <v>30:44</v>
      </c>
      <c r="E72" s="8"/>
      <c r="F72" s="8"/>
      <c r="H72" t="s">
        <v>93</v>
      </c>
      <c r="M72" s="10" t="str">
        <f>IF(W24&lt;10,W28,W27)</f>
        <v>29:16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5" ht="12">
      <c r="A77" t="s">
        <v>113</v>
      </c>
      <c r="E77" s="12" t="e">
        <f>+D77/C77</f>
        <v>#DIV/0!</v>
      </c>
    </row>
    <row r="78" spans="1:5" ht="12">
      <c r="A78" t="s">
        <v>114</v>
      </c>
      <c r="E78" s="12" t="e">
        <f>+D78/C78</f>
        <v>#DIV/0!</v>
      </c>
    </row>
    <row r="79" spans="1:7" ht="12">
      <c r="A79" t="s">
        <v>115</v>
      </c>
      <c r="C79">
        <v>7</v>
      </c>
      <c r="D79">
        <v>35</v>
      </c>
      <c r="E79" s="12">
        <f aca="true" t="shared" si="0" ref="E79:E85">+D79/C79</f>
        <v>5</v>
      </c>
      <c r="F79">
        <v>7</v>
      </c>
      <c r="G79">
        <v>1</v>
      </c>
    </row>
    <row r="80" spans="1:5" ht="12">
      <c r="A80" t="s">
        <v>116</v>
      </c>
      <c r="E80" s="12" t="e">
        <f t="shared" si="0"/>
        <v>#DIV/0!</v>
      </c>
    </row>
    <row r="81" spans="1:8" ht="12">
      <c r="A81" t="s">
        <v>117</v>
      </c>
      <c r="C81">
        <v>7</v>
      </c>
      <c r="E81" s="12">
        <f t="shared" si="0"/>
        <v>0</v>
      </c>
      <c r="F81">
        <v>6</v>
      </c>
      <c r="H81">
        <v>2</v>
      </c>
    </row>
    <row r="82" spans="1:5" ht="12">
      <c r="A82" t="s">
        <v>118</v>
      </c>
      <c r="E82" s="12" t="e">
        <f t="shared" si="0"/>
        <v>#DIV/0!</v>
      </c>
    </row>
    <row r="83" spans="1:5" ht="12">
      <c r="A83" t="s">
        <v>119</v>
      </c>
      <c r="E83" s="12" t="e">
        <f t="shared" si="0"/>
        <v>#DIV/0!</v>
      </c>
    </row>
    <row r="84" spans="1:5" ht="12">
      <c r="A84" t="s">
        <v>120</v>
      </c>
      <c r="E84" s="12" t="e">
        <f t="shared" si="0"/>
        <v>#DIV/0!</v>
      </c>
    </row>
    <row r="85" spans="1:6" ht="12">
      <c r="A85" t="s">
        <v>121</v>
      </c>
      <c r="C85">
        <v>5</v>
      </c>
      <c r="D85">
        <v>18</v>
      </c>
      <c r="E85" s="12">
        <f t="shared" si="0"/>
        <v>3.6</v>
      </c>
      <c r="F85">
        <v>10</v>
      </c>
    </row>
    <row r="86" spans="1:5" ht="12">
      <c r="A86" t="s">
        <v>122</v>
      </c>
      <c r="E86" s="12" t="e">
        <f>+D86/C86</f>
        <v>#DIV/0!</v>
      </c>
    </row>
    <row r="87" spans="1:8" ht="12">
      <c r="A87" t="s">
        <v>123</v>
      </c>
      <c r="C87">
        <v>13</v>
      </c>
      <c r="D87">
        <v>27</v>
      </c>
      <c r="E87" s="12">
        <f>+D87/C87</f>
        <v>2.076923076923077</v>
      </c>
      <c r="F87">
        <v>5</v>
      </c>
      <c r="H87">
        <v>1</v>
      </c>
    </row>
    <row r="88" spans="1:5" ht="12">
      <c r="A88" t="s">
        <v>124</v>
      </c>
      <c r="E88" s="8"/>
    </row>
    <row r="89" spans="1:6" ht="12">
      <c r="A89" t="s">
        <v>125</v>
      </c>
      <c r="C89">
        <v>4</v>
      </c>
      <c r="D89">
        <v>14</v>
      </c>
      <c r="E89" s="8"/>
      <c r="F89">
        <v>21</v>
      </c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5" ht="12">
      <c r="A94" t="s">
        <v>113</v>
      </c>
      <c r="E94" s="12" t="e">
        <f t="shared" si="1"/>
        <v>#DIV/0!</v>
      </c>
    </row>
    <row r="95" spans="1:5" ht="12">
      <c r="A95" t="s">
        <v>114</v>
      </c>
      <c r="E95" s="12" t="e">
        <f t="shared" si="1"/>
        <v>#DIV/0!</v>
      </c>
    </row>
    <row r="96" spans="1:7" ht="12">
      <c r="A96" t="s">
        <v>115</v>
      </c>
      <c r="C96">
        <v>3</v>
      </c>
      <c r="D96">
        <v>23</v>
      </c>
      <c r="E96" s="12">
        <f t="shared" si="1"/>
        <v>7.666666666666667</v>
      </c>
      <c r="F96">
        <v>11</v>
      </c>
      <c r="G96">
        <v>1</v>
      </c>
    </row>
    <row r="97" spans="1:5" ht="12">
      <c r="A97" t="s">
        <v>117</v>
      </c>
      <c r="E97" s="12" t="e">
        <f t="shared" si="1"/>
        <v>#DIV/0!</v>
      </c>
    </row>
    <row r="98" spans="1:6" ht="12">
      <c r="A98" t="s">
        <v>128</v>
      </c>
      <c r="C98">
        <v>2</v>
      </c>
      <c r="D98">
        <v>50</v>
      </c>
      <c r="E98" s="12">
        <f t="shared" si="1"/>
        <v>25</v>
      </c>
      <c r="F98">
        <v>31</v>
      </c>
    </row>
    <row r="99" spans="1:5" ht="12">
      <c r="A99" t="s">
        <v>119</v>
      </c>
      <c r="E99" s="12" t="e">
        <f t="shared" si="1"/>
        <v>#DIV/0!</v>
      </c>
    </row>
    <row r="100" spans="1:6" ht="12">
      <c r="A100" t="s">
        <v>120</v>
      </c>
      <c r="C100">
        <v>7</v>
      </c>
      <c r="D100">
        <v>99</v>
      </c>
      <c r="E100" s="12">
        <f t="shared" si="1"/>
        <v>14.142857142857142</v>
      </c>
      <c r="F100">
        <v>25</v>
      </c>
    </row>
    <row r="101" spans="1:7" ht="12">
      <c r="A101" t="s">
        <v>129</v>
      </c>
      <c r="C101">
        <v>2</v>
      </c>
      <c r="D101">
        <v>10</v>
      </c>
      <c r="E101" s="12">
        <f t="shared" si="1"/>
        <v>5</v>
      </c>
      <c r="F101">
        <v>8</v>
      </c>
      <c r="G101">
        <v>1</v>
      </c>
    </row>
    <row r="102" spans="1:6" ht="12">
      <c r="A102" t="s">
        <v>130</v>
      </c>
      <c r="C102">
        <v>1</v>
      </c>
      <c r="D102">
        <v>7</v>
      </c>
      <c r="E102" s="12">
        <f t="shared" si="1"/>
        <v>7</v>
      </c>
      <c r="F102">
        <v>7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7" ht="12">
      <c r="A105" t="s">
        <v>132</v>
      </c>
      <c r="C105">
        <v>2</v>
      </c>
      <c r="D105">
        <v>14</v>
      </c>
      <c r="E105" s="12">
        <f>+D105/C105</f>
        <v>7</v>
      </c>
      <c r="F105">
        <v>13</v>
      </c>
      <c r="G105">
        <v>1</v>
      </c>
    </row>
    <row r="106" spans="1:6" ht="12">
      <c r="A106" t="s">
        <v>123</v>
      </c>
      <c r="C106">
        <v>2</v>
      </c>
      <c r="D106">
        <v>17</v>
      </c>
      <c r="E106" s="12"/>
      <c r="F106">
        <v>12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>+G113/C113*100</f>
        <v>#DIV/0!</v>
      </c>
      <c r="K113" s="12" t="e">
        <f aca="true" t="shared" si="3" ref="K113:K118">+I113/C113*100</f>
        <v>#DIV/0!</v>
      </c>
      <c r="L113" s="12" t="e">
        <f aca="true" t="shared" si="4" ref="L113:L118">+F113/C113</f>
        <v>#DIV/0!</v>
      </c>
      <c r="M113" s="12" t="e">
        <f aca="true" t="shared" si="5" ref="M113:M118">100*(S113+U113+W113+Y113)/6</f>
        <v>#DIV/0!</v>
      </c>
      <c r="R113" t="e">
        <f aca="true" t="shared" si="6" ref="R113:R118">+(E113-30)/20</f>
        <v>#DIV/0!</v>
      </c>
      <c r="S113" s="2" t="e">
        <f aca="true" t="shared" si="7" ref="S113:S118">IF(R113&lt;0,0,R113)</f>
        <v>#DIV/0!</v>
      </c>
      <c r="T113" s="6" t="e">
        <f aca="true" t="shared" si="8" ref="T113:T118">+(L113-3)/4</f>
        <v>#DIV/0!</v>
      </c>
      <c r="U113" s="2" t="e">
        <f aca="true" t="shared" si="9" ref="U113:U118">IF(T113&lt;0,0,T113)</f>
        <v>#DIV/0!</v>
      </c>
      <c r="V113" t="e">
        <f aca="true" t="shared" si="10" ref="V113:V118">+J113/5</f>
        <v>#DIV/0!</v>
      </c>
      <c r="W113" s="2" t="e">
        <f aca="true" t="shared" si="11" ref="W113:W118">IF(V113&lt;0,0,V113)</f>
        <v>#DIV/0!</v>
      </c>
      <c r="X113" t="e">
        <f aca="true" t="shared" si="12" ref="X113:X118">(9.5-K113)/4</f>
        <v>#DIV/0!</v>
      </c>
      <c r="Y113" s="2" t="e">
        <f aca="true" t="shared" si="13" ref="Y113:Y118">IF(X113&lt;0,0,X113)</f>
        <v>#DIV/0!</v>
      </c>
    </row>
    <row r="114" spans="1:25" ht="12">
      <c r="A114" t="s">
        <v>118</v>
      </c>
      <c r="E114" s="12" t="e">
        <f t="shared" si="2"/>
        <v>#DIV/0!</v>
      </c>
      <c r="J114" s="8"/>
      <c r="K114" s="12" t="e">
        <f t="shared" si="3"/>
        <v>#DIV/0!</v>
      </c>
      <c r="L114" s="12" t="e">
        <f t="shared" si="4"/>
        <v>#DIV/0!</v>
      </c>
      <c r="M114" s="12" t="e">
        <f t="shared" si="5"/>
        <v>#DIV/0!</v>
      </c>
      <c r="R114" t="e">
        <f t="shared" si="6"/>
        <v>#DIV/0!</v>
      </c>
      <c r="S114" s="2" t="e">
        <f t="shared" si="7"/>
        <v>#DIV/0!</v>
      </c>
      <c r="T114" s="6" t="e">
        <f t="shared" si="8"/>
        <v>#DIV/0!</v>
      </c>
      <c r="U114" s="2" t="e">
        <f t="shared" si="9"/>
        <v>#DIV/0!</v>
      </c>
      <c r="V114">
        <f t="shared" si="10"/>
        <v>0</v>
      </c>
      <c r="W114" s="2">
        <f t="shared" si="11"/>
        <v>0</v>
      </c>
      <c r="X114" t="e">
        <f t="shared" si="12"/>
        <v>#DIV/0!</v>
      </c>
      <c r="Y114" s="2" t="e">
        <f t="shared" si="13"/>
        <v>#DIV/0!</v>
      </c>
    </row>
    <row r="115" spans="1:25" ht="12">
      <c r="A115" t="s">
        <v>120</v>
      </c>
      <c r="E115" s="12" t="e">
        <f t="shared" si="2"/>
        <v>#DIV/0!</v>
      </c>
      <c r="J115" s="8" t="e">
        <f>+G115/C115*100</f>
        <v>#DIV/0!</v>
      </c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 t="e">
        <f t="shared" si="10"/>
        <v>#DIV/0!</v>
      </c>
      <c r="W115" s="2" t="e">
        <f t="shared" si="11"/>
        <v>#DIV/0!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 t="e">
        <f>+G116/C116*100</f>
        <v>#DIV/0!</v>
      </c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 t="e">
        <f t="shared" si="10"/>
        <v>#DIV/0!</v>
      </c>
      <c r="W116" s="2" t="e">
        <f t="shared" si="11"/>
        <v>#DIV/0!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C117">
        <v>24</v>
      </c>
      <c r="D117">
        <v>19</v>
      </c>
      <c r="E117" s="12">
        <f t="shared" si="2"/>
        <v>79.16666666666666</v>
      </c>
      <c r="F117">
        <v>220</v>
      </c>
      <c r="G117">
        <v>3</v>
      </c>
      <c r="H117">
        <v>31</v>
      </c>
      <c r="I117">
        <v>1</v>
      </c>
      <c r="J117" s="8">
        <f>+G117/C117*100</f>
        <v>12.5</v>
      </c>
      <c r="K117" s="12">
        <f t="shared" si="3"/>
        <v>4.166666666666666</v>
      </c>
      <c r="L117" s="12">
        <f t="shared" si="4"/>
        <v>9.166666666666666</v>
      </c>
      <c r="M117" s="12">
        <f t="shared" si="5"/>
        <v>130.55555555555557</v>
      </c>
      <c r="O117">
        <v>3</v>
      </c>
      <c r="R117">
        <f t="shared" si="6"/>
        <v>2.458333333333333</v>
      </c>
      <c r="S117" s="2">
        <f t="shared" si="7"/>
        <v>2.458333333333333</v>
      </c>
      <c r="T117" s="6">
        <f t="shared" si="8"/>
        <v>1.5416666666666665</v>
      </c>
      <c r="U117" s="2">
        <f t="shared" si="9"/>
        <v>1.5416666666666665</v>
      </c>
      <c r="V117">
        <f t="shared" si="10"/>
        <v>2.5</v>
      </c>
      <c r="W117" s="2">
        <f t="shared" si="11"/>
        <v>2.5</v>
      </c>
      <c r="X117">
        <f t="shared" si="12"/>
        <v>1.3333333333333335</v>
      </c>
      <c r="Y117" s="2">
        <f t="shared" si="13"/>
        <v>1.3333333333333335</v>
      </c>
    </row>
    <row r="118" spans="5:25" ht="12">
      <c r="E118" s="12" t="e">
        <f t="shared" si="2"/>
        <v>#DIV/0!</v>
      </c>
      <c r="J118" s="8" t="e">
        <f>+G118/C118*100</f>
        <v>#DIV/0!</v>
      </c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 t="e">
        <f t="shared" si="10"/>
        <v>#DIV/0!</v>
      </c>
      <c r="W118" s="2" t="e">
        <f t="shared" si="11"/>
        <v>#DIV/0!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1</v>
      </c>
      <c r="E121">
        <v>20</v>
      </c>
      <c r="F121" s="12">
        <f aca="true" t="shared" si="14" ref="F121:F126">+E121/C121</f>
        <v>20</v>
      </c>
      <c r="G121">
        <v>20</v>
      </c>
    </row>
    <row r="122" spans="1:6" ht="12">
      <c r="A122" t="s">
        <v>134</v>
      </c>
      <c r="F122" s="12" t="e">
        <f t="shared" si="14"/>
        <v>#DIV/0!</v>
      </c>
    </row>
    <row r="123" spans="1:7" ht="12">
      <c r="A123" t="s">
        <v>135</v>
      </c>
      <c r="C123">
        <v>2</v>
      </c>
      <c r="D123">
        <v>1</v>
      </c>
      <c r="E123">
        <v>11</v>
      </c>
      <c r="F123" s="12">
        <f t="shared" si="14"/>
        <v>5.5</v>
      </c>
      <c r="G123">
        <v>9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6" ht="12">
      <c r="A132" t="s">
        <v>137</v>
      </c>
      <c r="C132">
        <v>1</v>
      </c>
      <c r="D132">
        <v>18</v>
      </c>
      <c r="E132" s="12">
        <f t="shared" si="15"/>
        <v>18</v>
      </c>
      <c r="F132">
        <v>18</v>
      </c>
    </row>
    <row r="133" spans="1:5" ht="12">
      <c r="A133" t="s">
        <v>116</v>
      </c>
      <c r="E133" s="12" t="e">
        <f t="shared" si="15"/>
        <v>#DIV/0!</v>
      </c>
    </row>
    <row r="134" spans="1:5" ht="12">
      <c r="A134" t="s">
        <v>128</v>
      </c>
      <c r="E134" s="12" t="e">
        <f t="shared" si="15"/>
        <v>#DIV/0!</v>
      </c>
    </row>
    <row r="135" spans="1:6" ht="12">
      <c r="A135" t="s">
        <v>134</v>
      </c>
      <c r="C135">
        <v>3</v>
      </c>
      <c r="D135">
        <f>23+12+67</f>
        <v>102</v>
      </c>
      <c r="E135" s="12">
        <f t="shared" si="15"/>
        <v>34</v>
      </c>
      <c r="F135">
        <v>67</v>
      </c>
    </row>
    <row r="136" spans="1:5" ht="12">
      <c r="A136" t="s">
        <v>119</v>
      </c>
      <c r="E136" s="12" t="e">
        <f t="shared" si="15"/>
        <v>#DIV/0!</v>
      </c>
    </row>
    <row r="137" spans="1:8" ht="12">
      <c r="A137" t="s">
        <v>135</v>
      </c>
      <c r="C137">
        <v>1</v>
      </c>
      <c r="D137">
        <v>57</v>
      </c>
      <c r="E137" s="12">
        <f>+D137/C137</f>
        <v>57</v>
      </c>
      <c r="F137">
        <v>57</v>
      </c>
      <c r="H137">
        <v>1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3</v>
      </c>
      <c r="D143">
        <f>42+44+28</f>
        <v>114</v>
      </c>
      <c r="F143">
        <v>44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19" ht="12">
      <c r="A151" t="s">
        <v>140</v>
      </c>
      <c r="C151">
        <v>9</v>
      </c>
      <c r="D151">
        <v>5</v>
      </c>
      <c r="E151">
        <v>5</v>
      </c>
      <c r="F151">
        <v>5</v>
      </c>
      <c r="G151">
        <v>3</v>
      </c>
      <c r="H151">
        <v>3</v>
      </c>
      <c r="I151" s="12">
        <f>+H151/G151*100</f>
        <v>100</v>
      </c>
      <c r="J151">
        <v>49</v>
      </c>
      <c r="N151">
        <v>2</v>
      </c>
      <c r="O151">
        <v>2</v>
      </c>
      <c r="R151">
        <v>1</v>
      </c>
      <c r="S151">
        <v>1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5" ht="12">
      <c r="A158" t="s">
        <v>143</v>
      </c>
      <c r="E158" s="12" t="e">
        <f t="shared" si="16"/>
        <v>#DIV/0!</v>
      </c>
    </row>
    <row r="159" spans="1:6" ht="12">
      <c r="A159" t="s">
        <v>144</v>
      </c>
      <c r="C159">
        <v>1</v>
      </c>
      <c r="D159">
        <v>20</v>
      </c>
      <c r="E159" s="12">
        <f t="shared" si="16"/>
        <v>20</v>
      </c>
      <c r="F159">
        <v>20</v>
      </c>
    </row>
    <row r="160" spans="1:5" ht="12">
      <c r="A160" t="s">
        <v>145</v>
      </c>
      <c r="E160" s="12" t="e">
        <f t="shared" si="16"/>
        <v>#DIV/0!</v>
      </c>
    </row>
    <row r="161" spans="1:6" ht="12">
      <c r="A161" t="s">
        <v>146</v>
      </c>
      <c r="C161">
        <v>1</v>
      </c>
      <c r="D161">
        <v>14</v>
      </c>
      <c r="E161" s="12">
        <f t="shared" si="16"/>
        <v>14</v>
      </c>
      <c r="F161">
        <v>14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>
        <v>2</v>
      </c>
      <c r="D172" s="3">
        <v>15</v>
      </c>
    </row>
    <row r="173" spans="1:4" ht="12">
      <c r="A173" t="s">
        <v>148</v>
      </c>
      <c r="C173" s="3">
        <v>1</v>
      </c>
      <c r="D173" s="3">
        <v>7</v>
      </c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/>
      <c r="D176" s="3"/>
    </row>
    <row r="177" spans="1:4" ht="12">
      <c r="A177" t="s">
        <v>151</v>
      </c>
      <c r="C177" s="3"/>
      <c r="D177" s="3"/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3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spans="1:3" ht="12">
      <c r="A215" t="s">
        <v>117</v>
      </c>
      <c r="C215">
        <v>1</v>
      </c>
    </row>
    <row r="216" ht="12">
      <c r="A216" t="s">
        <v>128</v>
      </c>
    </row>
    <row r="217" spans="1:6" ht="12">
      <c r="A217" t="s">
        <v>134</v>
      </c>
      <c r="C217">
        <v>1</v>
      </c>
      <c r="D217">
        <v>42</v>
      </c>
      <c r="E217">
        <v>42</v>
      </c>
      <c r="F217">
        <v>1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spans="1:3" ht="12">
      <c r="A233" t="s">
        <v>146</v>
      </c>
      <c r="C233">
        <v>1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spans="1:3" ht="12">
      <c r="A241" t="s">
        <v>151</v>
      </c>
      <c r="C241">
        <v>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E76" sqref="E76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42187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23</v>
      </c>
      <c r="H6" s="1" t="s">
        <v>29</v>
      </c>
      <c r="M6" s="2">
        <v>14</v>
      </c>
    </row>
    <row r="7" spans="1:13" ht="12">
      <c r="A7" s="18" t="s">
        <v>95</v>
      </c>
      <c r="D7" s="2">
        <v>10</v>
      </c>
      <c r="H7" s="18" t="s">
        <v>95</v>
      </c>
      <c r="M7" s="2">
        <v>3</v>
      </c>
    </row>
    <row r="8" spans="1:13" ht="12">
      <c r="A8" s="18" t="s">
        <v>96</v>
      </c>
      <c r="D8" s="2">
        <v>10</v>
      </c>
      <c r="H8" s="18" t="s">
        <v>96</v>
      </c>
      <c r="M8" s="2">
        <v>8</v>
      </c>
    </row>
    <row r="9" spans="1:13" ht="12">
      <c r="A9" s="18" t="s">
        <v>97</v>
      </c>
      <c r="D9" s="2">
        <v>3</v>
      </c>
      <c r="H9" s="18" t="s">
        <v>97</v>
      </c>
      <c r="M9" s="2">
        <v>3</v>
      </c>
    </row>
    <row r="10" spans="1:14" ht="12">
      <c r="A10" s="21" t="s">
        <v>168</v>
      </c>
      <c r="C10">
        <v>3</v>
      </c>
      <c r="D10" s="2">
        <v>12</v>
      </c>
      <c r="E10" s="22">
        <f>+C10/D10</f>
        <v>0.25</v>
      </c>
      <c r="H10" s="21" t="s">
        <v>168</v>
      </c>
      <c r="L10">
        <v>1</v>
      </c>
      <c r="M10" s="2">
        <v>9</v>
      </c>
      <c r="N10" s="22">
        <f>+L10/M10</f>
        <v>0.1111111111111111</v>
      </c>
    </row>
    <row r="12" spans="1:23" ht="12">
      <c r="A12" t="s">
        <v>1</v>
      </c>
      <c r="D12" s="2">
        <f>11+12+8+7+1+3+2</f>
        <v>44</v>
      </c>
      <c r="H12" t="s">
        <v>1</v>
      </c>
      <c r="M12" s="2">
        <f>7+3+4+2+3+1</f>
        <v>20</v>
      </c>
      <c r="V12">
        <f>+D12</f>
        <v>44</v>
      </c>
      <c r="W12">
        <f>+M12</f>
        <v>20</v>
      </c>
    </row>
    <row r="13" spans="1:23" ht="12">
      <c r="A13" t="s">
        <v>2</v>
      </c>
      <c r="D13" s="2">
        <f>39+36+13+31+5+17+11</f>
        <v>152</v>
      </c>
      <c r="H13" t="s">
        <v>2</v>
      </c>
      <c r="M13" s="2">
        <f>30+4+27+5+5+10</f>
        <v>81</v>
      </c>
      <c r="U13" s="13"/>
      <c r="V13">
        <f>+D17</f>
        <v>17</v>
      </c>
      <c r="W13">
        <f>+M17</f>
        <v>16</v>
      </c>
    </row>
    <row r="14" spans="1:23" ht="12">
      <c r="A14" s="1" t="s">
        <v>3</v>
      </c>
      <c r="D14" s="8">
        <f>+D13/D12</f>
        <v>3.4545454545454546</v>
      </c>
      <c r="H14" s="1" t="s">
        <v>3</v>
      </c>
      <c r="M14" s="8">
        <f>+M13/M12</f>
        <v>4.05</v>
      </c>
      <c r="V14">
        <f>+(D16-D17)/2</f>
        <v>6</v>
      </c>
      <c r="W14">
        <f>+(M16-M17)/2</f>
        <v>5.5</v>
      </c>
    </row>
    <row r="15" spans="22:23" ht="12">
      <c r="V15">
        <f>+D39/2</f>
        <v>1.5</v>
      </c>
      <c r="W15">
        <f>+M39/2</f>
        <v>3</v>
      </c>
    </row>
    <row r="16" spans="1:23" ht="12">
      <c r="A16" t="s">
        <v>4</v>
      </c>
      <c r="D16" s="2">
        <v>29</v>
      </c>
      <c r="H16" t="s">
        <v>4</v>
      </c>
      <c r="M16" s="2">
        <v>27</v>
      </c>
      <c r="V16">
        <f>+D43/2</f>
        <v>2.5</v>
      </c>
      <c r="W16">
        <f>+M43/2</f>
        <v>0.5</v>
      </c>
    </row>
    <row r="17" spans="1:23" ht="12">
      <c r="A17" t="s">
        <v>5</v>
      </c>
      <c r="D17" s="2">
        <v>17</v>
      </c>
      <c r="H17" t="s">
        <v>5</v>
      </c>
      <c r="M17" s="2">
        <v>16</v>
      </c>
      <c r="V17">
        <f>+D48/2</f>
        <v>1.5</v>
      </c>
      <c r="W17">
        <f>+M48/2</f>
        <v>2.5</v>
      </c>
    </row>
    <row r="18" spans="1:13" ht="12">
      <c r="A18" t="s">
        <v>6</v>
      </c>
      <c r="D18" s="8">
        <f>+D17/D16*100</f>
        <v>58.620689655172406</v>
      </c>
      <c r="H18" t="s">
        <v>6</v>
      </c>
      <c r="M18" s="8">
        <f>+M17/M16*100</f>
        <v>59.25925925925925</v>
      </c>
    </row>
    <row r="19" spans="1:24" ht="12">
      <c r="A19" t="s">
        <v>7</v>
      </c>
      <c r="C19" t="str">
        <f>IF(D19=SUM(D92:D105),"ok","ERR")</f>
        <v>ERR</v>
      </c>
      <c r="D19" s="2">
        <v>229</v>
      </c>
      <c r="H19" t="s">
        <v>7</v>
      </c>
      <c r="M19" s="2">
        <v>146</v>
      </c>
      <c r="V19">
        <f>SUM(V12:V17)</f>
        <v>72.5</v>
      </c>
      <c r="W19">
        <f>SUM(W12:W17)</f>
        <v>47.5</v>
      </c>
      <c r="X19">
        <f>+W19+V19</f>
        <v>120</v>
      </c>
    </row>
    <row r="20" spans="1:23" ht="12">
      <c r="A20" t="s">
        <v>8</v>
      </c>
      <c r="D20" s="2">
        <v>1</v>
      </c>
      <c r="H20" t="s">
        <v>8</v>
      </c>
      <c r="M20" s="2">
        <v>4</v>
      </c>
      <c r="V20">
        <f>+V19/X19</f>
        <v>0.6041666666666666</v>
      </c>
      <c r="W20">
        <f>+W19/X19</f>
        <v>0.3958333333333333</v>
      </c>
    </row>
    <row r="21" spans="1:23" ht="12">
      <c r="A21" t="s">
        <v>9</v>
      </c>
      <c r="D21" s="2">
        <v>2</v>
      </c>
      <c r="H21" t="s">
        <v>9</v>
      </c>
      <c r="M21" s="2">
        <f>14+9+7+7</f>
        <v>37</v>
      </c>
      <c r="V21">
        <f>+V20*60</f>
        <v>36.25</v>
      </c>
      <c r="W21">
        <f>+W20*60</f>
        <v>23.75</v>
      </c>
    </row>
    <row r="22" spans="1:23" ht="12">
      <c r="A22" t="s">
        <v>10</v>
      </c>
      <c r="D22">
        <f>+D19-D21</f>
        <v>227</v>
      </c>
      <c r="H22" t="s">
        <v>10</v>
      </c>
      <c r="M22">
        <f>+M19-M21</f>
        <v>109</v>
      </c>
      <c r="V22">
        <f>+V21-INT(V21)</f>
        <v>0.25</v>
      </c>
      <c r="W22">
        <f>+W21-INT(W21)</f>
        <v>0.75</v>
      </c>
    </row>
    <row r="23" spans="1:23" ht="12">
      <c r="A23" t="s">
        <v>11</v>
      </c>
      <c r="D23" s="7">
        <f>+D22/(D16+D20)</f>
        <v>7.566666666666666</v>
      </c>
      <c r="H23" t="s">
        <v>11</v>
      </c>
      <c r="M23" s="7">
        <f>+M22/(M16+M20)</f>
        <v>3.5161290322580645</v>
      </c>
      <c r="V23">
        <f>+V22*60</f>
        <v>15</v>
      </c>
      <c r="W23">
        <f>+W22*60</f>
        <v>45</v>
      </c>
    </row>
    <row r="24" spans="1:23" ht="12">
      <c r="A24" t="s">
        <v>12</v>
      </c>
      <c r="D24" s="7">
        <f>+D19/D17</f>
        <v>13.470588235294118</v>
      </c>
      <c r="H24" t="s">
        <v>12</v>
      </c>
      <c r="M24" s="7">
        <f>+M19/M17</f>
        <v>9.125</v>
      </c>
      <c r="U24">
        <v>0</v>
      </c>
      <c r="V24" s="11">
        <f>ROUND(V23,0)</f>
        <v>15</v>
      </c>
      <c r="W24">
        <f>ROUND(W23,0)</f>
        <v>45</v>
      </c>
    </row>
    <row r="25" spans="22:23" ht="12">
      <c r="V25">
        <f>INT(V21)</f>
        <v>36</v>
      </c>
      <c r="W25">
        <f>INT(W21)</f>
        <v>23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379</v>
      </c>
      <c r="H27" t="s">
        <v>14</v>
      </c>
      <c r="M27">
        <f>+M22+M13</f>
        <v>190</v>
      </c>
      <c r="Q27" s="9"/>
      <c r="R27" s="9"/>
      <c r="V27" s="14" t="str">
        <f>+V25&amp;V26&amp;V24</f>
        <v>36:15</v>
      </c>
      <c r="W27" s="9" t="str">
        <f>+W25&amp;W26&amp;W24</f>
        <v>23:45</v>
      </c>
    </row>
    <row r="28" spans="1:23" ht="12">
      <c r="A28" t="s">
        <v>15</v>
      </c>
      <c r="D28" s="7">
        <f>+D13/D27*100</f>
        <v>40.105540897097626</v>
      </c>
      <c r="H28" t="s">
        <v>15</v>
      </c>
      <c r="M28" s="7">
        <f>+M13/M27*100</f>
        <v>42.63157894736842</v>
      </c>
      <c r="V28" s="9" t="str">
        <f>IF(V24&lt;10,+V25&amp;V26&amp;$U$24&amp;V24,+V25&amp;V26&amp;V24)</f>
        <v>36:15</v>
      </c>
      <c r="W28" s="9" t="str">
        <f>IF(W24&lt;10,+W25&amp;W26&amp;$U$24&amp;W24,+W25&amp;W26&amp;W24)</f>
        <v>23:45</v>
      </c>
    </row>
    <row r="29" spans="1:13" ht="12">
      <c r="A29" s="1" t="s">
        <v>90</v>
      </c>
      <c r="D29" s="7">
        <f>+D22/D27*100</f>
        <v>59.894459102902374</v>
      </c>
      <c r="H29" s="1" t="s">
        <v>90</v>
      </c>
      <c r="M29" s="7">
        <f>+M22/M27*100</f>
        <v>57.36842105263158</v>
      </c>
    </row>
    <row r="31" spans="1:13" ht="12">
      <c r="A31" t="s">
        <v>16</v>
      </c>
      <c r="D31">
        <f>+D12+D16+D20</f>
        <v>74</v>
      </c>
      <c r="H31" t="s">
        <v>16</v>
      </c>
      <c r="M31">
        <f>+M12+M16+M20</f>
        <v>51</v>
      </c>
    </row>
    <row r="32" spans="1:13" ht="12">
      <c r="A32" t="s">
        <v>17</v>
      </c>
      <c r="D32" s="8">
        <f>+D27/D31</f>
        <v>5.121621621621622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3.7254901960784315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2</v>
      </c>
      <c r="H35" t="s">
        <v>19</v>
      </c>
      <c r="M35" s="2">
        <v>1</v>
      </c>
    </row>
    <row r="36" spans="1:13" ht="12">
      <c r="A36" t="s">
        <v>20</v>
      </c>
      <c r="D36" s="2">
        <v>25</v>
      </c>
      <c r="H36" t="s">
        <v>20</v>
      </c>
      <c r="M36" s="2">
        <v>0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3</v>
      </c>
      <c r="H39" t="s">
        <v>22</v>
      </c>
      <c r="M39" s="2">
        <v>6</v>
      </c>
    </row>
    <row r="40" spans="1:13" ht="12">
      <c r="A40" t="s">
        <v>23</v>
      </c>
      <c r="D40" s="2">
        <f>22+42+47</f>
        <v>111</v>
      </c>
      <c r="G40" t="str">
        <f>IF(D40=SUM(D142:D144),"ok","ERR")</f>
        <v>ok</v>
      </c>
      <c r="H40" t="s">
        <v>23</v>
      </c>
      <c r="M40" s="2">
        <f>34+29+56+44+41+44</f>
        <v>248</v>
      </c>
    </row>
    <row r="41" spans="1:13" ht="12">
      <c r="A41" t="s">
        <v>24</v>
      </c>
      <c r="D41" s="8">
        <f>+D40/D39</f>
        <v>37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41.333333333333336</v>
      </c>
    </row>
    <row r="43" spans="1:13" ht="12">
      <c r="A43" t="s">
        <v>25</v>
      </c>
      <c r="D43" s="2">
        <v>5</v>
      </c>
      <c r="H43" t="s">
        <v>25</v>
      </c>
      <c r="M43" s="2">
        <v>1</v>
      </c>
    </row>
    <row r="44" spans="1:13" ht="12">
      <c r="A44" t="s">
        <v>26</v>
      </c>
      <c r="D44" s="2">
        <f>3+1+0+10+9</f>
        <v>23</v>
      </c>
      <c r="H44" t="s">
        <v>26</v>
      </c>
      <c r="M44" s="2">
        <v>14</v>
      </c>
    </row>
    <row r="45" spans="1:13" ht="12">
      <c r="A45" t="s">
        <v>27</v>
      </c>
      <c r="D45" s="8">
        <f>+D44/D43</f>
        <v>4.6</v>
      </c>
      <c r="H45" t="s">
        <v>27</v>
      </c>
      <c r="M45" s="8">
        <f>+M44/M43</f>
        <v>14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3</v>
      </c>
      <c r="H48" t="s">
        <v>30</v>
      </c>
      <c r="M48" s="2">
        <v>5</v>
      </c>
    </row>
    <row r="49" spans="1:13" ht="12">
      <c r="A49" t="s">
        <v>26</v>
      </c>
      <c r="D49" s="2">
        <v>50</v>
      </c>
      <c r="G49" t="str">
        <f>IF(D49=SUM(D131:D139),"ok","ERR")</f>
        <v>ok</v>
      </c>
      <c r="H49" t="s">
        <v>26</v>
      </c>
      <c r="M49" s="2">
        <f>14+11+14+19+8</f>
        <v>66</v>
      </c>
    </row>
    <row r="50" spans="1:13" ht="12">
      <c r="A50" t="s">
        <v>27</v>
      </c>
      <c r="D50" s="8">
        <f>+D49/D48</f>
        <v>16.666666666666668</v>
      </c>
      <c r="H50" t="s">
        <v>27</v>
      </c>
      <c r="M50" s="8">
        <f>+M49/M48</f>
        <v>13.2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6</v>
      </c>
      <c r="H53" t="s">
        <v>31</v>
      </c>
      <c r="M53" s="2">
        <v>13</v>
      </c>
    </row>
    <row r="54" spans="1:13" ht="12">
      <c r="A54" t="s">
        <v>32</v>
      </c>
      <c r="D54" s="2">
        <v>80</v>
      </c>
      <c r="H54" t="s">
        <v>32</v>
      </c>
      <c r="M54" s="2">
        <v>108</v>
      </c>
    </row>
    <row r="56" spans="1:13" ht="12">
      <c r="A56" t="s">
        <v>33</v>
      </c>
      <c r="D56" s="2">
        <v>4</v>
      </c>
      <c r="G56" t="str">
        <f>IF(D56=SUM(H76:H105)+SUM(N113:N116)+SUM(I120:I125)+SUM(H130:H135)+SUM(H142:H144)+SUM(H154:H166)+SUM(G187:G237),"ok","ERR")</f>
        <v>ERR</v>
      </c>
      <c r="H56" t="s">
        <v>33</v>
      </c>
      <c r="M56" s="2">
        <v>3</v>
      </c>
    </row>
    <row r="57" spans="1:13" ht="12">
      <c r="A57" t="s">
        <v>34</v>
      </c>
      <c r="D57" s="2">
        <v>3</v>
      </c>
      <c r="H57" t="s">
        <v>34</v>
      </c>
      <c r="M57" s="2">
        <v>0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3</v>
      </c>
      <c r="H59" t="s">
        <v>36</v>
      </c>
      <c r="M59" s="2">
        <v>1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6" ht="12">
      <c r="A62" t="s">
        <v>38</v>
      </c>
      <c r="D62" s="2">
        <v>33</v>
      </c>
      <c r="H62" t="s">
        <v>38</v>
      </c>
      <c r="M62" s="2">
        <v>13</v>
      </c>
      <c r="N62" t="str">
        <f>IF(K62=K63*6+K68*2+K69*3+K67,"ok","ERR")</f>
        <v>ok</v>
      </c>
      <c r="P62" t="str">
        <f>IF(M62=M63*6+M68*2+M69*3+M67,"ok","ERR")</f>
        <v>ok</v>
      </c>
    </row>
    <row r="63" spans="1:13" ht="12">
      <c r="A63" t="s">
        <v>39</v>
      </c>
      <c r="D63" s="2">
        <v>3</v>
      </c>
      <c r="H63" t="s">
        <v>39</v>
      </c>
      <c r="M63" s="2">
        <v>2</v>
      </c>
    </row>
    <row r="64" spans="1:13" ht="12">
      <c r="A64" t="s">
        <v>40</v>
      </c>
      <c r="D64" s="2">
        <v>2</v>
      </c>
      <c r="G64" t="str">
        <f>IF(D64=SUM(G76:G87),"ok","ERR")</f>
        <v>ok</v>
      </c>
      <c r="H64" t="s">
        <v>40</v>
      </c>
      <c r="M64" s="2">
        <v>0</v>
      </c>
    </row>
    <row r="65" spans="1:13" ht="12">
      <c r="A65" t="s">
        <v>41</v>
      </c>
      <c r="D65" s="2">
        <v>1</v>
      </c>
      <c r="H65" t="s">
        <v>41</v>
      </c>
      <c r="M65" s="2">
        <v>2</v>
      </c>
    </row>
    <row r="66" spans="1:13" ht="12">
      <c r="A66" t="s">
        <v>42</v>
      </c>
      <c r="D66" s="2">
        <v>0</v>
      </c>
      <c r="H66" t="s">
        <v>42</v>
      </c>
      <c r="M66" s="2">
        <v>0</v>
      </c>
    </row>
    <row r="67" spans="1:13" ht="12">
      <c r="A67" t="s">
        <v>43</v>
      </c>
      <c r="D67" s="2">
        <v>3</v>
      </c>
      <c r="H67" t="s">
        <v>43</v>
      </c>
      <c r="M67" s="2">
        <v>1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4</v>
      </c>
      <c r="H69" t="s">
        <v>45</v>
      </c>
      <c r="M69" s="2">
        <v>0</v>
      </c>
    </row>
    <row r="70" spans="1:13" ht="12">
      <c r="A70" t="s">
        <v>46</v>
      </c>
      <c r="D70" s="2">
        <v>4</v>
      </c>
      <c r="H70" t="s">
        <v>46</v>
      </c>
      <c r="M70" s="2">
        <v>1</v>
      </c>
    </row>
    <row r="71" spans="1:13" ht="12">
      <c r="A71" t="s">
        <v>47</v>
      </c>
      <c r="D71" s="8">
        <f>+D69/D70*100</f>
        <v>100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0</v>
      </c>
    </row>
    <row r="72" spans="1:13" ht="12">
      <c r="A72" t="s">
        <v>93</v>
      </c>
      <c r="D72" s="10" t="str">
        <f>IF(V24&lt;10,V28,V27)</f>
        <v>36:15</v>
      </c>
      <c r="E72" s="8"/>
      <c r="F72" s="8"/>
      <c r="H72" t="s">
        <v>93</v>
      </c>
      <c r="M72" s="10" t="str">
        <f>IF(W24&lt;10,W28,W27)</f>
        <v>23:45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6" ht="12">
      <c r="A76" t="s">
        <v>112</v>
      </c>
      <c r="C76">
        <v>2</v>
      </c>
      <c r="D76">
        <v>11</v>
      </c>
      <c r="E76" s="12">
        <f>+D76/C76</f>
        <v>5.5</v>
      </c>
      <c r="F76">
        <v>12</v>
      </c>
    </row>
    <row r="77" spans="1:5" ht="12">
      <c r="A77" t="s">
        <v>113</v>
      </c>
      <c r="E77" s="12" t="e">
        <f>+D77/C77</f>
        <v>#DIV/0!</v>
      </c>
    </row>
    <row r="78" spans="1:6" ht="12">
      <c r="A78" t="s">
        <v>114</v>
      </c>
      <c r="C78">
        <v>12</v>
      </c>
      <c r="D78">
        <v>36</v>
      </c>
      <c r="E78" s="12">
        <f>+D78/C78</f>
        <v>3</v>
      </c>
      <c r="F78">
        <v>10</v>
      </c>
    </row>
    <row r="79" spans="1:6" ht="12">
      <c r="A79" t="s">
        <v>115</v>
      </c>
      <c r="C79">
        <v>8</v>
      </c>
      <c r="D79">
        <v>13</v>
      </c>
      <c r="E79" s="12">
        <f aca="true" t="shared" si="0" ref="E79:E85">+D79/C79</f>
        <v>1.625</v>
      </c>
      <c r="F79">
        <v>8</v>
      </c>
    </row>
    <row r="80" spans="1:5" ht="12">
      <c r="A80" t="s">
        <v>116</v>
      </c>
      <c r="E80" s="12" t="e">
        <f t="shared" si="0"/>
        <v>#DIV/0!</v>
      </c>
    </row>
    <row r="81" spans="1:8" ht="12">
      <c r="A81" t="s">
        <v>117</v>
      </c>
      <c r="C81">
        <v>7</v>
      </c>
      <c r="D81">
        <v>31</v>
      </c>
      <c r="E81" s="12">
        <f t="shared" si="0"/>
        <v>4.428571428571429</v>
      </c>
      <c r="F81">
        <v>10</v>
      </c>
      <c r="H81">
        <v>1</v>
      </c>
    </row>
    <row r="82" spans="1:5" ht="12">
      <c r="A82" t="s">
        <v>118</v>
      </c>
      <c r="E82" s="12" t="e">
        <f t="shared" si="0"/>
        <v>#DIV/0!</v>
      </c>
    </row>
    <row r="83" spans="1:5" ht="12">
      <c r="A83" t="s">
        <v>119</v>
      </c>
      <c r="E83" s="12" t="e">
        <f t="shared" si="0"/>
        <v>#DIV/0!</v>
      </c>
    </row>
    <row r="84" spans="1:6" ht="12">
      <c r="A84" t="s">
        <v>120</v>
      </c>
      <c r="C84">
        <v>1</v>
      </c>
      <c r="D84">
        <v>5</v>
      </c>
      <c r="E84" s="12">
        <f t="shared" si="0"/>
        <v>5</v>
      </c>
      <c r="F84">
        <v>5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7" ht="12">
      <c r="A87" t="s">
        <v>123</v>
      </c>
      <c r="C87">
        <v>11</v>
      </c>
      <c r="D87">
        <v>39</v>
      </c>
      <c r="E87" s="12">
        <f>+D87/C87</f>
        <v>3.5454545454545454</v>
      </c>
      <c r="F87">
        <v>12</v>
      </c>
      <c r="G87">
        <v>2</v>
      </c>
    </row>
    <row r="88" spans="1:5" ht="12">
      <c r="A88" t="s">
        <v>124</v>
      </c>
      <c r="E88" s="8"/>
    </row>
    <row r="89" spans="1:6" ht="12">
      <c r="A89" t="s">
        <v>125</v>
      </c>
      <c r="C89">
        <v>3</v>
      </c>
      <c r="D89">
        <v>17</v>
      </c>
      <c r="E89" s="8"/>
      <c r="F89">
        <v>14</v>
      </c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5" ht="12">
      <c r="A94" t="s">
        <v>113</v>
      </c>
      <c r="E94" s="12" t="e">
        <f t="shared" si="1"/>
        <v>#DIV/0!</v>
      </c>
    </row>
    <row r="95" spans="1:7" ht="12">
      <c r="A95" t="s">
        <v>114</v>
      </c>
      <c r="C95">
        <v>1</v>
      </c>
      <c r="D95">
        <v>11</v>
      </c>
      <c r="E95" s="12">
        <f t="shared" si="1"/>
        <v>11</v>
      </c>
      <c r="F95">
        <v>11</v>
      </c>
      <c r="G95">
        <v>1</v>
      </c>
    </row>
    <row r="96" spans="1:6" ht="12">
      <c r="A96" t="s">
        <v>115</v>
      </c>
      <c r="C96">
        <v>3</v>
      </c>
      <c r="D96">
        <v>12</v>
      </c>
      <c r="E96" s="12">
        <f t="shared" si="1"/>
        <v>4</v>
      </c>
      <c r="F96">
        <v>10</v>
      </c>
    </row>
    <row r="97" spans="1:5" ht="12">
      <c r="A97" t="s">
        <v>117</v>
      </c>
      <c r="E97" s="12" t="e">
        <f t="shared" si="1"/>
        <v>#DIV/0!</v>
      </c>
    </row>
    <row r="98" spans="1:6" ht="12">
      <c r="A98" t="s">
        <v>128</v>
      </c>
      <c r="C98">
        <v>1</v>
      </c>
      <c r="D98">
        <v>5</v>
      </c>
      <c r="E98" s="12">
        <f t="shared" si="1"/>
        <v>5</v>
      </c>
      <c r="F98">
        <v>5</v>
      </c>
    </row>
    <row r="99" spans="1:5" ht="12">
      <c r="A99" t="s">
        <v>119</v>
      </c>
      <c r="E99" s="12" t="e">
        <f t="shared" si="1"/>
        <v>#DIV/0!</v>
      </c>
    </row>
    <row r="100" spans="1:6" ht="12">
      <c r="A100" t="s">
        <v>120</v>
      </c>
      <c r="C100">
        <v>4</v>
      </c>
      <c r="D100">
        <v>83</v>
      </c>
      <c r="E100" s="12">
        <f t="shared" si="1"/>
        <v>20.75</v>
      </c>
      <c r="F100">
        <v>31</v>
      </c>
    </row>
    <row r="101" spans="1:6" ht="12">
      <c r="A101" t="s">
        <v>129</v>
      </c>
      <c r="C101">
        <v>2</v>
      </c>
      <c r="D101">
        <v>29</v>
      </c>
      <c r="E101" s="12">
        <f t="shared" si="1"/>
        <v>14.5</v>
      </c>
      <c r="F101">
        <v>21</v>
      </c>
    </row>
    <row r="102" spans="1:6" ht="12">
      <c r="A102" t="s">
        <v>130</v>
      </c>
      <c r="C102">
        <v>1</v>
      </c>
      <c r="D102">
        <v>21</v>
      </c>
      <c r="E102" s="12">
        <f t="shared" si="1"/>
        <v>21</v>
      </c>
      <c r="F102">
        <v>21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6" ht="12">
      <c r="A105" t="s">
        <v>132</v>
      </c>
      <c r="C105">
        <v>1</v>
      </c>
      <c r="D105">
        <v>29</v>
      </c>
      <c r="E105" s="12">
        <f>+D105/C105</f>
        <v>29</v>
      </c>
      <c r="F105">
        <v>29</v>
      </c>
    </row>
    <row r="106" spans="1:8" ht="12">
      <c r="A106" t="s">
        <v>123</v>
      </c>
      <c r="C106">
        <v>4</v>
      </c>
      <c r="D106">
        <v>39</v>
      </c>
      <c r="E106" s="12"/>
      <c r="F106">
        <v>24</v>
      </c>
      <c r="H106">
        <v>1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C113">
        <v>1</v>
      </c>
      <c r="E113" s="12">
        <f aca="true" t="shared" si="2" ref="E113:E118">+D113/C113*100</f>
        <v>0</v>
      </c>
      <c r="J113" s="8">
        <f>+G113/C113*100</f>
        <v>0</v>
      </c>
      <c r="K113" s="12">
        <f aca="true" t="shared" si="3" ref="K113:K118">+I113/C113*100</f>
        <v>0</v>
      </c>
      <c r="L113" s="12">
        <f aca="true" t="shared" si="4" ref="L113:L118">+F113/C113</f>
        <v>0</v>
      </c>
      <c r="M113" s="12">
        <f aca="true" t="shared" si="5" ref="M113:M118">100*(S113+U113+W113+Y113)/6</f>
        <v>39.583333333333336</v>
      </c>
      <c r="R113">
        <f aca="true" t="shared" si="6" ref="R113:R118">+(E113-30)/20</f>
        <v>-1.5</v>
      </c>
      <c r="S113" s="2">
        <f aca="true" t="shared" si="7" ref="S113:S118">IF(R113&lt;0,0,R113)</f>
        <v>0</v>
      </c>
      <c r="T113" s="6">
        <f aca="true" t="shared" si="8" ref="T113:T118">+(L113-3)/4</f>
        <v>-0.75</v>
      </c>
      <c r="U113" s="2">
        <f aca="true" t="shared" si="9" ref="U113:U118">IF(T113&lt;0,0,T113)</f>
        <v>0</v>
      </c>
      <c r="V113">
        <f aca="true" t="shared" si="10" ref="V113:V118">+J113/5</f>
        <v>0</v>
      </c>
      <c r="W113" s="2">
        <f aca="true" t="shared" si="11" ref="W113:W118">IF(V113&lt;0,0,V113)</f>
        <v>0</v>
      </c>
      <c r="X113">
        <f aca="true" t="shared" si="12" ref="X113:X118">(9.5-K113)/4</f>
        <v>2.375</v>
      </c>
      <c r="Y113" s="2">
        <f aca="true" t="shared" si="13" ref="Y113:Y118">IF(X113&lt;0,0,X113)</f>
        <v>2.375</v>
      </c>
    </row>
    <row r="114" spans="1:25" ht="12">
      <c r="A114" t="s">
        <v>118</v>
      </c>
      <c r="E114" s="12" t="e">
        <f t="shared" si="2"/>
        <v>#DIV/0!</v>
      </c>
      <c r="J114" s="8"/>
      <c r="K114" s="12" t="e">
        <f t="shared" si="3"/>
        <v>#DIV/0!</v>
      </c>
      <c r="L114" s="12" t="e">
        <f t="shared" si="4"/>
        <v>#DIV/0!</v>
      </c>
      <c r="M114" s="12" t="e">
        <f t="shared" si="5"/>
        <v>#DIV/0!</v>
      </c>
      <c r="R114" t="e">
        <f t="shared" si="6"/>
        <v>#DIV/0!</v>
      </c>
      <c r="S114" s="2" t="e">
        <f t="shared" si="7"/>
        <v>#DIV/0!</v>
      </c>
      <c r="T114" s="6" t="e">
        <f t="shared" si="8"/>
        <v>#DIV/0!</v>
      </c>
      <c r="U114" s="2" t="e">
        <f t="shared" si="9"/>
        <v>#DIV/0!</v>
      </c>
      <c r="V114">
        <f t="shared" si="10"/>
        <v>0</v>
      </c>
      <c r="W114" s="2">
        <f t="shared" si="11"/>
        <v>0</v>
      </c>
      <c r="X114" t="e">
        <f t="shared" si="12"/>
        <v>#DIV/0!</v>
      </c>
      <c r="Y114" s="2" t="e">
        <f t="shared" si="13"/>
        <v>#DIV/0!</v>
      </c>
    </row>
    <row r="115" spans="1:25" ht="12">
      <c r="A115" t="s">
        <v>120</v>
      </c>
      <c r="E115" s="12" t="e">
        <f t="shared" si="2"/>
        <v>#DIV/0!</v>
      </c>
      <c r="J115" s="8"/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>
        <f t="shared" si="10"/>
        <v>0</v>
      </c>
      <c r="W115" s="2">
        <f t="shared" si="11"/>
        <v>0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/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>
        <f t="shared" si="10"/>
        <v>0</v>
      </c>
      <c r="W116" s="2">
        <f t="shared" si="11"/>
        <v>0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C117">
        <v>28</v>
      </c>
      <c r="D117">
        <v>17</v>
      </c>
      <c r="E117" s="12">
        <f t="shared" si="2"/>
        <v>60.71428571428571</v>
      </c>
      <c r="F117">
        <v>229</v>
      </c>
      <c r="G117">
        <v>1</v>
      </c>
      <c r="H117">
        <v>31</v>
      </c>
      <c r="I117">
        <v>2</v>
      </c>
      <c r="J117" s="8">
        <f>+G117/C117*100</f>
        <v>3.571428571428571</v>
      </c>
      <c r="K117" s="12">
        <f t="shared" si="3"/>
        <v>7.142857142857142</v>
      </c>
      <c r="L117" s="12">
        <f t="shared" si="4"/>
        <v>8.178571428571429</v>
      </c>
      <c r="M117" s="12">
        <f t="shared" si="5"/>
        <v>68.89880952380952</v>
      </c>
      <c r="N117">
        <v>1</v>
      </c>
      <c r="O117">
        <v>1</v>
      </c>
      <c r="R117">
        <f t="shared" si="6"/>
        <v>1.5357142857142854</v>
      </c>
      <c r="S117" s="2">
        <f t="shared" si="7"/>
        <v>1.5357142857142854</v>
      </c>
      <c r="T117" s="6">
        <f t="shared" si="8"/>
        <v>1.2946428571428572</v>
      </c>
      <c r="U117" s="2">
        <f t="shared" si="9"/>
        <v>1.2946428571428572</v>
      </c>
      <c r="V117">
        <f t="shared" si="10"/>
        <v>0.7142857142857142</v>
      </c>
      <c r="W117" s="2">
        <f t="shared" si="11"/>
        <v>0.7142857142857142</v>
      </c>
      <c r="X117">
        <f t="shared" si="12"/>
        <v>0.5892857142857144</v>
      </c>
      <c r="Y117" s="2">
        <f t="shared" si="13"/>
        <v>0.5892857142857144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3</v>
      </c>
      <c r="E121">
        <v>19</v>
      </c>
      <c r="F121" s="12">
        <f aca="true" t="shared" si="14" ref="F121:F126">+E121/C121</f>
        <v>6.333333333333333</v>
      </c>
      <c r="G121">
        <v>10</v>
      </c>
    </row>
    <row r="122" spans="1:6" ht="12">
      <c r="A122" t="s">
        <v>134</v>
      </c>
      <c r="F122" s="12" t="e">
        <f t="shared" si="14"/>
        <v>#DIV/0!</v>
      </c>
    </row>
    <row r="123" spans="1:7" ht="12">
      <c r="A123" t="s">
        <v>135</v>
      </c>
      <c r="C123">
        <v>2</v>
      </c>
      <c r="E123">
        <v>4</v>
      </c>
      <c r="F123" s="12">
        <f t="shared" si="14"/>
        <v>2</v>
      </c>
      <c r="G123">
        <v>3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5" ht="12">
      <c r="A132" t="s">
        <v>137</v>
      </c>
      <c r="E132" s="12" t="e">
        <f t="shared" si="15"/>
        <v>#DIV/0!</v>
      </c>
    </row>
    <row r="133" spans="1:5" ht="12">
      <c r="A133" t="s">
        <v>116</v>
      </c>
      <c r="E133" s="12" t="e">
        <f t="shared" si="15"/>
        <v>#DIV/0!</v>
      </c>
    </row>
    <row r="134" spans="1:5" ht="12">
      <c r="A134" t="s">
        <v>128</v>
      </c>
      <c r="E134" s="12" t="e">
        <f t="shared" si="15"/>
        <v>#DIV/0!</v>
      </c>
    </row>
    <row r="135" spans="1:6" ht="12">
      <c r="A135" t="s">
        <v>134</v>
      </c>
      <c r="C135">
        <v>1</v>
      </c>
      <c r="D135">
        <v>20</v>
      </c>
      <c r="E135" s="12">
        <f t="shared" si="15"/>
        <v>20</v>
      </c>
      <c r="F135">
        <v>20</v>
      </c>
    </row>
    <row r="136" spans="1:5" ht="12">
      <c r="A136" t="s">
        <v>119</v>
      </c>
      <c r="E136" s="12" t="e">
        <f t="shared" si="15"/>
        <v>#DIV/0!</v>
      </c>
    </row>
    <row r="137" spans="1:8" ht="12">
      <c r="A137" t="s">
        <v>135</v>
      </c>
      <c r="C137">
        <v>2</v>
      </c>
      <c r="D137">
        <v>30</v>
      </c>
      <c r="E137" s="12">
        <f>+D137/C137</f>
        <v>15</v>
      </c>
      <c r="F137">
        <v>15</v>
      </c>
      <c r="H137">
        <v>1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3</v>
      </c>
      <c r="D143">
        <f>22+42+47</f>
        <v>111</v>
      </c>
      <c r="F143">
        <v>47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21" ht="12">
      <c r="A151" t="s">
        <v>140</v>
      </c>
      <c r="C151">
        <v>8</v>
      </c>
      <c r="D151">
        <v>3</v>
      </c>
      <c r="E151">
        <v>3</v>
      </c>
      <c r="F151">
        <v>3</v>
      </c>
      <c r="G151">
        <v>4</v>
      </c>
      <c r="H151">
        <v>4</v>
      </c>
      <c r="I151" s="12">
        <f>+H151/G151*100</f>
        <v>100</v>
      </c>
      <c r="J151">
        <v>52</v>
      </c>
      <c r="N151">
        <v>2</v>
      </c>
      <c r="O151">
        <v>2</v>
      </c>
      <c r="R151">
        <v>1</v>
      </c>
      <c r="S151">
        <v>1</v>
      </c>
      <c r="T151">
        <v>1</v>
      </c>
      <c r="U151">
        <v>1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5" ht="12">
      <c r="A158" t="s">
        <v>143</v>
      </c>
      <c r="E158" s="12" t="e">
        <f t="shared" si="16"/>
        <v>#DIV/0!</v>
      </c>
    </row>
    <row r="159" spans="1:5" ht="12">
      <c r="A159" t="s">
        <v>144</v>
      </c>
      <c r="C159">
        <v>1</v>
      </c>
      <c r="E159" s="12">
        <f t="shared" si="16"/>
        <v>0</v>
      </c>
    </row>
    <row r="160" spans="1:5" ht="12">
      <c r="A160" t="s">
        <v>145</v>
      </c>
      <c r="E160" s="12" t="e">
        <f t="shared" si="16"/>
        <v>#DIV/0!</v>
      </c>
    </row>
    <row r="161" spans="1:5" ht="12">
      <c r="A161" t="s">
        <v>146</v>
      </c>
      <c r="E161" s="12" t="e">
        <f t="shared" si="16"/>
        <v>#DIV/0!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>
        <v>2</v>
      </c>
      <c r="D172" s="3">
        <v>21</v>
      </c>
    </row>
    <row r="173" spans="1:4" ht="12">
      <c r="A173" t="s">
        <v>148</v>
      </c>
      <c r="C173" s="3">
        <v>1</v>
      </c>
      <c r="D173" s="3">
        <v>9</v>
      </c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>
        <v>1</v>
      </c>
      <c r="D176" s="3">
        <v>7</v>
      </c>
    </row>
    <row r="177" spans="1:4" ht="12">
      <c r="A177" t="s">
        <v>151</v>
      </c>
      <c r="C177" s="3"/>
      <c r="D177" s="3"/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spans="1:3" ht="12">
      <c r="A192" t="s">
        <v>126</v>
      </c>
      <c r="C192">
        <v>1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spans="1:3" ht="12">
      <c r="A229" t="s">
        <v>162</v>
      </c>
      <c r="C229">
        <v>1</v>
      </c>
    </row>
    <row r="230" spans="1:3" ht="12">
      <c r="A230" t="s">
        <v>163</v>
      </c>
      <c r="C230">
        <v>1</v>
      </c>
    </row>
    <row r="231" ht="12">
      <c r="A231" t="s">
        <v>131</v>
      </c>
    </row>
    <row r="232" ht="12">
      <c r="A232" t="s">
        <v>132</v>
      </c>
    </row>
    <row r="233" spans="1:3" ht="12">
      <c r="A233" t="s">
        <v>146</v>
      </c>
      <c r="C233">
        <v>1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spans="1:3" ht="12">
      <c r="A241" t="s">
        <v>151</v>
      </c>
      <c r="C241">
        <v>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zoomScale="125" zoomScaleNormal="125" workbookViewId="0" topLeftCell="A1">
      <selection activeCell="A1" sqref="A1:N72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28125" style="0" customWidth="1"/>
  </cols>
  <sheetData>
    <row r="1" ht="12">
      <c r="A1" s="2" t="str">
        <f>+'Cumulative Stats'!A1</f>
        <v>1981 Seattle Seahawks</v>
      </c>
    </row>
    <row r="3" spans="1:16" ht="12">
      <c r="A3" s="2" t="s">
        <v>0</v>
      </c>
      <c r="H3" s="2" t="s">
        <v>48</v>
      </c>
      <c r="P3" s="16"/>
    </row>
    <row r="6" spans="1:13" ht="12">
      <c r="A6" s="1" t="s">
        <v>29</v>
      </c>
      <c r="D6" s="2">
        <v>14</v>
      </c>
      <c r="H6" s="1" t="s">
        <v>29</v>
      </c>
      <c r="M6" s="2">
        <v>21</v>
      </c>
    </row>
    <row r="7" spans="1:13" ht="12">
      <c r="A7" s="18" t="s">
        <v>95</v>
      </c>
      <c r="D7" s="2">
        <v>3</v>
      </c>
      <c r="H7" s="18" t="s">
        <v>95</v>
      </c>
      <c r="M7" s="2">
        <v>8</v>
      </c>
    </row>
    <row r="8" spans="1:13" ht="12">
      <c r="A8" s="18" t="s">
        <v>96</v>
      </c>
      <c r="D8" s="2">
        <v>10</v>
      </c>
      <c r="H8" s="18" t="s">
        <v>96</v>
      </c>
      <c r="M8" s="2">
        <v>12</v>
      </c>
    </row>
    <row r="9" spans="1:13" ht="12">
      <c r="A9" s="18" t="s">
        <v>97</v>
      </c>
      <c r="D9" s="2">
        <v>1</v>
      </c>
      <c r="H9" s="18" t="s">
        <v>97</v>
      </c>
      <c r="M9" s="2">
        <v>1</v>
      </c>
    </row>
    <row r="10" spans="1:14" ht="12">
      <c r="A10" s="21" t="s">
        <v>168</v>
      </c>
      <c r="C10">
        <v>3</v>
      </c>
      <c r="D10" s="2">
        <v>16</v>
      </c>
      <c r="E10" s="22">
        <f>+C10/D10</f>
        <v>0.1875</v>
      </c>
      <c r="H10" s="21" t="s">
        <v>168</v>
      </c>
      <c r="L10">
        <v>3</v>
      </c>
      <c r="M10" s="2">
        <v>10</v>
      </c>
      <c r="N10" s="22">
        <f>+L10/M10</f>
        <v>0.3</v>
      </c>
    </row>
    <row r="12" spans="1:23" ht="12">
      <c r="A12" t="s">
        <v>1</v>
      </c>
      <c r="D12" s="2">
        <f>6+7+4+3+5</f>
        <v>25</v>
      </c>
      <c r="H12" t="s">
        <v>1</v>
      </c>
      <c r="M12" s="2">
        <f>15+6+1+2</f>
        <v>24</v>
      </c>
      <c r="V12">
        <f>+D12</f>
        <v>25</v>
      </c>
      <c r="W12">
        <f>+M12</f>
        <v>24</v>
      </c>
    </row>
    <row r="13" spans="1:23" ht="12">
      <c r="A13" t="s">
        <v>2</v>
      </c>
      <c r="D13" s="2">
        <f>15+4+12+3+28</f>
        <v>62</v>
      </c>
      <c r="H13" t="s">
        <v>2</v>
      </c>
      <c r="M13" s="2">
        <f>84+9+0+18</f>
        <v>111</v>
      </c>
      <c r="U13" s="13"/>
      <c r="V13">
        <f>+D17</f>
        <v>22</v>
      </c>
      <c r="W13">
        <f>+M17</f>
        <v>26</v>
      </c>
    </row>
    <row r="14" spans="1:23" ht="12">
      <c r="A14" s="1" t="s">
        <v>3</v>
      </c>
      <c r="D14" s="8">
        <f>+D13/D12</f>
        <v>2.48</v>
      </c>
      <c r="H14" s="1" t="s">
        <v>3</v>
      </c>
      <c r="M14" s="8">
        <f>+M13/M12</f>
        <v>4.625</v>
      </c>
      <c r="V14">
        <f>+(D16-D17)/2</f>
        <v>10</v>
      </c>
      <c r="W14">
        <f>+(M16-M17)/2</f>
        <v>4</v>
      </c>
    </row>
    <row r="15" spans="16:23" ht="12">
      <c r="P15" s="17"/>
      <c r="V15">
        <f>+D39/2</f>
        <v>3.5</v>
      </c>
      <c r="W15">
        <f>+M39/2</f>
        <v>1</v>
      </c>
    </row>
    <row r="16" spans="1:23" ht="12">
      <c r="A16" t="s">
        <v>4</v>
      </c>
      <c r="D16" s="2">
        <v>42</v>
      </c>
      <c r="H16" t="s">
        <v>4</v>
      </c>
      <c r="M16" s="2">
        <v>34</v>
      </c>
      <c r="V16">
        <f>+D43/2</f>
        <v>0.5</v>
      </c>
      <c r="W16">
        <f>+M43/2</f>
        <v>3</v>
      </c>
    </row>
    <row r="17" spans="1:23" ht="12">
      <c r="A17" t="s">
        <v>5</v>
      </c>
      <c r="D17" s="2">
        <v>22</v>
      </c>
      <c r="H17" t="s">
        <v>5</v>
      </c>
      <c r="M17" s="2">
        <v>26</v>
      </c>
      <c r="V17">
        <f>+D48/2</f>
        <v>3.5</v>
      </c>
      <c r="W17">
        <f>+M48/2</f>
        <v>1</v>
      </c>
    </row>
    <row r="18" spans="1:13" ht="12">
      <c r="A18" t="s">
        <v>6</v>
      </c>
      <c r="D18" s="8">
        <f>+D17/D16*100</f>
        <v>52.38095238095239</v>
      </c>
      <c r="H18" t="s">
        <v>6</v>
      </c>
      <c r="M18" s="8">
        <f>+M17/M16*100</f>
        <v>76.47058823529412</v>
      </c>
    </row>
    <row r="19" spans="1:24" ht="12">
      <c r="A19" t="s">
        <v>7</v>
      </c>
      <c r="C19" t="str">
        <f>IF(D19=SUM(D92:D105),"ok","ERR")</f>
        <v>ERR</v>
      </c>
      <c r="D19" s="2">
        <v>205</v>
      </c>
      <c r="H19" t="s">
        <v>7</v>
      </c>
      <c r="M19" s="2">
        <v>323</v>
      </c>
      <c r="V19">
        <f>SUM(V12:V17)</f>
        <v>64.5</v>
      </c>
      <c r="W19">
        <f>SUM(W12:W17)</f>
        <v>59</v>
      </c>
      <c r="X19">
        <f>+W19+V19</f>
        <v>123.5</v>
      </c>
    </row>
    <row r="20" spans="1:23" ht="12">
      <c r="A20" t="s">
        <v>8</v>
      </c>
      <c r="D20" s="2">
        <v>2</v>
      </c>
      <c r="H20" t="s">
        <v>8</v>
      </c>
      <c r="M20" s="2">
        <v>2</v>
      </c>
      <c r="V20">
        <f>+V19/X19</f>
        <v>0.5222672064777328</v>
      </c>
      <c r="W20">
        <f>+W19/X19</f>
        <v>0.4777327935222672</v>
      </c>
    </row>
    <row r="21" spans="1:23" ht="12">
      <c r="A21" t="s">
        <v>9</v>
      </c>
      <c r="D21" s="2">
        <v>8</v>
      </c>
      <c r="H21" t="s">
        <v>9</v>
      </c>
      <c r="M21" s="2">
        <v>16</v>
      </c>
      <c r="V21">
        <f>+V20*60</f>
        <v>31.33603238866397</v>
      </c>
      <c r="W21">
        <f>+W20*60</f>
        <v>28.663967611336034</v>
      </c>
    </row>
    <row r="22" spans="1:23" ht="12">
      <c r="A22" t="s">
        <v>10</v>
      </c>
      <c r="D22">
        <f>+D19-D21</f>
        <v>197</v>
      </c>
      <c r="H22" t="s">
        <v>10</v>
      </c>
      <c r="M22">
        <f>+M19-M21</f>
        <v>307</v>
      </c>
      <c r="V22">
        <f>+V21-INT(V21)</f>
        <v>0.3360323886639698</v>
      </c>
      <c r="W22">
        <f>+W21-INT(W21)</f>
        <v>0.6639676113360338</v>
      </c>
    </row>
    <row r="23" spans="1:23" ht="12">
      <c r="A23" t="s">
        <v>11</v>
      </c>
      <c r="D23" s="7">
        <f>+D22/(D16+D20)</f>
        <v>4.4772727272727275</v>
      </c>
      <c r="H23" t="s">
        <v>11</v>
      </c>
      <c r="M23" s="7">
        <f>+M22/(M16+M20)</f>
        <v>8.527777777777779</v>
      </c>
      <c r="V23">
        <f>+V22*60</f>
        <v>20.161943319838187</v>
      </c>
      <c r="W23">
        <f>+W22*60</f>
        <v>39.838056680162026</v>
      </c>
    </row>
    <row r="24" spans="1:23" ht="12">
      <c r="A24" t="s">
        <v>12</v>
      </c>
      <c r="D24" s="7">
        <f>+D19/D17</f>
        <v>9.318181818181818</v>
      </c>
      <c r="H24" t="s">
        <v>12</v>
      </c>
      <c r="M24" s="7">
        <f>+M19/M17</f>
        <v>12.423076923076923</v>
      </c>
      <c r="U24">
        <v>0</v>
      </c>
      <c r="V24" s="11">
        <f>ROUND(V23,0)</f>
        <v>20</v>
      </c>
      <c r="W24">
        <f>ROUND(W23,0)</f>
        <v>40</v>
      </c>
    </row>
    <row r="25" spans="22:23" ht="12">
      <c r="V25">
        <f>INT(V21)</f>
        <v>31</v>
      </c>
      <c r="W25">
        <f>INT(W21)</f>
        <v>28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259</v>
      </c>
      <c r="H27" t="s">
        <v>14</v>
      </c>
      <c r="M27">
        <f>+M22+M13</f>
        <v>418</v>
      </c>
      <c r="Q27" s="9"/>
      <c r="R27" s="9"/>
      <c r="V27" s="14" t="str">
        <f>+V25&amp;V26&amp;V24</f>
        <v>31:20</v>
      </c>
      <c r="W27" s="9" t="str">
        <f>+W25&amp;W26&amp;W24</f>
        <v>28:40</v>
      </c>
    </row>
    <row r="28" spans="1:23" ht="12">
      <c r="A28" t="s">
        <v>15</v>
      </c>
      <c r="D28" s="7">
        <f>+D13/D27*100</f>
        <v>23.93822393822394</v>
      </c>
      <c r="H28" t="s">
        <v>15</v>
      </c>
      <c r="M28" s="7">
        <f>+M13/M27*100</f>
        <v>26.555023923444978</v>
      </c>
      <c r="V28" s="9" t="str">
        <f>IF(V24&lt;10,+V25&amp;V26&amp;$U$24&amp;V24,+V25&amp;V26&amp;V24)</f>
        <v>31:20</v>
      </c>
      <c r="W28" s="9" t="str">
        <f>IF(W24&lt;10,+W25&amp;W26&amp;$U$24&amp;W24,+W25&amp;W26&amp;W24)</f>
        <v>28:40</v>
      </c>
    </row>
    <row r="29" spans="1:13" ht="12">
      <c r="A29" s="1" t="s">
        <v>90</v>
      </c>
      <c r="D29" s="7">
        <f>+D22/D27*100</f>
        <v>76.06177606177607</v>
      </c>
      <c r="H29" s="1" t="s">
        <v>90</v>
      </c>
      <c r="M29" s="7">
        <f>+M22/M27*100</f>
        <v>73.44497607655502</v>
      </c>
    </row>
    <row r="31" spans="1:13" ht="12">
      <c r="A31" t="s">
        <v>16</v>
      </c>
      <c r="D31">
        <f>+D12+D16+D20</f>
        <v>69</v>
      </c>
      <c r="H31" t="s">
        <v>16</v>
      </c>
      <c r="M31">
        <f>+M12+M16+M20</f>
        <v>60</v>
      </c>
    </row>
    <row r="32" spans="1:13" ht="12">
      <c r="A32" t="s">
        <v>17</v>
      </c>
      <c r="D32" s="8">
        <f>+D27/D31</f>
        <v>3.753623188405797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6.966666666666667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0</v>
      </c>
      <c r="H35" t="s">
        <v>19</v>
      </c>
      <c r="M35" s="2">
        <v>1</v>
      </c>
    </row>
    <row r="36" spans="1:13" ht="12">
      <c r="A36" t="s">
        <v>20</v>
      </c>
      <c r="D36" s="2">
        <v>0</v>
      </c>
      <c r="H36" t="s">
        <v>20</v>
      </c>
      <c r="M36" s="2">
        <v>20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7</v>
      </c>
      <c r="H39" t="s">
        <v>22</v>
      </c>
      <c r="M39" s="2">
        <v>2</v>
      </c>
    </row>
    <row r="40" spans="1:13" ht="12">
      <c r="A40" t="s">
        <v>23</v>
      </c>
      <c r="D40" s="2">
        <f>42+42+35+37+32+54+34</f>
        <v>276</v>
      </c>
      <c r="G40" t="str">
        <f>IF(D40=SUM(D142:D144),"ok","ERR")</f>
        <v>ok</v>
      </c>
      <c r="H40" t="s">
        <v>23</v>
      </c>
      <c r="M40" s="2">
        <v>81</v>
      </c>
    </row>
    <row r="41" spans="1:13" ht="12">
      <c r="A41" t="s">
        <v>24</v>
      </c>
      <c r="D41" s="8">
        <f>+D40/D39</f>
        <v>39.42857142857143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40.5</v>
      </c>
    </row>
    <row r="43" spans="1:13" ht="12">
      <c r="A43" t="s">
        <v>25</v>
      </c>
      <c r="D43" s="2">
        <v>1</v>
      </c>
      <c r="H43" t="s">
        <v>25</v>
      </c>
      <c r="M43" s="2">
        <v>6</v>
      </c>
    </row>
    <row r="44" spans="1:13" ht="12">
      <c r="A44" t="s">
        <v>26</v>
      </c>
      <c r="D44" s="2">
        <v>4</v>
      </c>
      <c r="H44" t="s">
        <v>26</v>
      </c>
      <c r="M44" s="2">
        <f>2+8+10+7+0+18</f>
        <v>45</v>
      </c>
    </row>
    <row r="45" spans="1:13" ht="12">
      <c r="A45" t="s">
        <v>27</v>
      </c>
      <c r="D45" s="8">
        <f>+D44/D43</f>
        <v>4</v>
      </c>
      <c r="H45" t="s">
        <v>27</v>
      </c>
      <c r="M45" s="8">
        <f>+M44/M43</f>
        <v>7.5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7</v>
      </c>
      <c r="H48" t="s">
        <v>30</v>
      </c>
      <c r="M48" s="2">
        <v>2</v>
      </c>
    </row>
    <row r="49" spans="1:13" ht="12">
      <c r="A49" t="s">
        <v>26</v>
      </c>
      <c r="D49" s="2">
        <f>12+17+17+19+12+19+22</f>
        <v>118</v>
      </c>
      <c r="G49" t="str">
        <f>IF(D49=SUM(D131:D139),"ok","ERR")</f>
        <v>ok</v>
      </c>
      <c r="H49" t="s">
        <v>26</v>
      </c>
      <c r="M49" s="2">
        <v>24</v>
      </c>
    </row>
    <row r="50" spans="1:13" ht="12">
      <c r="A50" t="s">
        <v>27</v>
      </c>
      <c r="D50" s="8">
        <f>+D49/D48</f>
        <v>16.857142857142858</v>
      </c>
      <c r="H50" t="s">
        <v>27</v>
      </c>
      <c r="M50" s="8">
        <f>+M49/M48</f>
        <v>12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4</v>
      </c>
      <c r="H53" t="s">
        <v>31</v>
      </c>
      <c r="M53" s="2">
        <v>5</v>
      </c>
    </row>
    <row r="54" spans="1:13" ht="12">
      <c r="A54" t="s">
        <v>32</v>
      </c>
      <c r="D54" s="2">
        <v>20</v>
      </c>
      <c r="H54" t="s">
        <v>32</v>
      </c>
      <c r="M54" s="2">
        <v>41</v>
      </c>
    </row>
    <row r="56" spans="1:13" ht="12">
      <c r="A56" t="s">
        <v>33</v>
      </c>
      <c r="D56" s="2">
        <v>3</v>
      </c>
      <c r="G56" t="str">
        <f>IF(D56=SUM(H76:H105)+SUM(N113:N116)+SUM(I120:I125)+SUM(H130:H135)+SUM(H142:H144)+SUM(H154:H166)+SUM(G187:G237),"ok","ERR")</f>
        <v>ERR</v>
      </c>
      <c r="H56" t="s">
        <v>33</v>
      </c>
      <c r="M56" s="2">
        <v>3</v>
      </c>
    </row>
    <row r="57" spans="1:13" ht="12">
      <c r="A57" t="s">
        <v>34</v>
      </c>
      <c r="D57" s="2">
        <v>2</v>
      </c>
      <c r="H57" t="s">
        <v>34</v>
      </c>
      <c r="M57" s="2">
        <v>0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3</v>
      </c>
      <c r="H59" t="s">
        <v>36</v>
      </c>
      <c r="M59" s="2">
        <v>1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6" ht="12">
      <c r="A62" t="s">
        <v>38</v>
      </c>
      <c r="D62" s="2">
        <v>13</v>
      </c>
      <c r="H62" t="s">
        <v>38</v>
      </c>
      <c r="M62" s="2">
        <v>30</v>
      </c>
      <c r="N62" t="str">
        <f>IF(K62=K63*6+K68*2+K69*3+K67,"ok","ERR")</f>
        <v>ok</v>
      </c>
      <c r="P62" t="str">
        <f>IF(M62=M63*6+M68*2+M69*3+M67,"ok","ERR")</f>
        <v>ok</v>
      </c>
    </row>
    <row r="63" spans="1:13" ht="12">
      <c r="A63" t="s">
        <v>39</v>
      </c>
      <c r="D63" s="2">
        <v>1</v>
      </c>
      <c r="H63" t="s">
        <v>39</v>
      </c>
      <c r="M63" s="2">
        <v>3</v>
      </c>
    </row>
    <row r="64" spans="1:13" ht="12">
      <c r="A64" t="s">
        <v>40</v>
      </c>
      <c r="D64" s="2">
        <v>0</v>
      </c>
      <c r="G64" t="str">
        <f>IF(D64=SUM(G76:G87),"ok","ERR")</f>
        <v>ok</v>
      </c>
      <c r="H64" t="s">
        <v>40</v>
      </c>
      <c r="M64" s="2">
        <v>1</v>
      </c>
    </row>
    <row r="65" spans="1:13" ht="12">
      <c r="A65" t="s">
        <v>41</v>
      </c>
      <c r="D65" s="2">
        <v>1</v>
      </c>
      <c r="H65" t="s">
        <v>41</v>
      </c>
      <c r="M65" s="2">
        <v>2</v>
      </c>
    </row>
    <row r="66" spans="1:13" ht="12">
      <c r="A66" t="s">
        <v>42</v>
      </c>
      <c r="D66" s="2">
        <v>0</v>
      </c>
      <c r="H66" t="s">
        <v>42</v>
      </c>
      <c r="M66" s="2">
        <v>0</v>
      </c>
    </row>
    <row r="67" spans="1:13" ht="12">
      <c r="A67" t="s">
        <v>43</v>
      </c>
      <c r="D67" s="2">
        <v>1</v>
      </c>
      <c r="H67" t="s">
        <v>43</v>
      </c>
      <c r="M67" s="2">
        <v>3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2</v>
      </c>
      <c r="H69" t="s">
        <v>45</v>
      </c>
      <c r="M69" s="2">
        <v>3</v>
      </c>
    </row>
    <row r="70" spans="1:13" ht="12">
      <c r="A70" t="s">
        <v>46</v>
      </c>
      <c r="D70" s="2">
        <v>3</v>
      </c>
      <c r="H70" t="s">
        <v>46</v>
      </c>
      <c r="M70" s="2">
        <v>4</v>
      </c>
    </row>
    <row r="71" spans="1:13" ht="12">
      <c r="A71" t="s">
        <v>47</v>
      </c>
      <c r="D71" s="8">
        <f>+D69/D70*100</f>
        <v>66.66666666666666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75</v>
      </c>
    </row>
    <row r="72" spans="1:13" ht="12">
      <c r="A72" t="s">
        <v>93</v>
      </c>
      <c r="D72" s="10" t="str">
        <f>IF(V24&lt;10,V28,V27)</f>
        <v>31:20</v>
      </c>
      <c r="E72" s="8"/>
      <c r="F72" s="8"/>
      <c r="H72" t="s">
        <v>93</v>
      </c>
      <c r="M72" s="10" t="str">
        <f>IF(W24&lt;10,W28,W27)</f>
        <v>28:40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5" ht="12">
      <c r="A77" t="s">
        <v>113</v>
      </c>
      <c r="E77" s="12" t="e">
        <f>+D77/C77</f>
        <v>#DIV/0!</v>
      </c>
    </row>
    <row r="78" spans="1:6" ht="12">
      <c r="A78" t="s">
        <v>114</v>
      </c>
      <c r="C78">
        <v>7</v>
      </c>
      <c r="D78">
        <v>4</v>
      </c>
      <c r="E78" s="12">
        <f>+D78/C78</f>
        <v>0.5714285714285714</v>
      </c>
      <c r="F78">
        <v>6</v>
      </c>
    </row>
    <row r="79" spans="1:6" ht="12">
      <c r="A79" t="s">
        <v>115</v>
      </c>
      <c r="C79">
        <v>4</v>
      </c>
      <c r="D79">
        <v>12</v>
      </c>
      <c r="E79" s="12">
        <f aca="true" t="shared" si="0" ref="E79:E85">+D79/C79</f>
        <v>3</v>
      </c>
      <c r="F79">
        <v>11</v>
      </c>
    </row>
    <row r="80" spans="1:5" ht="12">
      <c r="A80" t="s">
        <v>116</v>
      </c>
      <c r="E80" s="12" t="e">
        <f t="shared" si="0"/>
        <v>#DIV/0!</v>
      </c>
    </row>
    <row r="81" spans="1:6" ht="12">
      <c r="A81" t="s">
        <v>117</v>
      </c>
      <c r="C81">
        <v>3</v>
      </c>
      <c r="D81">
        <v>3</v>
      </c>
      <c r="E81" s="12">
        <f t="shared" si="0"/>
        <v>1</v>
      </c>
      <c r="F81">
        <v>1</v>
      </c>
    </row>
    <row r="82" spans="1:5" ht="12">
      <c r="A82" t="s">
        <v>118</v>
      </c>
      <c r="E82" s="12" t="e">
        <f t="shared" si="0"/>
        <v>#DIV/0!</v>
      </c>
    </row>
    <row r="83" spans="1:5" ht="12">
      <c r="A83" t="s">
        <v>119</v>
      </c>
      <c r="E83" s="12" t="e">
        <f t="shared" si="0"/>
        <v>#DIV/0!</v>
      </c>
    </row>
    <row r="84" spans="1:5" ht="12">
      <c r="A84" t="s">
        <v>120</v>
      </c>
      <c r="E84" s="12" t="e">
        <f t="shared" si="0"/>
        <v>#DIV/0!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6" ht="12">
      <c r="A87" t="s">
        <v>123</v>
      </c>
      <c r="C87">
        <v>6</v>
      </c>
      <c r="D87">
        <v>15</v>
      </c>
      <c r="E87" s="12">
        <f>+D87/C87</f>
        <v>2.5</v>
      </c>
      <c r="F87">
        <v>6</v>
      </c>
    </row>
    <row r="88" spans="1:5" ht="12">
      <c r="A88" t="s">
        <v>124</v>
      </c>
      <c r="E88" s="8"/>
    </row>
    <row r="89" spans="1:8" ht="12">
      <c r="A89" t="s">
        <v>125</v>
      </c>
      <c r="C89">
        <v>5</v>
      </c>
      <c r="D89">
        <v>28</v>
      </c>
      <c r="E89" s="8"/>
      <c r="F89">
        <v>19</v>
      </c>
      <c r="H89">
        <v>1</v>
      </c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5" ht="12">
      <c r="A94" t="s">
        <v>113</v>
      </c>
      <c r="E94" s="12" t="e">
        <f t="shared" si="1"/>
        <v>#DIV/0!</v>
      </c>
    </row>
    <row r="95" spans="1:6" ht="12">
      <c r="A95" t="s">
        <v>114</v>
      </c>
      <c r="C95">
        <v>3</v>
      </c>
      <c r="D95">
        <v>25</v>
      </c>
      <c r="E95" s="12">
        <f t="shared" si="1"/>
        <v>8.333333333333334</v>
      </c>
      <c r="F95">
        <v>13</v>
      </c>
    </row>
    <row r="96" spans="1:7" ht="12">
      <c r="A96" t="s">
        <v>115</v>
      </c>
      <c r="C96">
        <v>3</v>
      </c>
      <c r="D96">
        <v>15</v>
      </c>
      <c r="E96" s="12">
        <f t="shared" si="1"/>
        <v>5</v>
      </c>
      <c r="F96">
        <v>12</v>
      </c>
      <c r="G96">
        <v>1</v>
      </c>
    </row>
    <row r="97" spans="1:5" ht="12">
      <c r="A97" t="s">
        <v>117</v>
      </c>
      <c r="E97" s="12" t="e">
        <f t="shared" si="1"/>
        <v>#DIV/0!</v>
      </c>
    </row>
    <row r="98" spans="1:6" ht="12">
      <c r="A98" t="s">
        <v>128</v>
      </c>
      <c r="C98">
        <v>2</v>
      </c>
      <c r="D98">
        <v>28</v>
      </c>
      <c r="E98" s="12">
        <f t="shared" si="1"/>
        <v>14</v>
      </c>
      <c r="F98">
        <v>23</v>
      </c>
    </row>
    <row r="99" spans="1:6" ht="12">
      <c r="A99" t="s">
        <v>119</v>
      </c>
      <c r="C99">
        <v>1</v>
      </c>
      <c r="D99">
        <v>2</v>
      </c>
      <c r="E99" s="12">
        <f t="shared" si="1"/>
        <v>2</v>
      </c>
      <c r="F99">
        <v>2</v>
      </c>
    </row>
    <row r="100" spans="1:6" ht="12">
      <c r="A100" t="s">
        <v>120</v>
      </c>
      <c r="C100">
        <v>3</v>
      </c>
      <c r="D100">
        <v>43</v>
      </c>
      <c r="E100" s="12">
        <f t="shared" si="1"/>
        <v>14.333333333333334</v>
      </c>
      <c r="F100">
        <v>26</v>
      </c>
    </row>
    <row r="101" spans="1:6" ht="12">
      <c r="A101" t="s">
        <v>129</v>
      </c>
      <c r="C101">
        <v>4</v>
      </c>
      <c r="D101">
        <v>50</v>
      </c>
      <c r="E101" s="12">
        <f t="shared" si="1"/>
        <v>12.5</v>
      </c>
      <c r="F101">
        <v>19</v>
      </c>
    </row>
    <row r="102" spans="1:5" ht="12">
      <c r="A102" t="s">
        <v>130</v>
      </c>
      <c r="E102" s="12" t="e">
        <f t="shared" si="1"/>
        <v>#DIV/0!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6" ht="12">
      <c r="A105" t="s">
        <v>132</v>
      </c>
      <c r="C105">
        <v>1</v>
      </c>
      <c r="D105">
        <v>2</v>
      </c>
      <c r="E105" s="12">
        <f>+D105/C105</f>
        <v>2</v>
      </c>
      <c r="F105">
        <v>2</v>
      </c>
    </row>
    <row r="106" spans="1:6" ht="12">
      <c r="A106" t="s">
        <v>123</v>
      </c>
      <c r="C106">
        <v>5</v>
      </c>
      <c r="D106">
        <v>40</v>
      </c>
      <c r="E106" s="12"/>
      <c r="F106">
        <v>18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>+G113/C113*100</f>
        <v>#DIV/0!</v>
      </c>
      <c r="K113" s="12" t="e">
        <f aca="true" t="shared" si="3" ref="K113:K118">+I113/C113*100</f>
        <v>#DIV/0!</v>
      </c>
      <c r="L113" s="12" t="e">
        <f aca="true" t="shared" si="4" ref="L113:L118">+F113/C113</f>
        <v>#DIV/0!</v>
      </c>
      <c r="M113" s="12" t="e">
        <f aca="true" t="shared" si="5" ref="M113:M118">100*(S113+U113+W113+Y113)/6</f>
        <v>#DIV/0!</v>
      </c>
      <c r="R113" t="e">
        <f aca="true" t="shared" si="6" ref="R113:R118">+(E113-30)/20</f>
        <v>#DIV/0!</v>
      </c>
      <c r="S113" s="2" t="e">
        <f aca="true" t="shared" si="7" ref="S113:S118">IF(R113&lt;0,0,R113)</f>
        <v>#DIV/0!</v>
      </c>
      <c r="T113" s="6" t="e">
        <f aca="true" t="shared" si="8" ref="T113:T118">+(L113-3)/4</f>
        <v>#DIV/0!</v>
      </c>
      <c r="U113" s="2" t="e">
        <f aca="true" t="shared" si="9" ref="U113:U118">IF(T113&lt;0,0,T113)</f>
        <v>#DIV/0!</v>
      </c>
      <c r="V113" t="e">
        <f aca="true" t="shared" si="10" ref="V113:V118">+J113/5</f>
        <v>#DIV/0!</v>
      </c>
      <c r="W113" s="2" t="e">
        <f aca="true" t="shared" si="11" ref="W113:W118">IF(V113&lt;0,0,V113)</f>
        <v>#DIV/0!</v>
      </c>
      <c r="X113" t="e">
        <f aca="true" t="shared" si="12" ref="X113:X118">(9.5-K113)/4</f>
        <v>#DIV/0!</v>
      </c>
      <c r="Y113" s="2" t="e">
        <f aca="true" t="shared" si="13" ref="Y113:Y118">IF(X113&lt;0,0,X113)</f>
        <v>#DIV/0!</v>
      </c>
    </row>
    <row r="114" spans="1:25" ht="12">
      <c r="A114" t="s">
        <v>118</v>
      </c>
      <c r="E114" s="12" t="e">
        <f t="shared" si="2"/>
        <v>#DIV/0!</v>
      </c>
      <c r="J114" s="8"/>
      <c r="K114" s="12" t="e">
        <f t="shared" si="3"/>
        <v>#DIV/0!</v>
      </c>
      <c r="L114" s="12" t="e">
        <f t="shared" si="4"/>
        <v>#DIV/0!</v>
      </c>
      <c r="M114" s="12" t="e">
        <f t="shared" si="5"/>
        <v>#DIV/0!</v>
      </c>
      <c r="R114" t="e">
        <f t="shared" si="6"/>
        <v>#DIV/0!</v>
      </c>
      <c r="S114" s="2" t="e">
        <f t="shared" si="7"/>
        <v>#DIV/0!</v>
      </c>
      <c r="T114" s="6" t="e">
        <f t="shared" si="8"/>
        <v>#DIV/0!</v>
      </c>
      <c r="U114" s="2" t="e">
        <f t="shared" si="9"/>
        <v>#DIV/0!</v>
      </c>
      <c r="V114">
        <f t="shared" si="10"/>
        <v>0</v>
      </c>
      <c r="W114" s="2">
        <f t="shared" si="11"/>
        <v>0</v>
      </c>
      <c r="X114" t="e">
        <f t="shared" si="12"/>
        <v>#DIV/0!</v>
      </c>
      <c r="Y114" s="2" t="e">
        <f t="shared" si="13"/>
        <v>#DIV/0!</v>
      </c>
    </row>
    <row r="115" spans="1:25" ht="12">
      <c r="A115" t="s">
        <v>120</v>
      </c>
      <c r="C115">
        <v>1</v>
      </c>
      <c r="E115" s="12">
        <f t="shared" si="2"/>
        <v>0</v>
      </c>
      <c r="J115" s="8"/>
      <c r="K115" s="12">
        <f t="shared" si="3"/>
        <v>0</v>
      </c>
      <c r="L115" s="12">
        <f t="shared" si="4"/>
        <v>0</v>
      </c>
      <c r="M115" s="12">
        <f t="shared" si="5"/>
        <v>39.583333333333336</v>
      </c>
      <c r="R115">
        <f t="shared" si="6"/>
        <v>-1.5</v>
      </c>
      <c r="S115" s="2">
        <f t="shared" si="7"/>
        <v>0</v>
      </c>
      <c r="T115" s="6">
        <f t="shared" si="8"/>
        <v>-0.75</v>
      </c>
      <c r="U115" s="2">
        <f t="shared" si="9"/>
        <v>0</v>
      </c>
      <c r="V115">
        <f t="shared" si="10"/>
        <v>0</v>
      </c>
      <c r="W115" s="2">
        <f t="shared" si="11"/>
        <v>0</v>
      </c>
      <c r="X115">
        <f t="shared" si="12"/>
        <v>2.375</v>
      </c>
      <c r="Y115" s="2">
        <f t="shared" si="13"/>
        <v>2.375</v>
      </c>
    </row>
    <row r="116" spans="1:25" ht="12">
      <c r="A116" t="s">
        <v>124</v>
      </c>
      <c r="E116" s="12" t="e">
        <f t="shared" si="2"/>
        <v>#DIV/0!</v>
      </c>
      <c r="J116" s="8"/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>
        <f t="shared" si="10"/>
        <v>0</v>
      </c>
      <c r="W116" s="2">
        <f t="shared" si="11"/>
        <v>0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C117">
        <v>41</v>
      </c>
      <c r="D117">
        <v>22</v>
      </c>
      <c r="E117" s="12">
        <f t="shared" si="2"/>
        <v>53.65853658536586</v>
      </c>
      <c r="F117">
        <v>205</v>
      </c>
      <c r="G117">
        <v>1</v>
      </c>
      <c r="H117">
        <v>26</v>
      </c>
      <c r="J117" s="8">
        <f>+G117/C117*100</f>
        <v>2.4390243902439024</v>
      </c>
      <c r="K117" s="12">
        <f t="shared" si="3"/>
        <v>0</v>
      </c>
      <c r="L117" s="12">
        <f t="shared" si="4"/>
        <v>5</v>
      </c>
      <c r="M117" s="12">
        <f t="shared" si="5"/>
        <v>75.76219512195122</v>
      </c>
      <c r="O117">
        <v>2</v>
      </c>
      <c r="R117">
        <f t="shared" si="6"/>
        <v>1.1829268292682928</v>
      </c>
      <c r="S117" s="2">
        <f t="shared" si="7"/>
        <v>1.1829268292682928</v>
      </c>
      <c r="T117" s="6">
        <f t="shared" si="8"/>
        <v>0.5</v>
      </c>
      <c r="U117" s="2">
        <f t="shared" si="9"/>
        <v>0.5</v>
      </c>
      <c r="V117">
        <f t="shared" si="10"/>
        <v>0.4878048780487805</v>
      </c>
      <c r="W117" s="2">
        <f t="shared" si="11"/>
        <v>0.4878048780487805</v>
      </c>
      <c r="X117">
        <f t="shared" si="12"/>
        <v>2.375</v>
      </c>
      <c r="Y117" s="2">
        <f t="shared" si="13"/>
        <v>2.375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1</v>
      </c>
      <c r="E121">
        <v>4</v>
      </c>
      <c r="F121" s="12">
        <f aca="true" t="shared" si="14" ref="F121:F126">+E121/C121</f>
        <v>4</v>
      </c>
      <c r="G121">
        <v>4</v>
      </c>
    </row>
    <row r="122" spans="1:6" ht="12">
      <c r="A122" t="s">
        <v>134</v>
      </c>
      <c r="F122" s="12" t="e">
        <f t="shared" si="14"/>
        <v>#DIV/0!</v>
      </c>
    </row>
    <row r="123" spans="1:6" ht="12">
      <c r="A123" t="s">
        <v>135</v>
      </c>
      <c r="D123">
        <v>1</v>
      </c>
      <c r="F123" s="12" t="e">
        <f t="shared" si="14"/>
        <v>#DIV/0!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5" ht="12">
      <c r="A132" t="s">
        <v>137</v>
      </c>
      <c r="E132" s="12" t="e">
        <f t="shared" si="15"/>
        <v>#DIV/0!</v>
      </c>
    </row>
    <row r="133" spans="1:5" ht="12">
      <c r="A133" t="s">
        <v>116</v>
      </c>
      <c r="E133" s="12" t="e">
        <f t="shared" si="15"/>
        <v>#DIV/0!</v>
      </c>
    </row>
    <row r="134" spans="1:5" ht="12">
      <c r="A134" t="s">
        <v>128</v>
      </c>
      <c r="E134" s="12" t="e">
        <f t="shared" si="15"/>
        <v>#DIV/0!</v>
      </c>
    </row>
    <row r="135" spans="1:8" ht="12">
      <c r="A135" t="s">
        <v>134</v>
      </c>
      <c r="C135">
        <v>2</v>
      </c>
      <c r="D135">
        <v>31</v>
      </c>
      <c r="E135" s="12">
        <f t="shared" si="15"/>
        <v>15.5</v>
      </c>
      <c r="F135">
        <v>19</v>
      </c>
      <c r="H135">
        <v>1</v>
      </c>
    </row>
    <row r="136" spans="1:8" ht="12">
      <c r="A136" t="s">
        <v>119</v>
      </c>
      <c r="C136">
        <v>3</v>
      </c>
      <c r="D136">
        <f>12+17+17</f>
        <v>46</v>
      </c>
      <c r="E136" s="12">
        <f t="shared" si="15"/>
        <v>15.333333333333334</v>
      </c>
      <c r="F136">
        <v>17</v>
      </c>
      <c r="H136">
        <v>1</v>
      </c>
    </row>
    <row r="137" spans="1:6" ht="12">
      <c r="A137" t="s">
        <v>135</v>
      </c>
      <c r="C137">
        <v>2</v>
      </c>
      <c r="D137">
        <v>41</v>
      </c>
      <c r="E137" s="12">
        <f>+D137/C137</f>
        <v>20.5</v>
      </c>
      <c r="F137">
        <v>22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7</v>
      </c>
      <c r="D143">
        <f>42+42+35+37+32+54+34</f>
        <v>276</v>
      </c>
      <c r="F143">
        <v>54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19" ht="12">
      <c r="A151" t="s">
        <v>140</v>
      </c>
      <c r="C151">
        <v>4</v>
      </c>
      <c r="D151">
        <v>2</v>
      </c>
      <c r="E151">
        <v>1</v>
      </c>
      <c r="F151">
        <v>1</v>
      </c>
      <c r="G151">
        <v>3</v>
      </c>
      <c r="H151">
        <v>2</v>
      </c>
      <c r="I151" s="12">
        <f>+H151/G151*100</f>
        <v>66.66666666666666</v>
      </c>
      <c r="J151">
        <v>48</v>
      </c>
      <c r="P151">
        <v>1</v>
      </c>
      <c r="Q151">
        <v>1</v>
      </c>
      <c r="R151">
        <v>2</v>
      </c>
      <c r="S151">
        <v>1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5" ht="12">
      <c r="A158" t="s">
        <v>143</v>
      </c>
      <c r="E158" s="12" t="e">
        <f t="shared" si="16"/>
        <v>#DIV/0!</v>
      </c>
    </row>
    <row r="159" spans="1:5" ht="12">
      <c r="A159" t="s">
        <v>144</v>
      </c>
      <c r="E159" s="12" t="e">
        <f t="shared" si="16"/>
        <v>#DIV/0!</v>
      </c>
    </row>
    <row r="160" spans="1:5" ht="12">
      <c r="A160" t="s">
        <v>145</v>
      </c>
      <c r="E160" s="12" t="e">
        <f t="shared" si="16"/>
        <v>#DIV/0!</v>
      </c>
    </row>
    <row r="161" spans="1:6" ht="12">
      <c r="A161" t="s">
        <v>146</v>
      </c>
      <c r="C161">
        <v>1</v>
      </c>
      <c r="D161">
        <v>20</v>
      </c>
      <c r="E161" s="12">
        <f t="shared" si="16"/>
        <v>20</v>
      </c>
      <c r="F161">
        <v>20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/>
      <c r="D172" s="3"/>
    </row>
    <row r="173" spans="1:4" ht="12">
      <c r="A173" t="s">
        <v>148</v>
      </c>
      <c r="C173" s="3">
        <v>1.5</v>
      </c>
      <c r="D173" s="3">
        <v>13</v>
      </c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/>
      <c r="D176" s="3"/>
    </row>
    <row r="177" spans="1:4" ht="12">
      <c r="A177" t="s">
        <v>151</v>
      </c>
      <c r="C177" s="3">
        <v>0.5</v>
      </c>
      <c r="D177" s="3">
        <v>3</v>
      </c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spans="1:3" ht="12">
      <c r="A194" t="s">
        <v>154</v>
      </c>
      <c r="C194">
        <v>1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spans="1:3" ht="12">
      <c r="A216" t="s">
        <v>128</v>
      </c>
      <c r="C216">
        <v>1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spans="1:3" ht="12">
      <c r="A221" t="s">
        <v>119</v>
      </c>
      <c r="C221">
        <v>1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spans="1:3" ht="12">
      <c r="A229" t="s">
        <v>162</v>
      </c>
      <c r="C229">
        <v>1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spans="1:3" ht="12">
      <c r="A241" t="s">
        <v>151</v>
      </c>
      <c r="C241">
        <v>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fitToHeight="1" fitToWidth="1" horizontalDpi="600" verticalDpi="600" orientation="portrait" scale="74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G4" sqref="G4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15</v>
      </c>
      <c r="H6" s="1" t="s">
        <v>29</v>
      </c>
      <c r="M6" s="2">
        <v>21</v>
      </c>
    </row>
    <row r="7" spans="1:13" ht="12">
      <c r="A7" s="18" t="s">
        <v>95</v>
      </c>
      <c r="D7" s="2">
        <v>6</v>
      </c>
      <c r="H7" s="18" t="s">
        <v>95</v>
      </c>
      <c r="M7" s="2">
        <v>7</v>
      </c>
    </row>
    <row r="8" spans="1:13" ht="12">
      <c r="A8" s="18" t="s">
        <v>96</v>
      </c>
      <c r="D8" s="2">
        <v>8</v>
      </c>
      <c r="H8" s="18" t="s">
        <v>96</v>
      </c>
      <c r="M8" s="2">
        <v>10</v>
      </c>
    </row>
    <row r="9" spans="1:13" ht="12">
      <c r="A9" s="18" t="s">
        <v>97</v>
      </c>
      <c r="D9" s="2">
        <v>1</v>
      </c>
      <c r="H9" s="18" t="s">
        <v>97</v>
      </c>
      <c r="M9" s="2">
        <v>4</v>
      </c>
    </row>
    <row r="10" spans="1:14" ht="12">
      <c r="A10" s="21" t="s">
        <v>168</v>
      </c>
      <c r="C10">
        <v>3</v>
      </c>
      <c r="D10" s="2">
        <v>12</v>
      </c>
      <c r="E10" s="22">
        <f>+C10/D10</f>
        <v>0.25</v>
      </c>
      <c r="H10" s="21" t="s">
        <v>168</v>
      </c>
      <c r="L10">
        <v>3</v>
      </c>
      <c r="M10" s="2">
        <v>15</v>
      </c>
      <c r="N10" s="22">
        <f>+L10/M10</f>
        <v>0.2</v>
      </c>
    </row>
    <row r="12" spans="1:23" ht="12">
      <c r="A12" t="s">
        <v>1</v>
      </c>
      <c r="D12" s="2">
        <f>13+8+6+3+1+2</f>
        <v>33</v>
      </c>
      <c r="H12" t="s">
        <v>1</v>
      </c>
      <c r="M12" s="2">
        <f>28+6+1+2+2+1</f>
        <v>40</v>
      </c>
      <c r="V12">
        <f>+D12</f>
        <v>33</v>
      </c>
      <c r="W12">
        <f>+M12</f>
        <v>40</v>
      </c>
    </row>
    <row r="13" spans="1:23" ht="12">
      <c r="A13" t="s">
        <v>2</v>
      </c>
      <c r="D13" s="2">
        <f>49+40+18+9+14-3</f>
        <v>127</v>
      </c>
      <c r="H13" t="s">
        <v>2</v>
      </c>
      <c r="M13" s="2">
        <f>172+14+9+7+4-1</f>
        <v>205</v>
      </c>
      <c r="U13" s="13"/>
      <c r="V13">
        <f>+D17</f>
        <v>13</v>
      </c>
      <c r="W13">
        <f>+M17</f>
        <v>16</v>
      </c>
    </row>
    <row r="14" spans="1:23" ht="12">
      <c r="A14" s="1" t="s">
        <v>3</v>
      </c>
      <c r="D14" s="8">
        <f>+D13/D12</f>
        <v>3.8484848484848486</v>
      </c>
      <c r="H14" s="1" t="s">
        <v>3</v>
      </c>
      <c r="M14" s="8">
        <f>+M13/M12</f>
        <v>5.125</v>
      </c>
      <c r="V14">
        <f>+(D16-D17)/2</f>
        <v>6</v>
      </c>
      <c r="W14">
        <f>+(M16-M17)/2</f>
        <v>6.5</v>
      </c>
    </row>
    <row r="15" spans="22:23" ht="12">
      <c r="V15">
        <f>+D39/2</f>
        <v>3</v>
      </c>
      <c r="W15">
        <f>+M39/2</f>
        <v>2.5</v>
      </c>
    </row>
    <row r="16" spans="1:23" ht="12">
      <c r="A16" t="s">
        <v>4</v>
      </c>
      <c r="D16" s="2">
        <v>25</v>
      </c>
      <c r="H16" t="s">
        <v>4</v>
      </c>
      <c r="M16" s="2">
        <v>29</v>
      </c>
      <c r="V16">
        <f>+D43/2</f>
        <v>2</v>
      </c>
      <c r="W16">
        <f>+M43/2</f>
        <v>1.5</v>
      </c>
    </row>
    <row r="17" spans="1:23" ht="12">
      <c r="A17" t="s">
        <v>5</v>
      </c>
      <c r="D17" s="2">
        <v>13</v>
      </c>
      <c r="H17" t="s">
        <v>5</v>
      </c>
      <c r="M17" s="2">
        <v>16</v>
      </c>
      <c r="V17">
        <f>+D48/2</f>
        <v>2</v>
      </c>
      <c r="W17">
        <f>+M48/2</f>
        <v>1.5</v>
      </c>
    </row>
    <row r="18" spans="1:13" ht="12">
      <c r="A18" t="s">
        <v>6</v>
      </c>
      <c r="D18" s="8">
        <f>+D17/D16*100</f>
        <v>52</v>
      </c>
      <c r="H18" t="s">
        <v>6</v>
      </c>
      <c r="M18" s="8">
        <f>+M17/M16*100</f>
        <v>55.172413793103445</v>
      </c>
    </row>
    <row r="19" spans="1:24" ht="12">
      <c r="A19" t="s">
        <v>7</v>
      </c>
      <c r="C19" t="str">
        <f>IF(D19=SUM(D92:D105),"ok","ERR")</f>
        <v>ERR</v>
      </c>
      <c r="D19" s="2">
        <v>171</v>
      </c>
      <c r="H19" t="s">
        <v>7</v>
      </c>
      <c r="M19" s="2">
        <f>197+16</f>
        <v>213</v>
      </c>
      <c r="V19">
        <f>SUM(V12:V17)</f>
        <v>59</v>
      </c>
      <c r="W19">
        <f>SUM(W12:W17)</f>
        <v>68</v>
      </c>
      <c r="X19">
        <f>+W19+V19</f>
        <v>127</v>
      </c>
    </row>
    <row r="20" spans="1:23" ht="12">
      <c r="A20" t="s">
        <v>8</v>
      </c>
      <c r="D20" s="2">
        <v>2</v>
      </c>
      <c r="H20" t="s">
        <v>8</v>
      </c>
      <c r="M20" s="2">
        <v>4</v>
      </c>
      <c r="V20">
        <f>+V19/X19</f>
        <v>0.4645669291338583</v>
      </c>
      <c r="W20">
        <f>+W19/X19</f>
        <v>0.5354330708661418</v>
      </c>
    </row>
    <row r="21" spans="1:23" ht="12">
      <c r="A21" t="s">
        <v>9</v>
      </c>
      <c r="D21" s="2">
        <v>10</v>
      </c>
      <c r="H21" t="s">
        <v>9</v>
      </c>
      <c r="M21" s="2">
        <f>9+9+1+10</f>
        <v>29</v>
      </c>
      <c r="V21">
        <f>+V20*60</f>
        <v>27.874015748031496</v>
      </c>
      <c r="W21">
        <f>+W20*60</f>
        <v>32.125984251968504</v>
      </c>
    </row>
    <row r="22" spans="1:23" ht="12">
      <c r="A22" t="s">
        <v>10</v>
      </c>
      <c r="D22">
        <f>+D19-D21</f>
        <v>161</v>
      </c>
      <c r="H22" t="s">
        <v>10</v>
      </c>
      <c r="M22">
        <f>+M19-M21</f>
        <v>184</v>
      </c>
      <c r="V22">
        <f>+V21-INT(V21)</f>
        <v>0.8740157480314963</v>
      </c>
      <c r="W22">
        <f>+W21-INT(W21)</f>
        <v>0.1259842519685037</v>
      </c>
    </row>
    <row r="23" spans="1:23" ht="12">
      <c r="A23" t="s">
        <v>11</v>
      </c>
      <c r="D23" s="7">
        <f>+D22/(D16+D20)</f>
        <v>5.962962962962963</v>
      </c>
      <c r="H23" t="s">
        <v>11</v>
      </c>
      <c r="M23" s="7">
        <f>+M22/(M16+M20)</f>
        <v>5.575757575757576</v>
      </c>
      <c r="V23">
        <f>+V22*60</f>
        <v>52.44094488188978</v>
      </c>
      <c r="W23">
        <f>+W22*60</f>
        <v>7.559055118110223</v>
      </c>
    </row>
    <row r="24" spans="1:23" ht="12">
      <c r="A24" t="s">
        <v>12</v>
      </c>
      <c r="D24" s="7">
        <f>+D19/D17</f>
        <v>13.153846153846153</v>
      </c>
      <c r="H24" t="s">
        <v>12</v>
      </c>
      <c r="M24" s="7">
        <f>+M19/M17</f>
        <v>13.3125</v>
      </c>
      <c r="U24">
        <v>0</v>
      </c>
      <c r="V24" s="11">
        <f>ROUND(V23,0)</f>
        <v>52</v>
      </c>
      <c r="W24">
        <f>ROUND(W23,0)</f>
        <v>8</v>
      </c>
    </row>
    <row r="25" spans="22:23" ht="12">
      <c r="V25">
        <f>INT(V21)</f>
        <v>27</v>
      </c>
      <c r="W25">
        <f>INT(W21)</f>
        <v>32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288</v>
      </c>
      <c r="H27" t="s">
        <v>14</v>
      </c>
      <c r="M27">
        <f>+M22+M13</f>
        <v>389</v>
      </c>
      <c r="Q27" s="9"/>
      <c r="R27" s="9"/>
      <c r="V27" s="14" t="str">
        <f>+V25&amp;V26&amp;V24</f>
        <v>27:52</v>
      </c>
      <c r="W27" s="9" t="str">
        <f>+W25&amp;W26&amp;W24</f>
        <v>32:8</v>
      </c>
    </row>
    <row r="28" spans="1:23" ht="12">
      <c r="A28" t="s">
        <v>15</v>
      </c>
      <c r="D28" s="7">
        <f>+D13/D27*100</f>
        <v>44.09722222222222</v>
      </c>
      <c r="H28" t="s">
        <v>15</v>
      </c>
      <c r="M28" s="7">
        <f>+M13/M27*100</f>
        <v>52.69922879177378</v>
      </c>
      <c r="V28" s="9" t="str">
        <f>IF(V24&lt;10,+V25&amp;V26&amp;$U$24&amp;V24,+V25&amp;V26&amp;V24)</f>
        <v>27:52</v>
      </c>
      <c r="W28" s="9" t="str">
        <f>IF(W24&lt;10,+W25&amp;W26&amp;$U$24&amp;W24,+W25&amp;W26&amp;W24)</f>
        <v>32:08</v>
      </c>
    </row>
    <row r="29" spans="1:13" ht="12">
      <c r="A29" s="1" t="s">
        <v>90</v>
      </c>
      <c r="D29" s="7">
        <f>+D22/D27*100</f>
        <v>55.90277777777778</v>
      </c>
      <c r="H29" s="1" t="s">
        <v>90</v>
      </c>
      <c r="M29" s="7">
        <f>+M22/M27*100</f>
        <v>47.30077120822622</v>
      </c>
    </row>
    <row r="31" spans="1:13" ht="12">
      <c r="A31" t="s">
        <v>16</v>
      </c>
      <c r="D31">
        <f>+D12+D16+D20</f>
        <v>60</v>
      </c>
      <c r="H31" t="s">
        <v>16</v>
      </c>
      <c r="M31">
        <f>+M12+M16+M20</f>
        <v>73</v>
      </c>
    </row>
    <row r="32" spans="1:13" ht="12">
      <c r="A32" t="s">
        <v>17</v>
      </c>
      <c r="D32" s="8">
        <f>+D27/D31</f>
        <v>4.8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5.328767123287672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0</v>
      </c>
      <c r="H35" t="s">
        <v>19</v>
      </c>
      <c r="M35" s="2">
        <v>3</v>
      </c>
    </row>
    <row r="36" spans="1:13" ht="12">
      <c r="A36" t="s">
        <v>20</v>
      </c>
      <c r="D36" s="2">
        <v>0</v>
      </c>
      <c r="H36" t="s">
        <v>20</v>
      </c>
      <c r="M36" s="2">
        <v>15</v>
      </c>
    </row>
    <row r="37" spans="1:13" ht="12">
      <c r="A37" t="s">
        <v>21</v>
      </c>
      <c r="D37" s="2">
        <v>0</v>
      </c>
      <c r="H37" t="s">
        <v>21</v>
      </c>
      <c r="M37" s="2">
        <v>1</v>
      </c>
    </row>
    <row r="39" spans="1:13" ht="12">
      <c r="A39" t="s">
        <v>22</v>
      </c>
      <c r="D39" s="2">
        <v>6</v>
      </c>
      <c r="H39" t="s">
        <v>22</v>
      </c>
      <c r="M39" s="2">
        <v>5</v>
      </c>
    </row>
    <row r="40" spans="1:13" ht="12">
      <c r="A40" t="s">
        <v>23</v>
      </c>
      <c r="D40" s="2">
        <f>52+40+39+54+58+49</f>
        <v>292</v>
      </c>
      <c r="G40" t="str">
        <f>IF(D40=SUM(D142:D144),"ok","ERR")</f>
        <v>ok</v>
      </c>
      <c r="H40" t="s">
        <v>23</v>
      </c>
      <c r="M40" s="2">
        <f>20+41+29+31+33</f>
        <v>154</v>
      </c>
    </row>
    <row r="41" spans="1:13" ht="12">
      <c r="A41" t="s">
        <v>24</v>
      </c>
      <c r="D41" s="8">
        <f>+D40/D39</f>
        <v>48.666666666666664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30.8</v>
      </c>
    </row>
    <row r="43" spans="1:13" ht="12">
      <c r="A43" t="s">
        <v>25</v>
      </c>
      <c r="D43" s="2">
        <v>4</v>
      </c>
      <c r="H43" t="s">
        <v>25</v>
      </c>
      <c r="M43" s="2">
        <v>3</v>
      </c>
    </row>
    <row r="44" spans="1:13" ht="12">
      <c r="A44" t="s">
        <v>26</v>
      </c>
      <c r="D44" s="2">
        <f>15+7+4+0</f>
        <v>26</v>
      </c>
      <c r="H44" t="s">
        <v>26</v>
      </c>
      <c r="M44" s="2">
        <v>-1</v>
      </c>
    </row>
    <row r="45" spans="1:13" ht="12">
      <c r="A45" t="s">
        <v>27</v>
      </c>
      <c r="D45" s="8">
        <f>+D44/D43</f>
        <v>6.5</v>
      </c>
      <c r="H45" t="s">
        <v>27</v>
      </c>
      <c r="M45" s="8">
        <f>+M44/M43</f>
        <v>-0.3333333333333333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4</v>
      </c>
      <c r="H48" t="s">
        <v>30</v>
      </c>
      <c r="M48" s="2">
        <v>3</v>
      </c>
    </row>
    <row r="49" spans="1:13" ht="12">
      <c r="A49" t="s">
        <v>26</v>
      </c>
      <c r="D49" s="2">
        <f>10+71+17+21</f>
        <v>119</v>
      </c>
      <c r="G49" t="str">
        <f>IF(D49=SUM(D131:D139),"ok","ERR")</f>
        <v>ok</v>
      </c>
      <c r="H49" t="s">
        <v>26</v>
      </c>
      <c r="M49" s="2">
        <v>40</v>
      </c>
    </row>
    <row r="50" spans="1:13" ht="12">
      <c r="A50" t="s">
        <v>27</v>
      </c>
      <c r="D50" s="8">
        <f>+D49/D48</f>
        <v>29.75</v>
      </c>
      <c r="H50" t="s">
        <v>27</v>
      </c>
      <c r="M50" s="8">
        <f>+M49/M48</f>
        <v>13.333333333333334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6</v>
      </c>
      <c r="H53" t="s">
        <v>31</v>
      </c>
      <c r="M53" s="2">
        <v>8</v>
      </c>
    </row>
    <row r="54" spans="1:13" ht="12">
      <c r="A54" t="s">
        <v>32</v>
      </c>
      <c r="D54" s="2">
        <v>69</v>
      </c>
      <c r="H54" t="s">
        <v>32</v>
      </c>
      <c r="M54" s="2">
        <v>64</v>
      </c>
    </row>
    <row r="56" spans="1:13" ht="12">
      <c r="A56" t="s">
        <v>33</v>
      </c>
      <c r="D56" s="2">
        <v>2</v>
      </c>
      <c r="G56" t="str">
        <f>IF(D56=SUM(H76:H105)+SUM(N113:N116)+SUM(I120:I125)+SUM(H130:H135)+SUM(H142:H144)+SUM(H154:H166)+SUM(G187:G237),"ok","ERR")</f>
        <v>ERR</v>
      </c>
      <c r="H56" t="s">
        <v>33</v>
      </c>
      <c r="M56" s="2">
        <v>2</v>
      </c>
    </row>
    <row r="57" spans="1:13" ht="12">
      <c r="A57" t="s">
        <v>34</v>
      </c>
      <c r="D57" s="2">
        <v>0</v>
      </c>
      <c r="H57" t="s">
        <v>34</v>
      </c>
      <c r="M57" s="2">
        <v>0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2</v>
      </c>
      <c r="H59" t="s">
        <v>36</v>
      </c>
      <c r="M59" s="2">
        <v>2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6" ht="12">
      <c r="A62" t="s">
        <v>38</v>
      </c>
      <c r="D62" s="2">
        <v>37</v>
      </c>
      <c r="H62" t="s">
        <v>38</v>
      </c>
      <c r="M62" s="2">
        <v>13</v>
      </c>
      <c r="N62" t="str">
        <f>IF(K62=K63*6+K68*2+K69*3+K67,"ok","ERR")</f>
        <v>ok</v>
      </c>
      <c r="P62" t="str">
        <f>IF(M62=M63*6+M68*2+M69*3+M67,"ok","ERR")</f>
        <v>ok</v>
      </c>
    </row>
    <row r="63" spans="1:13" ht="12">
      <c r="A63" t="s">
        <v>39</v>
      </c>
      <c r="D63" s="2">
        <v>4</v>
      </c>
      <c r="H63" t="s">
        <v>39</v>
      </c>
      <c r="M63" s="2">
        <v>1</v>
      </c>
    </row>
    <row r="64" spans="1:13" ht="12">
      <c r="A64" t="s">
        <v>40</v>
      </c>
      <c r="D64" s="2">
        <v>1</v>
      </c>
      <c r="G64" t="str">
        <f>IF(D64=SUM(G76:G87),"ok","ERR")</f>
        <v>ERR</v>
      </c>
      <c r="H64" t="s">
        <v>40</v>
      </c>
      <c r="M64" s="2">
        <v>0</v>
      </c>
    </row>
    <row r="65" spans="1:13" ht="12">
      <c r="A65" t="s">
        <v>41</v>
      </c>
      <c r="D65" s="2">
        <v>2</v>
      </c>
      <c r="H65" t="s">
        <v>41</v>
      </c>
      <c r="M65" s="2">
        <v>1</v>
      </c>
    </row>
    <row r="66" spans="1:13" ht="12">
      <c r="A66" t="s">
        <v>42</v>
      </c>
      <c r="D66" s="2">
        <v>1</v>
      </c>
      <c r="H66" t="s">
        <v>42</v>
      </c>
      <c r="M66" s="2">
        <v>0</v>
      </c>
    </row>
    <row r="67" spans="1:13" ht="12">
      <c r="A67" t="s">
        <v>43</v>
      </c>
      <c r="D67" s="2">
        <v>4</v>
      </c>
      <c r="H67" t="s">
        <v>43</v>
      </c>
      <c r="M67" s="2">
        <v>1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3</v>
      </c>
      <c r="H69" t="s">
        <v>45</v>
      </c>
      <c r="M69" s="2">
        <v>2</v>
      </c>
    </row>
    <row r="70" spans="1:13" ht="12">
      <c r="A70" t="s">
        <v>46</v>
      </c>
      <c r="D70" s="2">
        <v>3</v>
      </c>
      <c r="H70" t="s">
        <v>46</v>
      </c>
      <c r="M70" s="2">
        <v>3</v>
      </c>
    </row>
    <row r="71" spans="1:13" ht="12">
      <c r="A71" t="s">
        <v>47</v>
      </c>
      <c r="D71" s="8">
        <f>+D69/D70*100</f>
        <v>100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66.66666666666666</v>
      </c>
    </row>
    <row r="72" spans="1:13" ht="12">
      <c r="A72" t="s">
        <v>93</v>
      </c>
      <c r="D72" s="10" t="str">
        <f>IF(V24&lt;10,V28,V27)</f>
        <v>27:52</v>
      </c>
      <c r="E72" s="8"/>
      <c r="F72" s="8"/>
      <c r="H72" t="s">
        <v>93</v>
      </c>
      <c r="M72" s="10" t="str">
        <f>IF(W24&lt;10,W28,W27)</f>
        <v>32:08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5" ht="12">
      <c r="A77" t="s">
        <v>113</v>
      </c>
      <c r="E77" s="12" t="e">
        <f>+D77/C77</f>
        <v>#DIV/0!</v>
      </c>
    </row>
    <row r="78" spans="1:6" ht="12">
      <c r="A78" t="s">
        <v>114</v>
      </c>
      <c r="C78">
        <v>8</v>
      </c>
      <c r="D78">
        <v>40</v>
      </c>
      <c r="E78" s="12">
        <f>+D78/C78</f>
        <v>5</v>
      </c>
      <c r="F78">
        <v>12</v>
      </c>
    </row>
    <row r="79" spans="1:6" ht="12">
      <c r="A79" t="s">
        <v>115</v>
      </c>
      <c r="C79">
        <v>6</v>
      </c>
      <c r="D79">
        <v>18</v>
      </c>
      <c r="E79" s="12">
        <f aca="true" t="shared" si="0" ref="E79:E85">+D79/C79</f>
        <v>3</v>
      </c>
      <c r="F79">
        <v>6</v>
      </c>
    </row>
    <row r="80" spans="1:5" ht="12">
      <c r="A80" t="s">
        <v>116</v>
      </c>
      <c r="E80" s="12" t="e">
        <f t="shared" si="0"/>
        <v>#DIV/0!</v>
      </c>
    </row>
    <row r="81" spans="1:6" ht="12">
      <c r="A81" t="s">
        <v>117</v>
      </c>
      <c r="C81">
        <v>3</v>
      </c>
      <c r="D81">
        <v>9</v>
      </c>
      <c r="E81" s="12">
        <f t="shared" si="0"/>
        <v>3</v>
      </c>
      <c r="F81">
        <v>8</v>
      </c>
    </row>
    <row r="82" spans="1:5" ht="12">
      <c r="A82" t="s">
        <v>118</v>
      </c>
      <c r="E82" s="12" t="e">
        <f t="shared" si="0"/>
        <v>#DIV/0!</v>
      </c>
    </row>
    <row r="83" spans="1:5" ht="12">
      <c r="A83" t="s">
        <v>119</v>
      </c>
      <c r="E83" s="12" t="e">
        <f t="shared" si="0"/>
        <v>#DIV/0!</v>
      </c>
    </row>
    <row r="84" spans="1:6" ht="12">
      <c r="A84" t="s">
        <v>120</v>
      </c>
      <c r="C84">
        <v>1</v>
      </c>
      <c r="D84">
        <v>14</v>
      </c>
      <c r="E84" s="12">
        <f t="shared" si="0"/>
        <v>14</v>
      </c>
      <c r="F84">
        <v>14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6" ht="12">
      <c r="A87" t="s">
        <v>123</v>
      </c>
      <c r="C87">
        <v>13</v>
      </c>
      <c r="D87">
        <v>49</v>
      </c>
      <c r="E87" s="12">
        <f>+D87/C87</f>
        <v>3.769230769230769</v>
      </c>
      <c r="F87">
        <v>12</v>
      </c>
    </row>
    <row r="88" spans="1:5" ht="12">
      <c r="A88" t="s">
        <v>124</v>
      </c>
      <c r="E88" s="8"/>
    </row>
    <row r="89" spans="1:7" ht="12">
      <c r="A89" t="s">
        <v>125</v>
      </c>
      <c r="C89">
        <v>2</v>
      </c>
      <c r="D89">
        <v>-3</v>
      </c>
      <c r="E89" s="8"/>
      <c r="F89">
        <v>2</v>
      </c>
      <c r="G89">
        <v>1</v>
      </c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5" ht="12">
      <c r="A94" t="s">
        <v>113</v>
      </c>
      <c r="E94" s="12" t="e">
        <f t="shared" si="1"/>
        <v>#DIV/0!</v>
      </c>
    </row>
    <row r="95" spans="1:6" ht="12">
      <c r="A95" t="s">
        <v>114</v>
      </c>
      <c r="C95">
        <v>1</v>
      </c>
      <c r="D95">
        <v>19</v>
      </c>
      <c r="E95" s="12">
        <f t="shared" si="1"/>
        <v>19</v>
      </c>
      <c r="F95">
        <v>19</v>
      </c>
    </row>
    <row r="96" spans="1:6" ht="12">
      <c r="A96" t="s">
        <v>115</v>
      </c>
      <c r="C96">
        <v>1</v>
      </c>
      <c r="D96">
        <v>13</v>
      </c>
      <c r="E96" s="12">
        <f t="shared" si="1"/>
        <v>13</v>
      </c>
      <c r="F96">
        <v>13</v>
      </c>
    </row>
    <row r="97" spans="1:5" ht="12">
      <c r="A97" t="s">
        <v>117</v>
      </c>
      <c r="E97" s="12" t="e">
        <f t="shared" si="1"/>
        <v>#DIV/0!</v>
      </c>
    </row>
    <row r="98" spans="1:6" ht="12">
      <c r="A98" t="s">
        <v>128</v>
      </c>
      <c r="C98">
        <v>1</v>
      </c>
      <c r="D98">
        <v>6</v>
      </c>
      <c r="E98" s="12">
        <f t="shared" si="1"/>
        <v>6</v>
      </c>
      <c r="F98">
        <v>6</v>
      </c>
    </row>
    <row r="99" spans="1:6" ht="12">
      <c r="A99" t="s">
        <v>119</v>
      </c>
      <c r="C99">
        <v>1</v>
      </c>
      <c r="D99">
        <v>5</v>
      </c>
      <c r="E99" s="12">
        <f t="shared" si="1"/>
        <v>5</v>
      </c>
      <c r="F99">
        <v>5</v>
      </c>
    </row>
    <row r="100" spans="1:6" ht="12">
      <c r="A100" t="s">
        <v>120</v>
      </c>
      <c r="C100">
        <v>2</v>
      </c>
      <c r="D100">
        <v>56</v>
      </c>
      <c r="E100" s="12">
        <f t="shared" si="1"/>
        <v>28</v>
      </c>
      <c r="F100">
        <v>28</v>
      </c>
    </row>
    <row r="101" spans="1:6" ht="12">
      <c r="A101" t="s">
        <v>129</v>
      </c>
      <c r="C101">
        <v>1</v>
      </c>
      <c r="D101">
        <v>22</v>
      </c>
      <c r="E101" s="12">
        <f t="shared" si="1"/>
        <v>22</v>
      </c>
      <c r="F101">
        <v>22</v>
      </c>
    </row>
    <row r="102" spans="1:6" ht="12">
      <c r="A102" t="s">
        <v>130</v>
      </c>
      <c r="C102">
        <v>1</v>
      </c>
      <c r="D102">
        <v>3</v>
      </c>
      <c r="E102" s="12">
        <f t="shared" si="1"/>
        <v>3</v>
      </c>
      <c r="F102">
        <v>3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6" ht="12">
      <c r="A105" t="s">
        <v>132</v>
      </c>
      <c r="C105">
        <v>1</v>
      </c>
      <c r="D105">
        <v>10</v>
      </c>
      <c r="E105" s="12">
        <f>+D105/C105</f>
        <v>10</v>
      </c>
      <c r="F105">
        <v>10</v>
      </c>
    </row>
    <row r="106" spans="1:8" ht="12">
      <c r="A106" t="s">
        <v>123</v>
      </c>
      <c r="C106">
        <v>4</v>
      </c>
      <c r="D106">
        <v>37</v>
      </c>
      <c r="E106" s="12"/>
      <c r="F106">
        <v>21</v>
      </c>
      <c r="G106">
        <v>2</v>
      </c>
      <c r="H106">
        <v>1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>+G113/C113*100</f>
        <v>#DIV/0!</v>
      </c>
      <c r="K113" s="12" t="e">
        <f aca="true" t="shared" si="3" ref="K113:K118">+I113/C113*100</f>
        <v>#DIV/0!</v>
      </c>
      <c r="L113" s="12" t="e">
        <f aca="true" t="shared" si="4" ref="L113:L118">+F113/C113</f>
        <v>#DIV/0!</v>
      </c>
      <c r="M113" s="12" t="e">
        <f aca="true" t="shared" si="5" ref="M113:M118">100*(S113+U113+W113+Y113)/6</f>
        <v>#DIV/0!</v>
      </c>
      <c r="R113" t="e">
        <f aca="true" t="shared" si="6" ref="R113:R118">+(E113-30)/20</f>
        <v>#DIV/0!</v>
      </c>
      <c r="S113" s="2" t="e">
        <f aca="true" t="shared" si="7" ref="S113:S118">IF(R113&lt;0,0,R113)</f>
        <v>#DIV/0!</v>
      </c>
      <c r="T113" s="6" t="e">
        <f aca="true" t="shared" si="8" ref="T113:T118">+(L113-3)/4</f>
        <v>#DIV/0!</v>
      </c>
      <c r="U113" s="2" t="e">
        <f aca="true" t="shared" si="9" ref="U113:U118">IF(T113&lt;0,0,T113)</f>
        <v>#DIV/0!</v>
      </c>
      <c r="V113" t="e">
        <f aca="true" t="shared" si="10" ref="V113:V118">+J113/5</f>
        <v>#DIV/0!</v>
      </c>
      <c r="W113" s="2" t="e">
        <f aca="true" t="shared" si="11" ref="W113:W118">IF(V113&lt;0,0,V113)</f>
        <v>#DIV/0!</v>
      </c>
      <c r="X113" t="e">
        <f aca="true" t="shared" si="12" ref="X113:X118">(9.5-K113)/4</f>
        <v>#DIV/0!</v>
      </c>
      <c r="Y113" s="2" t="e">
        <f aca="true" t="shared" si="13" ref="Y113:Y118">IF(X113&lt;0,0,X113)</f>
        <v>#DIV/0!</v>
      </c>
    </row>
    <row r="114" spans="1:25" ht="12">
      <c r="A114" t="s">
        <v>118</v>
      </c>
      <c r="E114" s="12" t="e">
        <f t="shared" si="2"/>
        <v>#DIV/0!</v>
      </c>
      <c r="J114" s="8"/>
      <c r="K114" s="12" t="e">
        <f t="shared" si="3"/>
        <v>#DIV/0!</v>
      </c>
      <c r="L114" s="12" t="e">
        <f t="shared" si="4"/>
        <v>#DIV/0!</v>
      </c>
      <c r="M114" s="12" t="e">
        <f t="shared" si="5"/>
        <v>#DIV/0!</v>
      </c>
      <c r="R114" t="e">
        <f t="shared" si="6"/>
        <v>#DIV/0!</v>
      </c>
      <c r="S114" s="2" t="e">
        <f t="shared" si="7"/>
        <v>#DIV/0!</v>
      </c>
      <c r="T114" s="6" t="e">
        <f t="shared" si="8"/>
        <v>#DIV/0!</v>
      </c>
      <c r="U114" s="2" t="e">
        <f t="shared" si="9"/>
        <v>#DIV/0!</v>
      </c>
      <c r="V114">
        <f t="shared" si="10"/>
        <v>0</v>
      </c>
      <c r="W114" s="2">
        <f t="shared" si="11"/>
        <v>0</v>
      </c>
      <c r="X114" t="e">
        <f t="shared" si="12"/>
        <v>#DIV/0!</v>
      </c>
      <c r="Y114" s="2" t="e">
        <f t="shared" si="13"/>
        <v>#DIV/0!</v>
      </c>
    </row>
    <row r="115" spans="1:25" ht="12">
      <c r="A115" t="s">
        <v>120</v>
      </c>
      <c r="E115" s="12" t="e">
        <f t="shared" si="2"/>
        <v>#DIV/0!</v>
      </c>
      <c r="J115" s="8"/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>
        <f t="shared" si="10"/>
        <v>0</v>
      </c>
      <c r="W115" s="2">
        <f t="shared" si="11"/>
        <v>0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/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>
        <f t="shared" si="10"/>
        <v>0</v>
      </c>
      <c r="W116" s="2">
        <f t="shared" si="11"/>
        <v>0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C117">
        <v>25</v>
      </c>
      <c r="D117">
        <v>13</v>
      </c>
      <c r="E117" s="12">
        <f t="shared" si="2"/>
        <v>52</v>
      </c>
      <c r="F117">
        <v>171</v>
      </c>
      <c r="G117">
        <v>2</v>
      </c>
      <c r="H117">
        <v>28</v>
      </c>
      <c r="J117" s="8">
        <f>+G117/C117*100</f>
        <v>8</v>
      </c>
      <c r="K117" s="12">
        <f t="shared" si="3"/>
        <v>0</v>
      </c>
      <c r="L117" s="12">
        <f t="shared" si="4"/>
        <v>6.84</v>
      </c>
      <c r="M117" s="12">
        <f t="shared" si="5"/>
        <v>100.58333333333333</v>
      </c>
      <c r="O117">
        <v>2</v>
      </c>
      <c r="R117">
        <f t="shared" si="6"/>
        <v>1.1</v>
      </c>
      <c r="S117" s="2">
        <f t="shared" si="7"/>
        <v>1.1</v>
      </c>
      <c r="T117" s="6">
        <f t="shared" si="8"/>
        <v>0.96</v>
      </c>
      <c r="U117" s="2">
        <f t="shared" si="9"/>
        <v>0.96</v>
      </c>
      <c r="V117">
        <f t="shared" si="10"/>
        <v>1.6</v>
      </c>
      <c r="W117" s="2">
        <f t="shared" si="11"/>
        <v>1.6</v>
      </c>
      <c r="X117">
        <f t="shared" si="12"/>
        <v>2.375</v>
      </c>
      <c r="Y117" s="2">
        <f t="shared" si="13"/>
        <v>2.375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1</v>
      </c>
      <c r="E121">
        <v>15</v>
      </c>
      <c r="F121" s="12">
        <f aca="true" t="shared" si="14" ref="F121:F126">+E121/C121</f>
        <v>15</v>
      </c>
      <c r="G121">
        <v>15</v>
      </c>
    </row>
    <row r="122" spans="1:6" ht="12">
      <c r="A122" t="s">
        <v>134</v>
      </c>
      <c r="F122" s="12" t="e">
        <f t="shared" si="14"/>
        <v>#DIV/0!</v>
      </c>
    </row>
    <row r="123" spans="1:9" ht="12">
      <c r="A123" t="s">
        <v>135</v>
      </c>
      <c r="C123">
        <v>3</v>
      </c>
      <c r="E123">
        <v>11</v>
      </c>
      <c r="F123" s="12">
        <f t="shared" si="14"/>
        <v>3.6666666666666665</v>
      </c>
      <c r="G123">
        <v>7</v>
      </c>
      <c r="I123">
        <v>1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6" ht="12">
      <c r="A132" t="s">
        <v>137</v>
      </c>
      <c r="C132">
        <v>1</v>
      </c>
      <c r="D132">
        <v>10</v>
      </c>
      <c r="E132" s="12">
        <f t="shared" si="15"/>
        <v>10</v>
      </c>
      <c r="F132">
        <v>10</v>
      </c>
    </row>
    <row r="133" spans="1:5" ht="12">
      <c r="A133" t="s">
        <v>116</v>
      </c>
      <c r="E133" s="12" t="e">
        <f t="shared" si="15"/>
        <v>#DIV/0!</v>
      </c>
    </row>
    <row r="134" spans="1:5" ht="12">
      <c r="A134" t="s">
        <v>128</v>
      </c>
      <c r="E134" s="12" t="e">
        <f t="shared" si="15"/>
        <v>#DIV/0!</v>
      </c>
    </row>
    <row r="135" spans="1:5" ht="12">
      <c r="A135" t="s">
        <v>134</v>
      </c>
      <c r="E135" s="12" t="e">
        <f t="shared" si="15"/>
        <v>#DIV/0!</v>
      </c>
    </row>
    <row r="136" spans="1:6" ht="12">
      <c r="A136" t="s">
        <v>119</v>
      </c>
      <c r="C136">
        <v>1</v>
      </c>
      <c r="D136">
        <v>21</v>
      </c>
      <c r="E136" s="12">
        <f t="shared" si="15"/>
        <v>21</v>
      </c>
      <c r="F136">
        <v>21</v>
      </c>
    </row>
    <row r="137" spans="1:6" ht="12">
      <c r="A137" t="s">
        <v>135</v>
      </c>
      <c r="C137">
        <v>2</v>
      </c>
      <c r="D137">
        <v>88</v>
      </c>
      <c r="E137" s="12">
        <f>+D137/C137</f>
        <v>44</v>
      </c>
      <c r="F137">
        <v>71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6</v>
      </c>
      <c r="D143">
        <f>52+40+39+54+58+49</f>
        <v>292</v>
      </c>
      <c r="F143">
        <v>58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19" ht="12">
      <c r="A151" t="s">
        <v>140</v>
      </c>
      <c r="C151">
        <v>8</v>
      </c>
      <c r="D151">
        <v>5</v>
      </c>
      <c r="E151">
        <v>4</v>
      </c>
      <c r="F151">
        <v>4</v>
      </c>
      <c r="G151">
        <v>3</v>
      </c>
      <c r="H151">
        <v>3</v>
      </c>
      <c r="I151" s="12">
        <f>+H151/G151*100</f>
        <v>100</v>
      </c>
      <c r="J151">
        <v>42</v>
      </c>
      <c r="R151">
        <v>3</v>
      </c>
      <c r="S151">
        <v>3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5" ht="12">
      <c r="A158" t="s">
        <v>143</v>
      </c>
      <c r="E158" s="12" t="e">
        <f t="shared" si="16"/>
        <v>#DIV/0!</v>
      </c>
    </row>
    <row r="159" spans="1:6" ht="12">
      <c r="A159" t="s">
        <v>144</v>
      </c>
      <c r="C159">
        <v>1</v>
      </c>
      <c r="D159">
        <v>-1</v>
      </c>
      <c r="E159" s="12">
        <f t="shared" si="16"/>
        <v>-1</v>
      </c>
      <c r="F159">
        <v>-1</v>
      </c>
    </row>
    <row r="160" spans="1:5" ht="12">
      <c r="A160" t="s">
        <v>145</v>
      </c>
      <c r="E160" s="12" t="e">
        <f t="shared" si="16"/>
        <v>#DIV/0!</v>
      </c>
    </row>
    <row r="161" spans="1:7" ht="12">
      <c r="A161" t="s">
        <v>146</v>
      </c>
      <c r="C161">
        <v>2</v>
      </c>
      <c r="D161">
        <v>16</v>
      </c>
      <c r="E161" s="12">
        <f t="shared" si="16"/>
        <v>8</v>
      </c>
      <c r="F161">
        <v>9</v>
      </c>
      <c r="G161">
        <v>1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>
        <v>2</v>
      </c>
      <c r="D172" s="3">
        <v>10</v>
      </c>
    </row>
    <row r="173" spans="1:4" ht="12">
      <c r="A173" t="s">
        <v>148</v>
      </c>
      <c r="C173" s="3">
        <v>2</v>
      </c>
      <c r="D173" s="3">
        <v>19</v>
      </c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/>
      <c r="D176" s="3"/>
    </row>
    <row r="177" spans="1:4" ht="12">
      <c r="A177" t="s">
        <v>151</v>
      </c>
      <c r="C177" s="3"/>
      <c r="D177" s="3"/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spans="1:3" ht="12">
      <c r="A198" t="s">
        <v>142</v>
      </c>
      <c r="C198">
        <v>1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spans="1:3" ht="12">
      <c r="A238" t="s">
        <v>150</v>
      </c>
      <c r="C238">
        <v>1</v>
      </c>
    </row>
    <row r="239" ht="12">
      <c r="A239" t="s">
        <v>165</v>
      </c>
    </row>
    <row r="240" ht="12">
      <c r="A240" t="s">
        <v>124</v>
      </c>
    </row>
    <row r="241" ht="12">
      <c r="A241" t="s">
        <v>151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F218" sqref="F218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14</v>
      </c>
      <c r="H6" s="1" t="s">
        <v>29</v>
      </c>
      <c r="M6" s="2">
        <v>12</v>
      </c>
    </row>
    <row r="7" spans="1:13" ht="12">
      <c r="A7" s="18" t="s">
        <v>95</v>
      </c>
      <c r="D7" s="2">
        <v>3</v>
      </c>
      <c r="H7" s="18" t="s">
        <v>95</v>
      </c>
      <c r="M7" s="2">
        <v>3</v>
      </c>
    </row>
    <row r="8" spans="1:13" ht="12">
      <c r="A8" s="18" t="s">
        <v>96</v>
      </c>
      <c r="D8" s="2">
        <v>8</v>
      </c>
      <c r="H8" s="18" t="s">
        <v>96</v>
      </c>
      <c r="M8" s="2">
        <v>7</v>
      </c>
    </row>
    <row r="9" spans="1:13" ht="12">
      <c r="A9" s="18" t="s">
        <v>97</v>
      </c>
      <c r="D9" s="2">
        <v>3</v>
      </c>
      <c r="H9" s="18" t="s">
        <v>97</v>
      </c>
      <c r="M9" s="2">
        <v>2</v>
      </c>
    </row>
    <row r="10" spans="1:14" ht="12">
      <c r="A10" s="21" t="s">
        <v>168</v>
      </c>
      <c r="C10">
        <v>4</v>
      </c>
      <c r="D10" s="2">
        <v>16</v>
      </c>
      <c r="E10" s="22">
        <f>+C10/D10</f>
        <v>0.25</v>
      </c>
      <c r="H10" s="21" t="s">
        <v>168</v>
      </c>
      <c r="L10">
        <v>3</v>
      </c>
      <c r="M10" s="2">
        <v>14</v>
      </c>
      <c r="N10" s="22">
        <f>+L10/M10</f>
        <v>0.21428571428571427</v>
      </c>
    </row>
    <row r="12" spans="1:23" ht="12">
      <c r="A12" t="s">
        <v>1</v>
      </c>
      <c r="D12" s="2">
        <f>14+6+5+1+1+4</f>
        <v>31</v>
      </c>
      <c r="H12" t="s">
        <v>1</v>
      </c>
      <c r="M12" s="2">
        <f>15+6+5+3+1</f>
        <v>30</v>
      </c>
      <c r="V12">
        <f>+D12</f>
        <v>31</v>
      </c>
      <c r="W12">
        <f>+M12</f>
        <v>30</v>
      </c>
    </row>
    <row r="13" spans="1:23" ht="12">
      <c r="A13" t="s">
        <v>2</v>
      </c>
      <c r="D13" s="2">
        <f>18+14+25+5+2+6</f>
        <v>70</v>
      </c>
      <c r="H13" t="s">
        <v>2</v>
      </c>
      <c r="M13" s="2">
        <f>35+16+8+6+2</f>
        <v>67</v>
      </c>
      <c r="U13" s="13"/>
      <c r="V13">
        <f>+D17</f>
        <v>16</v>
      </c>
      <c r="W13">
        <f>+M17</f>
        <v>12</v>
      </c>
    </row>
    <row r="14" spans="1:23" ht="12">
      <c r="A14" s="1" t="s">
        <v>3</v>
      </c>
      <c r="D14" s="8">
        <f>+D13/D12</f>
        <v>2.2580645161290325</v>
      </c>
      <c r="H14" s="1" t="s">
        <v>3</v>
      </c>
      <c r="M14" s="8">
        <f>+M13/M12</f>
        <v>2.2333333333333334</v>
      </c>
      <c r="V14">
        <f>+(D16-D17)/2</f>
        <v>10.5</v>
      </c>
      <c r="W14">
        <f>+(M16-M17)/2</f>
        <v>10.5</v>
      </c>
    </row>
    <row r="15" spans="22:23" ht="12">
      <c r="V15">
        <f>+D39/2</f>
        <v>4</v>
      </c>
      <c r="W15">
        <f>+M39/2</f>
        <v>5</v>
      </c>
    </row>
    <row r="16" spans="1:23" ht="12">
      <c r="A16" t="s">
        <v>4</v>
      </c>
      <c r="D16" s="2">
        <v>37</v>
      </c>
      <c r="H16" t="s">
        <v>4</v>
      </c>
      <c r="M16" s="2">
        <v>33</v>
      </c>
      <c r="V16">
        <f>+D43/2</f>
        <v>4.5</v>
      </c>
      <c r="W16">
        <f>+M43/2</f>
        <v>2</v>
      </c>
    </row>
    <row r="17" spans="1:23" ht="12">
      <c r="A17" t="s">
        <v>5</v>
      </c>
      <c r="D17" s="2">
        <v>16</v>
      </c>
      <c r="H17" t="s">
        <v>5</v>
      </c>
      <c r="M17" s="2">
        <v>12</v>
      </c>
      <c r="V17">
        <f>+D48/2</f>
        <v>1.5</v>
      </c>
      <c r="W17">
        <f>+M48/2</f>
        <v>2</v>
      </c>
    </row>
    <row r="18" spans="1:13" ht="12">
      <c r="A18" t="s">
        <v>6</v>
      </c>
      <c r="D18" s="8">
        <f>+D17/D16*100</f>
        <v>43.24324324324324</v>
      </c>
      <c r="H18" t="s">
        <v>6</v>
      </c>
      <c r="M18" s="8">
        <f>+M17/M16*100</f>
        <v>36.36363636363637</v>
      </c>
    </row>
    <row r="19" spans="1:24" ht="12">
      <c r="A19" t="s">
        <v>7</v>
      </c>
      <c r="D19" s="2">
        <v>177</v>
      </c>
      <c r="H19" t="s">
        <v>7</v>
      </c>
      <c r="M19" s="2">
        <v>148</v>
      </c>
      <c r="V19">
        <f>SUM(V12:V17)</f>
        <v>67.5</v>
      </c>
      <c r="W19">
        <f>SUM(W12:W17)</f>
        <v>61.5</v>
      </c>
      <c r="X19">
        <f>+W19+V19</f>
        <v>129</v>
      </c>
    </row>
    <row r="20" spans="1:23" ht="12">
      <c r="A20" t="s">
        <v>8</v>
      </c>
      <c r="D20" s="2">
        <v>1</v>
      </c>
      <c r="H20" t="s">
        <v>8</v>
      </c>
      <c r="M20" s="2">
        <v>1</v>
      </c>
      <c r="V20">
        <f>+V19/X19</f>
        <v>0.5232558139534884</v>
      </c>
      <c r="W20">
        <f>+W19/X19</f>
        <v>0.47674418604651164</v>
      </c>
    </row>
    <row r="21" spans="1:23" ht="12">
      <c r="A21" t="s">
        <v>9</v>
      </c>
      <c r="D21" s="2">
        <v>5</v>
      </c>
      <c r="H21" t="s">
        <v>9</v>
      </c>
      <c r="M21" s="2">
        <v>15</v>
      </c>
      <c r="V21">
        <f>+V20*60</f>
        <v>31.395348837209305</v>
      </c>
      <c r="W21">
        <f>+W20*60</f>
        <v>28.6046511627907</v>
      </c>
    </row>
    <row r="22" spans="1:23" ht="12">
      <c r="A22" t="s">
        <v>10</v>
      </c>
      <c r="D22">
        <f>+D19-D21</f>
        <v>172</v>
      </c>
      <c r="H22" t="s">
        <v>10</v>
      </c>
      <c r="M22">
        <f>+M19-M21</f>
        <v>133</v>
      </c>
      <c r="V22">
        <f>+V21-INT(V21)</f>
        <v>0.3953488372093048</v>
      </c>
      <c r="W22">
        <f>+W21-INT(W21)</f>
        <v>0.6046511627906987</v>
      </c>
    </row>
    <row r="23" spans="1:23" ht="12">
      <c r="A23" t="s">
        <v>11</v>
      </c>
      <c r="D23" s="7">
        <f>+D22/(D16+D20)</f>
        <v>4.526315789473684</v>
      </c>
      <c r="H23" t="s">
        <v>11</v>
      </c>
      <c r="M23" s="7">
        <f>+M22/(M16+M20)</f>
        <v>3.911764705882353</v>
      </c>
      <c r="V23">
        <f>+V22*60</f>
        <v>23.72093023255829</v>
      </c>
      <c r="W23">
        <f>+W22*60</f>
        <v>36.279069767441925</v>
      </c>
    </row>
    <row r="24" spans="1:23" ht="12">
      <c r="A24" t="s">
        <v>12</v>
      </c>
      <c r="D24" s="7">
        <f>+D19/D17</f>
        <v>11.0625</v>
      </c>
      <c r="H24" t="s">
        <v>12</v>
      </c>
      <c r="M24" s="7">
        <f>+M19/M17</f>
        <v>12.333333333333334</v>
      </c>
      <c r="U24">
        <v>0</v>
      </c>
      <c r="V24" s="11">
        <f>ROUND(V23,0)</f>
        <v>24</v>
      </c>
      <c r="W24">
        <f>ROUND(W23,0)</f>
        <v>36</v>
      </c>
    </row>
    <row r="25" spans="22:23" ht="12">
      <c r="V25">
        <f>INT(V21)</f>
        <v>31</v>
      </c>
      <c r="W25">
        <f>INT(W21)</f>
        <v>28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242</v>
      </c>
      <c r="H27" t="s">
        <v>14</v>
      </c>
      <c r="M27">
        <f>+M22+M13</f>
        <v>200</v>
      </c>
      <c r="Q27" s="9"/>
      <c r="R27" s="9"/>
      <c r="V27" s="14" t="str">
        <f>+V25&amp;V26&amp;V24</f>
        <v>31:24</v>
      </c>
      <c r="W27" s="9" t="str">
        <f>+W25&amp;W26&amp;W24</f>
        <v>28:36</v>
      </c>
    </row>
    <row r="28" spans="1:23" ht="12">
      <c r="A28" t="s">
        <v>15</v>
      </c>
      <c r="D28" s="7">
        <f>+D13/D27*100</f>
        <v>28.92561983471074</v>
      </c>
      <c r="H28" t="s">
        <v>15</v>
      </c>
      <c r="M28" s="7">
        <f>+M13/M27*100</f>
        <v>33.5</v>
      </c>
      <c r="V28" s="9" t="str">
        <f>IF(V24&lt;10,+V25&amp;V26&amp;$U$24&amp;V24,+V25&amp;V26&amp;V24)</f>
        <v>31:24</v>
      </c>
      <c r="W28" s="9" t="str">
        <f>IF(W24&lt;10,+W25&amp;W26&amp;$U$24&amp;W24,+W25&amp;W26&amp;W24)</f>
        <v>28:36</v>
      </c>
    </row>
    <row r="29" spans="1:13" ht="12">
      <c r="A29" s="1" t="s">
        <v>90</v>
      </c>
      <c r="D29" s="7">
        <f>+D22/D27*100</f>
        <v>71.07438016528926</v>
      </c>
      <c r="H29" s="1" t="s">
        <v>90</v>
      </c>
      <c r="M29" s="7">
        <f>+M22/M27*100</f>
        <v>66.5</v>
      </c>
    </row>
    <row r="31" spans="1:13" ht="12">
      <c r="A31" t="s">
        <v>16</v>
      </c>
      <c r="D31">
        <f>+D12+D16+D20</f>
        <v>69</v>
      </c>
      <c r="H31" t="s">
        <v>16</v>
      </c>
      <c r="M31">
        <f>+M12+M16+M20</f>
        <v>64</v>
      </c>
    </row>
    <row r="32" spans="1:13" ht="12">
      <c r="A32" t="s">
        <v>17</v>
      </c>
      <c r="D32" s="8">
        <f>+D27/D31</f>
        <v>3.5072463768115942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3.125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0</v>
      </c>
      <c r="H35" t="s">
        <v>19</v>
      </c>
      <c r="M35" s="2">
        <v>1</v>
      </c>
    </row>
    <row r="36" spans="1:13" ht="12">
      <c r="A36" t="s">
        <v>20</v>
      </c>
      <c r="D36" s="2">
        <v>0</v>
      </c>
      <c r="H36" t="s">
        <v>20</v>
      </c>
      <c r="M36" s="2">
        <v>0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8</v>
      </c>
      <c r="H39" t="s">
        <v>22</v>
      </c>
      <c r="M39" s="2">
        <v>10</v>
      </c>
    </row>
    <row r="40" spans="1:13" ht="12">
      <c r="A40" t="s">
        <v>23</v>
      </c>
      <c r="D40" s="2">
        <f>52+51+37+34+40+40+33+58</f>
        <v>345</v>
      </c>
      <c r="H40" t="s">
        <v>23</v>
      </c>
      <c r="M40" s="2">
        <f>54+40+46+52+40+54+42+45+40+40</f>
        <v>453</v>
      </c>
    </row>
    <row r="41" spans="1:13" ht="12">
      <c r="A41" t="s">
        <v>24</v>
      </c>
      <c r="D41" s="8">
        <f>+D40/D39</f>
        <v>43.125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45.3</v>
      </c>
    </row>
    <row r="43" spans="1:13" ht="12">
      <c r="A43" t="s">
        <v>25</v>
      </c>
      <c r="D43" s="2">
        <v>9</v>
      </c>
      <c r="H43" t="s">
        <v>25</v>
      </c>
      <c r="M43" s="2">
        <v>4</v>
      </c>
    </row>
    <row r="44" spans="1:13" ht="12">
      <c r="A44" t="s">
        <v>26</v>
      </c>
      <c r="D44" s="2">
        <f>3+0+9+4+20+12+4+4+6</f>
        <v>62</v>
      </c>
      <c r="H44" t="s">
        <v>26</v>
      </c>
      <c r="M44" s="2">
        <f>3+9+10+10</f>
        <v>32</v>
      </c>
    </row>
    <row r="45" spans="1:13" ht="12">
      <c r="A45" t="s">
        <v>27</v>
      </c>
      <c r="D45" s="8">
        <f>+D44/D43</f>
        <v>6.888888888888889</v>
      </c>
      <c r="H45" t="s">
        <v>27</v>
      </c>
      <c r="M45" s="8">
        <f>+M44/M43</f>
        <v>8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3</v>
      </c>
      <c r="H48" t="s">
        <v>30</v>
      </c>
      <c r="M48" s="2">
        <v>4</v>
      </c>
    </row>
    <row r="49" spans="1:13" ht="12">
      <c r="A49" t="s">
        <v>26</v>
      </c>
      <c r="D49" s="2">
        <f>22+14+26</f>
        <v>62</v>
      </c>
      <c r="H49" t="s">
        <v>26</v>
      </c>
      <c r="M49" s="2">
        <f>25+20+19+10</f>
        <v>74</v>
      </c>
    </row>
    <row r="50" spans="1:13" ht="12">
      <c r="A50" t="s">
        <v>27</v>
      </c>
      <c r="D50" s="8">
        <f>+D49/D48</f>
        <v>20.666666666666668</v>
      </c>
      <c r="H50" t="s">
        <v>27</v>
      </c>
      <c r="M50" s="8">
        <f>+M49/M48</f>
        <v>18.5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5</v>
      </c>
      <c r="H53" t="s">
        <v>31</v>
      </c>
      <c r="M53" s="2">
        <v>6</v>
      </c>
    </row>
    <row r="54" spans="1:13" ht="12">
      <c r="A54" t="s">
        <v>32</v>
      </c>
      <c r="D54" s="2">
        <v>45</v>
      </c>
      <c r="H54" t="s">
        <v>32</v>
      </c>
      <c r="M54" s="2">
        <v>53</v>
      </c>
    </row>
    <row r="56" spans="1:13" ht="12">
      <c r="A56" t="s">
        <v>33</v>
      </c>
      <c r="D56" s="2">
        <v>2</v>
      </c>
      <c r="H56" t="s">
        <v>33</v>
      </c>
      <c r="M56" s="2">
        <v>2</v>
      </c>
    </row>
    <row r="57" spans="1:13" ht="12">
      <c r="A57" t="s">
        <v>34</v>
      </c>
      <c r="D57" s="2">
        <v>0</v>
      </c>
      <c r="H57" t="s">
        <v>34</v>
      </c>
      <c r="M57" s="2">
        <v>1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1</v>
      </c>
      <c r="H59" t="s">
        <v>36</v>
      </c>
      <c r="M59" s="2">
        <v>2</v>
      </c>
    </row>
    <row r="60" spans="1:13" ht="12">
      <c r="A60" s="1" t="s">
        <v>37</v>
      </c>
      <c r="D60" s="2">
        <v>0</v>
      </c>
      <c r="H60" s="1" t="s">
        <v>37</v>
      </c>
      <c r="M60" s="2">
        <v>0</v>
      </c>
    </row>
    <row r="62" spans="1:16" ht="12">
      <c r="A62" t="s">
        <v>38</v>
      </c>
      <c r="D62" s="2">
        <v>15</v>
      </c>
      <c r="H62" t="s">
        <v>38</v>
      </c>
      <c r="M62" s="2">
        <v>14</v>
      </c>
      <c r="P62" t="s">
        <v>107</v>
      </c>
    </row>
    <row r="63" spans="1:13" ht="12">
      <c r="A63" t="s">
        <v>39</v>
      </c>
      <c r="D63" s="2">
        <v>1</v>
      </c>
      <c r="H63" t="s">
        <v>39</v>
      </c>
      <c r="M63" s="2">
        <v>2</v>
      </c>
    </row>
    <row r="64" spans="1:13" ht="12">
      <c r="A64" t="s">
        <v>40</v>
      </c>
      <c r="D64" s="2">
        <v>0</v>
      </c>
      <c r="H64" t="s">
        <v>40</v>
      </c>
      <c r="M64" s="2">
        <v>1</v>
      </c>
    </row>
    <row r="65" spans="1:13" ht="12">
      <c r="A65" t="s">
        <v>41</v>
      </c>
      <c r="D65" s="2">
        <v>1</v>
      </c>
      <c r="H65" t="s">
        <v>41</v>
      </c>
      <c r="M65" s="2">
        <v>1</v>
      </c>
    </row>
    <row r="66" spans="1:13" ht="12">
      <c r="A66" t="s">
        <v>42</v>
      </c>
      <c r="D66" s="2">
        <v>0</v>
      </c>
      <c r="H66" t="s">
        <v>42</v>
      </c>
      <c r="M66" s="2">
        <v>0</v>
      </c>
    </row>
    <row r="67" spans="1:13" ht="12">
      <c r="A67" t="s">
        <v>43</v>
      </c>
      <c r="D67" s="2">
        <v>0</v>
      </c>
      <c r="H67" t="s">
        <v>43</v>
      </c>
      <c r="M67" s="2">
        <v>2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3</v>
      </c>
      <c r="H69" t="s">
        <v>45</v>
      </c>
      <c r="M69" s="2">
        <v>0</v>
      </c>
    </row>
    <row r="70" spans="1:13" ht="12">
      <c r="A70" t="s">
        <v>46</v>
      </c>
      <c r="D70" s="2">
        <v>3</v>
      </c>
      <c r="H70" t="s">
        <v>46</v>
      </c>
      <c r="M70" s="2">
        <v>1</v>
      </c>
    </row>
    <row r="71" spans="1:13" ht="12">
      <c r="A71" t="s">
        <v>47</v>
      </c>
      <c r="D71" s="8">
        <f>+D69/D70*100</f>
        <v>100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0</v>
      </c>
    </row>
    <row r="72" spans="1:13" ht="12">
      <c r="A72" t="s">
        <v>93</v>
      </c>
      <c r="D72" s="10" t="str">
        <f>IF(V24&lt;10,V28,V27)</f>
        <v>31:24</v>
      </c>
      <c r="E72" s="8"/>
      <c r="F72" s="8"/>
      <c r="H72" t="s">
        <v>93</v>
      </c>
      <c r="M72" s="10" t="str">
        <f>IF(W24&lt;10,W28,W27)</f>
        <v>28:36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6" ht="12">
      <c r="A77" t="s">
        <v>113</v>
      </c>
      <c r="C77">
        <v>14</v>
      </c>
      <c r="D77">
        <v>18</v>
      </c>
      <c r="E77" s="12">
        <f>+D77/C77</f>
        <v>1.2857142857142858</v>
      </c>
      <c r="F77">
        <v>7</v>
      </c>
    </row>
    <row r="78" spans="1:6" ht="12">
      <c r="A78" t="s">
        <v>114</v>
      </c>
      <c r="C78">
        <v>5</v>
      </c>
      <c r="D78">
        <v>25</v>
      </c>
      <c r="E78" s="12">
        <f>+D78/C78</f>
        <v>5</v>
      </c>
      <c r="F78">
        <v>11</v>
      </c>
    </row>
    <row r="79" spans="1:5" ht="12">
      <c r="A79" t="s">
        <v>115</v>
      </c>
      <c r="E79" s="12" t="e">
        <f aca="true" t="shared" si="0" ref="E79:E85">+D79/C79</f>
        <v>#DIV/0!</v>
      </c>
    </row>
    <row r="80" spans="1:5" ht="12">
      <c r="A80" t="s">
        <v>116</v>
      </c>
      <c r="E80" s="12" t="e">
        <f t="shared" si="0"/>
        <v>#DIV/0!</v>
      </c>
    </row>
    <row r="81" spans="1:6" ht="12">
      <c r="A81" t="s">
        <v>117</v>
      </c>
      <c r="C81">
        <v>1</v>
      </c>
      <c r="D81">
        <v>5</v>
      </c>
      <c r="E81" s="12">
        <f t="shared" si="0"/>
        <v>5</v>
      </c>
      <c r="F81">
        <v>5</v>
      </c>
    </row>
    <row r="82" spans="1:5" ht="12">
      <c r="A82" t="s">
        <v>118</v>
      </c>
      <c r="E82" s="12" t="e">
        <f t="shared" si="0"/>
        <v>#DIV/0!</v>
      </c>
    </row>
    <row r="83" spans="1:6" ht="12">
      <c r="A83" t="s">
        <v>119</v>
      </c>
      <c r="C83">
        <v>1</v>
      </c>
      <c r="D83">
        <v>2</v>
      </c>
      <c r="E83" s="12">
        <f t="shared" si="0"/>
        <v>2</v>
      </c>
      <c r="F83">
        <v>2</v>
      </c>
    </row>
    <row r="84" spans="1:5" ht="12">
      <c r="A84" t="s">
        <v>120</v>
      </c>
      <c r="E84" s="12" t="e">
        <f t="shared" si="0"/>
        <v>#DIV/0!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8" ht="12">
      <c r="A87" t="s">
        <v>123</v>
      </c>
      <c r="C87">
        <v>6</v>
      </c>
      <c r="D87">
        <v>14</v>
      </c>
      <c r="E87" s="12">
        <f>+D87/C87</f>
        <v>2.3333333333333335</v>
      </c>
      <c r="F87">
        <v>7</v>
      </c>
      <c r="H87">
        <v>1</v>
      </c>
    </row>
    <row r="88" spans="1:5" ht="12">
      <c r="A88" t="s">
        <v>124</v>
      </c>
      <c r="E88" s="8"/>
    </row>
    <row r="89" spans="1:6" ht="12">
      <c r="A89" t="s">
        <v>125</v>
      </c>
      <c r="C89">
        <v>4</v>
      </c>
      <c r="D89">
        <v>6</v>
      </c>
      <c r="E89" s="8"/>
      <c r="F89">
        <v>6</v>
      </c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6" ht="12">
      <c r="A94" t="s">
        <v>113</v>
      </c>
      <c r="C94">
        <v>2</v>
      </c>
      <c r="D94">
        <v>10</v>
      </c>
      <c r="E94" s="12">
        <f t="shared" si="1"/>
        <v>5</v>
      </c>
      <c r="F94">
        <v>7</v>
      </c>
    </row>
    <row r="95" spans="1:6" ht="12">
      <c r="A95" t="s">
        <v>114</v>
      </c>
      <c r="C95">
        <v>1</v>
      </c>
      <c r="D95">
        <v>7</v>
      </c>
      <c r="E95" s="12">
        <f t="shared" si="1"/>
        <v>7</v>
      </c>
      <c r="F95">
        <v>7</v>
      </c>
    </row>
    <row r="96" spans="1:6" ht="12">
      <c r="A96" t="s">
        <v>115</v>
      </c>
      <c r="C96">
        <v>1</v>
      </c>
      <c r="D96">
        <v>-1</v>
      </c>
      <c r="E96" s="12">
        <f t="shared" si="1"/>
        <v>-1</v>
      </c>
      <c r="F96">
        <v>-1</v>
      </c>
    </row>
    <row r="97" spans="1:5" ht="12">
      <c r="A97" t="s">
        <v>117</v>
      </c>
      <c r="E97" s="12" t="e">
        <f t="shared" si="1"/>
        <v>#DIV/0!</v>
      </c>
    </row>
    <row r="98" spans="1:5" ht="12">
      <c r="A98" t="s">
        <v>128</v>
      </c>
      <c r="E98" s="12" t="e">
        <f t="shared" si="1"/>
        <v>#DIV/0!</v>
      </c>
    </row>
    <row r="99" spans="1:6" ht="12">
      <c r="A99" t="s">
        <v>119</v>
      </c>
      <c r="C99">
        <v>1</v>
      </c>
      <c r="D99">
        <v>8</v>
      </c>
      <c r="E99" s="12">
        <f t="shared" si="1"/>
        <v>8</v>
      </c>
      <c r="F99">
        <v>8</v>
      </c>
    </row>
    <row r="100" spans="1:6" ht="12">
      <c r="A100" t="s">
        <v>120</v>
      </c>
      <c r="C100">
        <v>3</v>
      </c>
      <c r="D100">
        <v>53</v>
      </c>
      <c r="E100" s="12">
        <f t="shared" si="1"/>
        <v>17.666666666666668</v>
      </c>
      <c r="F100">
        <v>37</v>
      </c>
    </row>
    <row r="101" spans="1:7" ht="12">
      <c r="A101" t="s">
        <v>129</v>
      </c>
      <c r="C101">
        <v>2</v>
      </c>
      <c r="D101">
        <v>24</v>
      </c>
      <c r="E101" s="12">
        <f t="shared" si="1"/>
        <v>12</v>
      </c>
      <c r="F101">
        <v>13</v>
      </c>
      <c r="G101">
        <v>1</v>
      </c>
    </row>
    <row r="102" spans="1:5" ht="12">
      <c r="A102" t="s">
        <v>130</v>
      </c>
      <c r="E102" s="12" t="e">
        <f t="shared" si="1"/>
        <v>#DIV/0!</v>
      </c>
    </row>
    <row r="103" spans="1:5" ht="12">
      <c r="A103" t="s">
        <v>122</v>
      </c>
      <c r="E103" s="12" t="e">
        <f t="shared" si="1"/>
        <v>#DIV/0!</v>
      </c>
    </row>
    <row r="104" spans="1:5" ht="12">
      <c r="A104" t="s">
        <v>131</v>
      </c>
      <c r="E104" s="12" t="e">
        <f>+D104/C104</f>
        <v>#DIV/0!</v>
      </c>
    </row>
    <row r="105" spans="1:5" ht="12">
      <c r="A105" t="s">
        <v>132</v>
      </c>
      <c r="E105" s="12" t="e">
        <f>+D105/C105</f>
        <v>#DIV/0!</v>
      </c>
    </row>
    <row r="106" spans="1:6" ht="12">
      <c r="A106" t="s">
        <v>123</v>
      </c>
      <c r="C106">
        <v>6</v>
      </c>
      <c r="D106">
        <v>76</v>
      </c>
      <c r="E106" s="12"/>
      <c r="F106">
        <v>23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>+G113/C113*100</f>
        <v>#DIV/0!</v>
      </c>
      <c r="K113" s="12" t="e">
        <f aca="true" t="shared" si="3" ref="K113:K118">+I113/C113*100</f>
        <v>#DIV/0!</v>
      </c>
      <c r="L113" s="12" t="e">
        <f aca="true" t="shared" si="4" ref="L113:L118">+F113/C113</f>
        <v>#DIV/0!</v>
      </c>
      <c r="M113" s="12" t="e">
        <f aca="true" t="shared" si="5" ref="M113:M118">100*(S113+U113+W113+Y113)/6</f>
        <v>#DIV/0!</v>
      </c>
      <c r="R113" t="e">
        <f aca="true" t="shared" si="6" ref="R113:R118">+(E113-30)/20</f>
        <v>#DIV/0!</v>
      </c>
      <c r="S113" s="2" t="e">
        <f aca="true" t="shared" si="7" ref="S113:S118">IF(R113&lt;0,0,R113)</f>
        <v>#DIV/0!</v>
      </c>
      <c r="T113" s="6" t="e">
        <f aca="true" t="shared" si="8" ref="T113:T118">+(L113-3)/4</f>
        <v>#DIV/0!</v>
      </c>
      <c r="U113" s="2" t="e">
        <f aca="true" t="shared" si="9" ref="U113:U118">IF(T113&lt;0,0,T113)</f>
        <v>#DIV/0!</v>
      </c>
      <c r="V113" t="e">
        <f aca="true" t="shared" si="10" ref="V113:V118">+J113/5</f>
        <v>#DIV/0!</v>
      </c>
      <c r="W113" s="2" t="e">
        <f aca="true" t="shared" si="11" ref="W113:W118">IF(V113&lt;0,0,V113)</f>
        <v>#DIV/0!</v>
      </c>
      <c r="X113" t="e">
        <f aca="true" t="shared" si="12" ref="X113:X118">(9.5-K113)/4</f>
        <v>#DIV/0!</v>
      </c>
      <c r="Y113" s="2" t="e">
        <f aca="true" t="shared" si="13" ref="Y113:Y118">IF(X113&lt;0,0,X113)</f>
        <v>#DIV/0!</v>
      </c>
    </row>
    <row r="114" spans="1:25" ht="12">
      <c r="A114" t="s">
        <v>118</v>
      </c>
      <c r="E114" s="12" t="e">
        <f t="shared" si="2"/>
        <v>#DIV/0!</v>
      </c>
      <c r="J114" s="8"/>
      <c r="K114" s="12" t="e">
        <f t="shared" si="3"/>
        <v>#DIV/0!</v>
      </c>
      <c r="L114" s="12" t="e">
        <f t="shared" si="4"/>
        <v>#DIV/0!</v>
      </c>
      <c r="M114" s="12" t="e">
        <f t="shared" si="5"/>
        <v>#DIV/0!</v>
      </c>
      <c r="R114" t="e">
        <f t="shared" si="6"/>
        <v>#DIV/0!</v>
      </c>
      <c r="S114" s="2" t="e">
        <f t="shared" si="7"/>
        <v>#DIV/0!</v>
      </c>
      <c r="T114" s="6" t="e">
        <f t="shared" si="8"/>
        <v>#DIV/0!</v>
      </c>
      <c r="U114" s="2" t="e">
        <f t="shared" si="9"/>
        <v>#DIV/0!</v>
      </c>
      <c r="V114">
        <f t="shared" si="10"/>
        <v>0</v>
      </c>
      <c r="W114" s="2">
        <f t="shared" si="11"/>
        <v>0</v>
      </c>
      <c r="X114" t="e">
        <f t="shared" si="12"/>
        <v>#DIV/0!</v>
      </c>
      <c r="Y114" s="2" t="e">
        <f t="shared" si="13"/>
        <v>#DIV/0!</v>
      </c>
    </row>
    <row r="115" spans="1:25" ht="12">
      <c r="A115" t="s">
        <v>120</v>
      </c>
      <c r="E115" s="12" t="e">
        <f t="shared" si="2"/>
        <v>#DIV/0!</v>
      </c>
      <c r="J115" s="8"/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>
        <f t="shared" si="10"/>
        <v>0</v>
      </c>
      <c r="W115" s="2">
        <f t="shared" si="11"/>
        <v>0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E116" s="12" t="e">
        <f t="shared" si="2"/>
        <v>#DIV/0!</v>
      </c>
      <c r="J116" s="8"/>
      <c r="K116" s="12" t="e">
        <f t="shared" si="3"/>
        <v>#DIV/0!</v>
      </c>
      <c r="L116" s="12" t="e">
        <f t="shared" si="4"/>
        <v>#DIV/0!</v>
      </c>
      <c r="M116" s="12" t="e">
        <f t="shared" si="5"/>
        <v>#DIV/0!</v>
      </c>
      <c r="R116" t="e">
        <f t="shared" si="6"/>
        <v>#DIV/0!</v>
      </c>
      <c r="S116" s="2" t="e">
        <f t="shared" si="7"/>
        <v>#DIV/0!</v>
      </c>
      <c r="T116" s="6" t="e">
        <f t="shared" si="8"/>
        <v>#DIV/0!</v>
      </c>
      <c r="U116" s="2" t="e">
        <f t="shared" si="9"/>
        <v>#DIV/0!</v>
      </c>
      <c r="V116">
        <f t="shared" si="10"/>
        <v>0</v>
      </c>
      <c r="W116" s="2">
        <f t="shared" si="11"/>
        <v>0</v>
      </c>
      <c r="X116" t="e">
        <f t="shared" si="12"/>
        <v>#DIV/0!</v>
      </c>
      <c r="Y116" s="2" t="e">
        <f t="shared" si="13"/>
        <v>#DIV/0!</v>
      </c>
    </row>
    <row r="117" spans="1:25" ht="12">
      <c r="A117" t="s">
        <v>125</v>
      </c>
      <c r="C117">
        <v>37</v>
      </c>
      <c r="D117">
        <v>16</v>
      </c>
      <c r="E117" s="12">
        <f t="shared" si="2"/>
        <v>43.24324324324324</v>
      </c>
      <c r="F117">
        <v>177</v>
      </c>
      <c r="G117">
        <v>1</v>
      </c>
      <c r="H117">
        <v>37</v>
      </c>
      <c r="J117" s="8"/>
      <c r="K117" s="12">
        <f t="shared" si="3"/>
        <v>0</v>
      </c>
      <c r="L117" s="12">
        <f t="shared" si="4"/>
        <v>4.783783783783784</v>
      </c>
      <c r="M117" s="12">
        <f t="shared" si="5"/>
        <v>58.051801801801794</v>
      </c>
      <c r="O117">
        <v>1</v>
      </c>
      <c r="R117">
        <f t="shared" si="6"/>
        <v>0.6621621621621621</v>
      </c>
      <c r="S117" s="2">
        <f t="shared" si="7"/>
        <v>0.6621621621621621</v>
      </c>
      <c r="T117" s="6">
        <f t="shared" si="8"/>
        <v>0.44594594594594605</v>
      </c>
      <c r="U117" s="2">
        <f t="shared" si="9"/>
        <v>0.44594594594594605</v>
      </c>
      <c r="V117">
        <f t="shared" si="10"/>
        <v>0</v>
      </c>
      <c r="W117" s="2">
        <f t="shared" si="11"/>
        <v>0</v>
      </c>
      <c r="X117">
        <f t="shared" si="12"/>
        <v>2.375</v>
      </c>
      <c r="Y117" s="2">
        <f t="shared" si="13"/>
        <v>2.375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2</v>
      </c>
      <c r="D121">
        <v>1</v>
      </c>
      <c r="E121">
        <v>10</v>
      </c>
      <c r="F121" s="12">
        <f aca="true" t="shared" si="14" ref="F121:F126">+E121/C121</f>
        <v>5</v>
      </c>
      <c r="G121">
        <v>6</v>
      </c>
    </row>
    <row r="122" spans="1:6" ht="12">
      <c r="A122" t="s">
        <v>134</v>
      </c>
      <c r="F122" s="12" t="e">
        <f t="shared" si="14"/>
        <v>#DIV/0!</v>
      </c>
    </row>
    <row r="123" spans="1:9" ht="12">
      <c r="A123" t="s">
        <v>135</v>
      </c>
      <c r="C123">
        <v>7</v>
      </c>
      <c r="E123">
        <f>3+0+9+4+20+12+4</f>
        <v>52</v>
      </c>
      <c r="F123" s="12">
        <f t="shared" si="14"/>
        <v>7.428571428571429</v>
      </c>
      <c r="G123">
        <v>20</v>
      </c>
      <c r="I123">
        <v>1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5" ht="12">
      <c r="A132" t="s">
        <v>137</v>
      </c>
      <c r="E132" s="12" t="e">
        <f t="shared" si="15"/>
        <v>#DIV/0!</v>
      </c>
    </row>
    <row r="133" spans="1:5" ht="12">
      <c r="A133" t="s">
        <v>116</v>
      </c>
      <c r="E133" s="12" t="e">
        <f t="shared" si="15"/>
        <v>#DIV/0!</v>
      </c>
    </row>
    <row r="134" spans="1:6" ht="12">
      <c r="A134" t="s">
        <v>128</v>
      </c>
      <c r="C134">
        <v>1</v>
      </c>
      <c r="D134">
        <v>14</v>
      </c>
      <c r="E134" s="12">
        <f t="shared" si="15"/>
        <v>14</v>
      </c>
      <c r="F134">
        <v>14</v>
      </c>
    </row>
    <row r="135" spans="1:5" ht="12">
      <c r="A135" t="s">
        <v>134</v>
      </c>
      <c r="E135" s="12" t="e">
        <f t="shared" si="15"/>
        <v>#DIV/0!</v>
      </c>
    </row>
    <row r="136" spans="1:6" ht="12">
      <c r="A136" t="s">
        <v>119</v>
      </c>
      <c r="C136">
        <v>1</v>
      </c>
      <c r="D136">
        <v>22</v>
      </c>
      <c r="E136" s="12">
        <f t="shared" si="15"/>
        <v>22</v>
      </c>
      <c r="F136">
        <v>22</v>
      </c>
    </row>
    <row r="137" spans="1:6" ht="12">
      <c r="A137" t="s">
        <v>135</v>
      </c>
      <c r="C137">
        <v>1</v>
      </c>
      <c r="D137">
        <v>26</v>
      </c>
      <c r="E137" s="12">
        <f>+D137/C137</f>
        <v>26</v>
      </c>
      <c r="F137">
        <v>26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8</v>
      </c>
      <c r="D143">
        <f>52+51+37+34+40+40+33+58</f>
        <v>345</v>
      </c>
      <c r="F143">
        <v>58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15" ht="12">
      <c r="A151" t="s">
        <v>140</v>
      </c>
      <c r="C151">
        <v>5</v>
      </c>
      <c r="D151">
        <v>1</v>
      </c>
      <c r="E151">
        <v>0</v>
      </c>
      <c r="F151">
        <v>0</v>
      </c>
      <c r="G151">
        <v>3</v>
      </c>
      <c r="H151">
        <v>3</v>
      </c>
      <c r="I151" s="12">
        <f>+H151/G151*100</f>
        <v>100</v>
      </c>
      <c r="J151">
        <v>25</v>
      </c>
      <c r="N151">
        <v>3</v>
      </c>
      <c r="O151">
        <v>3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C157">
        <v>1</v>
      </c>
      <c r="E157" s="12">
        <f aca="true" t="shared" si="16" ref="E157:E163">+D157/C157</f>
        <v>0</v>
      </c>
    </row>
    <row r="158" spans="1:5" ht="12">
      <c r="A158" t="s">
        <v>143</v>
      </c>
      <c r="E158" s="12" t="e">
        <f t="shared" si="16"/>
        <v>#DIV/0!</v>
      </c>
    </row>
    <row r="159" spans="1:5" ht="12">
      <c r="A159" t="s">
        <v>144</v>
      </c>
      <c r="E159" s="12" t="e">
        <f t="shared" si="16"/>
        <v>#DIV/0!</v>
      </c>
    </row>
    <row r="160" spans="1:5" ht="12">
      <c r="A160" t="s">
        <v>145</v>
      </c>
      <c r="E160" s="12" t="e">
        <f t="shared" si="16"/>
        <v>#DIV/0!</v>
      </c>
    </row>
    <row r="161" spans="1:5" ht="12">
      <c r="A161" t="s">
        <v>146</v>
      </c>
      <c r="E161" s="12" t="e">
        <f t="shared" si="16"/>
        <v>#DIV/0!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/>
      <c r="D171" s="3"/>
    </row>
    <row r="172" spans="1:4" ht="12">
      <c r="A172" t="s">
        <v>147</v>
      </c>
      <c r="C172" s="3"/>
      <c r="D172" s="3"/>
    </row>
    <row r="173" spans="1:4" ht="12">
      <c r="A173" t="s">
        <v>148</v>
      </c>
      <c r="C173" s="3">
        <v>1</v>
      </c>
      <c r="D173" s="3">
        <v>15</v>
      </c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/>
      <c r="D175" s="3"/>
    </row>
    <row r="176" spans="1:4" ht="12">
      <c r="A176" t="s">
        <v>150</v>
      </c>
      <c r="C176" s="3"/>
      <c r="D176" s="3"/>
    </row>
    <row r="177" spans="1:4" ht="12">
      <c r="A177" t="s">
        <v>151</v>
      </c>
      <c r="C177" s="3"/>
      <c r="D177" s="3"/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ht="12">
      <c r="A210" t="s">
        <v>144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spans="1:5" ht="12">
      <c r="A218" t="s">
        <v>159</v>
      </c>
      <c r="C218">
        <v>1</v>
      </c>
      <c r="D218">
        <v>68</v>
      </c>
      <c r="E218">
        <v>68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ht="12">
      <c r="A229" t="s">
        <v>162</v>
      </c>
    </row>
    <row r="230" ht="12">
      <c r="A230" t="s">
        <v>163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ht="12">
      <c r="A236" t="s">
        <v>164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ht="12">
      <c r="A241" t="s">
        <v>151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3"/>
  <sheetViews>
    <sheetView zoomScale="125" zoomScaleNormal="125" workbookViewId="0" topLeftCell="A1">
      <selection activeCell="I118" sqref="I118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1981 Seattle Seahawks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15</v>
      </c>
      <c r="H6" s="1" t="s">
        <v>29</v>
      </c>
      <c r="M6" s="2">
        <v>19</v>
      </c>
    </row>
    <row r="7" spans="1:13" ht="12">
      <c r="A7" s="18" t="s">
        <v>95</v>
      </c>
      <c r="D7" s="2">
        <v>1</v>
      </c>
      <c r="H7" s="18" t="s">
        <v>95</v>
      </c>
      <c r="M7" s="2">
        <v>10</v>
      </c>
    </row>
    <row r="8" spans="1:13" ht="12">
      <c r="A8" s="18" t="s">
        <v>96</v>
      </c>
      <c r="D8" s="2">
        <v>11</v>
      </c>
      <c r="H8" s="18" t="s">
        <v>96</v>
      </c>
      <c r="M8" s="2">
        <v>8</v>
      </c>
    </row>
    <row r="9" spans="1:13" ht="12">
      <c r="A9" s="18" t="s">
        <v>97</v>
      </c>
      <c r="D9" s="2">
        <v>3</v>
      </c>
      <c r="H9" s="18" t="s">
        <v>97</v>
      </c>
      <c r="M9" s="2">
        <v>1</v>
      </c>
    </row>
    <row r="10" spans="1:14" ht="12">
      <c r="A10" s="21" t="s">
        <v>168</v>
      </c>
      <c r="C10">
        <v>4</v>
      </c>
      <c r="D10" s="2">
        <v>13</v>
      </c>
      <c r="E10" s="22">
        <f>+C10/D10</f>
        <v>0.3076923076923077</v>
      </c>
      <c r="H10" s="21" t="s">
        <v>168</v>
      </c>
      <c r="L10">
        <v>4</v>
      </c>
      <c r="M10" s="2">
        <v>14</v>
      </c>
      <c r="N10" s="22">
        <f>+L10/M10</f>
        <v>0.2857142857142857</v>
      </c>
    </row>
    <row r="12" spans="1:23" ht="12">
      <c r="A12" t="s">
        <v>1</v>
      </c>
      <c r="D12" s="2">
        <f>6+3+4+4+3</f>
        <v>20</v>
      </c>
      <c r="H12" t="s">
        <v>1</v>
      </c>
      <c r="M12" s="2">
        <f>13+4+4+5+6+2</f>
        <v>34</v>
      </c>
      <c r="V12">
        <f>+D12</f>
        <v>20</v>
      </c>
      <c r="W12">
        <f>+M12</f>
        <v>34</v>
      </c>
    </row>
    <row r="13" spans="1:23" ht="12">
      <c r="A13" t="s">
        <v>2</v>
      </c>
      <c r="D13" s="2">
        <f>9+18+18+7+6</f>
        <v>58</v>
      </c>
      <c r="H13" t="s">
        <v>2</v>
      </c>
      <c r="M13" s="2">
        <f>59+39+9+17+23-2</f>
        <v>145</v>
      </c>
      <c r="U13" s="13"/>
      <c r="V13">
        <f>+D17</f>
        <v>22</v>
      </c>
      <c r="W13">
        <f>+M17</f>
        <v>17</v>
      </c>
    </row>
    <row r="14" spans="1:23" ht="12">
      <c r="A14" s="1" t="s">
        <v>3</v>
      </c>
      <c r="D14" s="8">
        <f>+D13/D12</f>
        <v>2.9</v>
      </c>
      <c r="H14" s="1" t="s">
        <v>3</v>
      </c>
      <c r="M14" s="8">
        <f>+M13/M12</f>
        <v>4.264705882352941</v>
      </c>
      <c r="V14">
        <f>+(D16-D17)/2</f>
        <v>8</v>
      </c>
      <c r="W14">
        <f>+(M16-M17)/2</f>
        <v>7</v>
      </c>
    </row>
    <row r="15" spans="22:23" ht="12">
      <c r="V15">
        <f>+D39/2</f>
        <v>4</v>
      </c>
      <c r="W15">
        <f>+M39/2</f>
        <v>4</v>
      </c>
    </row>
    <row r="16" spans="1:23" ht="12">
      <c r="A16" t="s">
        <v>4</v>
      </c>
      <c r="D16" s="2">
        <v>38</v>
      </c>
      <c r="H16" t="s">
        <v>4</v>
      </c>
      <c r="M16" s="2">
        <v>31</v>
      </c>
      <c r="V16">
        <f>+D43/2</f>
        <v>2</v>
      </c>
      <c r="W16">
        <f>+M43/2</f>
        <v>2.5</v>
      </c>
    </row>
    <row r="17" spans="1:23" ht="12">
      <c r="A17" t="s">
        <v>5</v>
      </c>
      <c r="D17" s="2">
        <v>22</v>
      </c>
      <c r="H17" t="s">
        <v>5</v>
      </c>
      <c r="M17" s="2">
        <v>17</v>
      </c>
      <c r="V17">
        <f>+D48/2</f>
        <v>1.5</v>
      </c>
      <c r="W17">
        <f>+M48/2</f>
        <v>1.5</v>
      </c>
    </row>
    <row r="18" spans="1:13" ht="12">
      <c r="A18" t="s">
        <v>6</v>
      </c>
      <c r="D18" s="8">
        <f>+D17/D16*100</f>
        <v>57.89473684210527</v>
      </c>
      <c r="H18" t="s">
        <v>6</v>
      </c>
      <c r="M18" s="8">
        <f>+M17/M16*100</f>
        <v>54.83870967741935</v>
      </c>
    </row>
    <row r="19" spans="1:24" ht="12">
      <c r="A19" t="s">
        <v>7</v>
      </c>
      <c r="D19" s="2">
        <v>206</v>
      </c>
      <c r="H19" t="s">
        <v>7</v>
      </c>
      <c r="M19" s="2">
        <v>128</v>
      </c>
      <c r="V19">
        <f>SUM(V12:V17)</f>
        <v>57.5</v>
      </c>
      <c r="W19">
        <f>SUM(W12:W17)</f>
        <v>66</v>
      </c>
      <c r="X19">
        <f>+W19+V19</f>
        <v>123.5</v>
      </c>
    </row>
    <row r="20" spans="1:23" ht="12">
      <c r="A20" t="s">
        <v>8</v>
      </c>
      <c r="D20" s="2">
        <v>7</v>
      </c>
      <c r="H20" t="s">
        <v>8</v>
      </c>
      <c r="M20" s="2">
        <v>3</v>
      </c>
      <c r="V20">
        <f>+V19/X19</f>
        <v>0.46558704453441296</v>
      </c>
      <c r="W20">
        <f>+W19/X19</f>
        <v>0.5344129554655871</v>
      </c>
    </row>
    <row r="21" spans="1:23" ht="12">
      <c r="A21" t="s">
        <v>9</v>
      </c>
      <c r="D21" s="2">
        <f>7+9+12+12+4+5+11</f>
        <v>60</v>
      </c>
      <c r="H21" t="s">
        <v>9</v>
      </c>
      <c r="M21" s="2">
        <v>23</v>
      </c>
      <c r="V21">
        <f>+V20*60</f>
        <v>27.93522267206478</v>
      </c>
      <c r="W21">
        <f>+W20*60</f>
        <v>32.064777327935225</v>
      </c>
    </row>
    <row r="22" spans="1:23" ht="12">
      <c r="A22" t="s">
        <v>10</v>
      </c>
      <c r="D22">
        <f>+D19-D21</f>
        <v>146</v>
      </c>
      <c r="H22" t="s">
        <v>10</v>
      </c>
      <c r="M22">
        <f>+M19-M21</f>
        <v>105</v>
      </c>
      <c r="V22">
        <f>+V21-INT(V21)</f>
        <v>0.9352226720647785</v>
      </c>
      <c r="W22">
        <f>+W21-INT(W21)</f>
        <v>0.06477732793522506</v>
      </c>
    </row>
    <row r="23" spans="1:23" ht="12">
      <c r="A23" t="s">
        <v>11</v>
      </c>
      <c r="D23" s="7">
        <f>+D22/(D16+D20)</f>
        <v>3.2444444444444445</v>
      </c>
      <c r="H23" t="s">
        <v>11</v>
      </c>
      <c r="M23" s="7">
        <f>+M22/(M16+M20)</f>
        <v>3.088235294117647</v>
      </c>
      <c r="V23">
        <f>+V22*60</f>
        <v>56.11336032388671</v>
      </c>
      <c r="W23">
        <f>+W22*60</f>
        <v>3.8866396761135036</v>
      </c>
    </row>
    <row r="24" spans="1:23" ht="12">
      <c r="A24" t="s">
        <v>12</v>
      </c>
      <c r="D24" s="7">
        <f>+D19/D17</f>
        <v>9.363636363636363</v>
      </c>
      <c r="H24" t="s">
        <v>12</v>
      </c>
      <c r="M24" s="7">
        <f>+M19/M17</f>
        <v>7.529411764705882</v>
      </c>
      <c r="U24">
        <v>0</v>
      </c>
      <c r="V24" s="11">
        <f>ROUND(V23,0)</f>
        <v>56</v>
      </c>
      <c r="W24">
        <f>ROUND(W23,0)</f>
        <v>4</v>
      </c>
    </row>
    <row r="25" spans="22:23" ht="12">
      <c r="V25">
        <f>INT(V21)</f>
        <v>27</v>
      </c>
      <c r="W25">
        <f>INT(W21)</f>
        <v>32</v>
      </c>
    </row>
    <row r="26" spans="1:23" ht="12">
      <c r="A26" t="s">
        <v>13</v>
      </c>
      <c r="H26" t="s">
        <v>13</v>
      </c>
      <c r="V26" t="s">
        <v>91</v>
      </c>
      <c r="W26" t="s">
        <v>91</v>
      </c>
    </row>
    <row r="27" spans="1:23" ht="12">
      <c r="A27" t="s">
        <v>14</v>
      </c>
      <c r="D27">
        <f>+D22+D13</f>
        <v>204</v>
      </c>
      <c r="H27" t="s">
        <v>14</v>
      </c>
      <c r="M27">
        <f>+M22+M13</f>
        <v>250</v>
      </c>
      <c r="V27" s="14" t="str">
        <f>+V25&amp;V26&amp;V24</f>
        <v>27:56</v>
      </c>
      <c r="W27" s="9" t="str">
        <f>+W25&amp;W26&amp;W24</f>
        <v>32:4</v>
      </c>
    </row>
    <row r="28" spans="1:23" ht="12">
      <c r="A28" t="s">
        <v>15</v>
      </c>
      <c r="D28" s="7">
        <f>+D13/D27*100</f>
        <v>28.431372549019606</v>
      </c>
      <c r="H28" t="s">
        <v>15</v>
      </c>
      <c r="M28" s="7">
        <f>+M13/M27*100</f>
        <v>57.99999999999999</v>
      </c>
      <c r="V28" s="9" t="str">
        <f>IF(V24&lt;10,+V25&amp;V26&amp;$U$24&amp;V24,+V25&amp;V26&amp;V24)</f>
        <v>27:56</v>
      </c>
      <c r="W28" s="9" t="str">
        <f>IF(W24&lt;10,+W25&amp;W26&amp;$U$24&amp;W24,+W25&amp;W26&amp;W24)</f>
        <v>32:04</v>
      </c>
    </row>
    <row r="29" spans="1:13" ht="12">
      <c r="A29" s="1" t="s">
        <v>90</v>
      </c>
      <c r="D29" s="7">
        <f>+D22/D27*100</f>
        <v>71.56862745098039</v>
      </c>
      <c r="H29" s="1" t="s">
        <v>90</v>
      </c>
      <c r="M29" s="7">
        <f>+M22/M27*100</f>
        <v>42</v>
      </c>
    </row>
    <row r="31" spans="1:13" ht="12">
      <c r="A31" t="s">
        <v>16</v>
      </c>
      <c r="D31">
        <f>+D12+D16+D20</f>
        <v>65</v>
      </c>
      <c r="H31" t="s">
        <v>16</v>
      </c>
      <c r="M31">
        <f>+M12+M16+M20</f>
        <v>68</v>
      </c>
    </row>
    <row r="32" spans="1:13" ht="12">
      <c r="A32" t="s">
        <v>17</v>
      </c>
      <c r="D32" s="8">
        <f>+D27/D31</f>
        <v>3.1384615384615384</v>
      </c>
      <c r="E32" s="7"/>
      <c r="F32" s="7"/>
      <c r="G32" s="7"/>
      <c r="H32" s="7" t="s">
        <v>17</v>
      </c>
      <c r="I32" s="7"/>
      <c r="J32" s="7"/>
      <c r="K32" s="7"/>
      <c r="L32" s="7"/>
      <c r="M32" s="8">
        <f>+M27/M31</f>
        <v>3.676470588235294</v>
      </c>
    </row>
    <row r="34" spans="1:8" ht="12">
      <c r="A34" t="s">
        <v>18</v>
      </c>
      <c r="H34" t="s">
        <v>18</v>
      </c>
    </row>
    <row r="35" spans="1:13" ht="12">
      <c r="A35" t="s">
        <v>19</v>
      </c>
      <c r="D35" s="2">
        <v>1</v>
      </c>
      <c r="H35" t="s">
        <v>19</v>
      </c>
      <c r="M35" s="2">
        <v>0</v>
      </c>
    </row>
    <row r="36" spans="1:13" ht="12">
      <c r="A36" t="s">
        <v>20</v>
      </c>
      <c r="D36" s="2">
        <v>-2</v>
      </c>
      <c r="H36" t="s">
        <v>20</v>
      </c>
      <c r="M36" s="2">
        <v>0</v>
      </c>
    </row>
    <row r="37" spans="1:13" ht="12">
      <c r="A37" t="s">
        <v>21</v>
      </c>
      <c r="D37" s="2">
        <v>0</v>
      </c>
      <c r="H37" t="s">
        <v>21</v>
      </c>
      <c r="M37" s="2">
        <v>0</v>
      </c>
    </row>
    <row r="39" spans="1:13" ht="12">
      <c r="A39" t="s">
        <v>22</v>
      </c>
      <c r="D39" s="2">
        <v>8</v>
      </c>
      <c r="H39" t="s">
        <v>22</v>
      </c>
      <c r="M39" s="2">
        <v>8</v>
      </c>
    </row>
    <row r="40" spans="1:13" ht="12">
      <c r="A40" t="s">
        <v>23</v>
      </c>
      <c r="D40" s="2">
        <f>32+37+48+37+42+42+48+34</f>
        <v>320</v>
      </c>
      <c r="H40" t="s">
        <v>23</v>
      </c>
      <c r="M40" s="2">
        <f>60+34+34+45+40+52+41+40</f>
        <v>346</v>
      </c>
    </row>
    <row r="41" spans="1:13" ht="12">
      <c r="A41" t="s">
        <v>24</v>
      </c>
      <c r="D41" s="8">
        <f>+D40/D39</f>
        <v>40</v>
      </c>
      <c r="E41" s="7"/>
      <c r="F41" s="7"/>
      <c r="G41" s="7"/>
      <c r="H41" s="7" t="s">
        <v>24</v>
      </c>
      <c r="I41" s="7"/>
      <c r="J41" s="7"/>
      <c r="K41" s="7"/>
      <c r="L41" s="7"/>
      <c r="M41" s="8">
        <f>+M40/M39</f>
        <v>43.25</v>
      </c>
    </row>
    <row r="43" spans="1:13" ht="12">
      <c r="A43" t="s">
        <v>25</v>
      </c>
      <c r="D43" s="2">
        <v>4</v>
      </c>
      <c r="H43" t="s">
        <v>25</v>
      </c>
      <c r="M43" s="2">
        <v>5</v>
      </c>
    </row>
    <row r="44" spans="1:13" ht="12">
      <c r="A44" t="s">
        <v>26</v>
      </c>
      <c r="D44" s="2">
        <v>4</v>
      </c>
      <c r="H44" t="s">
        <v>26</v>
      </c>
      <c r="M44" s="2">
        <f>7+4+17+2+0</f>
        <v>30</v>
      </c>
    </row>
    <row r="45" spans="1:13" ht="12">
      <c r="A45" t="s">
        <v>27</v>
      </c>
      <c r="D45" s="8">
        <f>+D44/D43</f>
        <v>1</v>
      </c>
      <c r="H45" t="s">
        <v>27</v>
      </c>
      <c r="M45" s="8">
        <f>+M44/M43</f>
        <v>6</v>
      </c>
    </row>
    <row r="46" spans="1:13" ht="12">
      <c r="A46" t="s">
        <v>28</v>
      </c>
      <c r="D46" s="2">
        <v>0</v>
      </c>
      <c r="H46" t="s">
        <v>28</v>
      </c>
      <c r="M46" s="2">
        <v>0</v>
      </c>
    </row>
    <row r="48" spans="1:13" ht="12">
      <c r="A48" t="s">
        <v>30</v>
      </c>
      <c r="D48" s="2">
        <v>3</v>
      </c>
      <c r="H48" t="s">
        <v>30</v>
      </c>
      <c r="M48" s="2">
        <v>3</v>
      </c>
    </row>
    <row r="49" spans="1:13" ht="12">
      <c r="A49" t="s">
        <v>26</v>
      </c>
      <c r="D49" s="2">
        <f>26+19+20</f>
        <v>65</v>
      </c>
      <c r="H49" t="s">
        <v>26</v>
      </c>
      <c r="M49" s="2">
        <v>37</v>
      </c>
    </row>
    <row r="50" spans="1:13" ht="12">
      <c r="A50" t="s">
        <v>27</v>
      </c>
      <c r="D50" s="8">
        <f>+D49/D48</f>
        <v>21.666666666666668</v>
      </c>
      <c r="H50" t="s">
        <v>27</v>
      </c>
      <c r="M50" s="8">
        <f>+M49/M48</f>
        <v>12.333333333333334</v>
      </c>
    </row>
    <row r="51" spans="1:13" ht="12">
      <c r="A51" t="s">
        <v>28</v>
      </c>
      <c r="D51" s="2">
        <v>0</v>
      </c>
      <c r="H51" t="s">
        <v>28</v>
      </c>
      <c r="M51" s="2">
        <v>0</v>
      </c>
    </row>
    <row r="53" spans="1:13" ht="12">
      <c r="A53" t="s">
        <v>31</v>
      </c>
      <c r="D53" s="2">
        <v>6</v>
      </c>
      <c r="H53" t="s">
        <v>31</v>
      </c>
      <c r="M53" s="2">
        <v>6</v>
      </c>
    </row>
    <row r="54" spans="1:13" ht="12">
      <c r="A54" t="s">
        <v>32</v>
      </c>
      <c r="D54" s="2">
        <v>61</v>
      </c>
      <c r="H54" t="s">
        <v>32</v>
      </c>
      <c r="M54" s="2">
        <v>51</v>
      </c>
    </row>
    <row r="56" spans="1:13" ht="12">
      <c r="A56" t="s">
        <v>33</v>
      </c>
      <c r="D56" s="2">
        <v>3</v>
      </c>
      <c r="H56" t="s">
        <v>33</v>
      </c>
      <c r="M56" s="2">
        <v>6</v>
      </c>
    </row>
    <row r="57" spans="1:13" ht="12">
      <c r="A57" t="s">
        <v>34</v>
      </c>
      <c r="D57" s="2">
        <v>2</v>
      </c>
      <c r="H57" t="s">
        <v>34</v>
      </c>
      <c r="M57" s="2">
        <v>3</v>
      </c>
    </row>
    <row r="58" spans="1:13" ht="12">
      <c r="A58" t="s">
        <v>35</v>
      </c>
      <c r="D58" s="2">
        <v>0</v>
      </c>
      <c r="H58" t="s">
        <v>35</v>
      </c>
      <c r="M58" s="2">
        <v>0</v>
      </c>
    </row>
    <row r="59" spans="1:13" ht="12">
      <c r="A59" t="s">
        <v>36</v>
      </c>
      <c r="D59" s="2">
        <v>3</v>
      </c>
      <c r="H59" t="s">
        <v>36</v>
      </c>
      <c r="M59" s="2">
        <v>1</v>
      </c>
    </row>
    <row r="60" spans="1:13" ht="12">
      <c r="A60" s="1" t="s">
        <v>37</v>
      </c>
      <c r="D60" s="2">
        <v>1</v>
      </c>
      <c r="H60" s="1" t="s">
        <v>37</v>
      </c>
      <c r="M60" s="2">
        <v>0</v>
      </c>
    </row>
    <row r="62" spans="1:13" ht="12">
      <c r="A62" t="s">
        <v>38</v>
      </c>
      <c r="D62" s="2">
        <v>14</v>
      </c>
      <c r="H62" t="s">
        <v>38</v>
      </c>
      <c r="M62" s="2">
        <v>17</v>
      </c>
    </row>
    <row r="63" spans="1:13" ht="12">
      <c r="A63" t="s">
        <v>39</v>
      </c>
      <c r="D63" s="2">
        <v>2</v>
      </c>
      <c r="H63" t="s">
        <v>39</v>
      </c>
      <c r="M63" s="2">
        <v>2</v>
      </c>
    </row>
    <row r="64" spans="1:13" ht="12">
      <c r="A64" t="s">
        <v>40</v>
      </c>
      <c r="D64" s="2">
        <v>0</v>
      </c>
      <c r="H64" t="s">
        <v>40</v>
      </c>
      <c r="M64" s="2">
        <v>1</v>
      </c>
    </row>
    <row r="65" spans="1:13" ht="12">
      <c r="A65" t="s">
        <v>41</v>
      </c>
      <c r="D65" s="2">
        <v>1</v>
      </c>
      <c r="H65" t="s">
        <v>41</v>
      </c>
      <c r="M65" s="2">
        <v>1</v>
      </c>
    </row>
    <row r="66" spans="1:13" ht="12">
      <c r="A66" t="s">
        <v>42</v>
      </c>
      <c r="D66" s="2">
        <v>1</v>
      </c>
      <c r="H66" t="s">
        <v>42</v>
      </c>
      <c r="M66" s="2">
        <v>0</v>
      </c>
    </row>
    <row r="67" spans="1:13" ht="12">
      <c r="A67" t="s">
        <v>43</v>
      </c>
      <c r="D67" s="2">
        <v>2</v>
      </c>
      <c r="H67" t="s">
        <v>43</v>
      </c>
      <c r="M67" s="2">
        <v>2</v>
      </c>
    </row>
    <row r="68" spans="1:13" ht="12">
      <c r="A68" t="s">
        <v>44</v>
      </c>
      <c r="D68" s="2">
        <v>0</v>
      </c>
      <c r="H68" t="s">
        <v>44</v>
      </c>
      <c r="M68" s="2">
        <v>0</v>
      </c>
    </row>
    <row r="69" spans="1:13" ht="12">
      <c r="A69" t="s">
        <v>45</v>
      </c>
      <c r="D69" s="2">
        <v>0</v>
      </c>
      <c r="H69" t="s">
        <v>45</v>
      </c>
      <c r="M69" s="2">
        <v>1</v>
      </c>
    </row>
    <row r="70" spans="1:13" ht="12">
      <c r="A70" t="s">
        <v>46</v>
      </c>
      <c r="D70" s="2">
        <v>1</v>
      </c>
      <c r="H70" t="s">
        <v>46</v>
      </c>
      <c r="M70" s="2">
        <v>1</v>
      </c>
    </row>
    <row r="71" spans="1:13" ht="12">
      <c r="A71" t="s">
        <v>47</v>
      </c>
      <c r="D71" s="8">
        <f>+D69/D70*100</f>
        <v>0</v>
      </c>
      <c r="E71" s="7"/>
      <c r="F71" s="7"/>
      <c r="G71" s="7"/>
      <c r="H71" s="7" t="s">
        <v>47</v>
      </c>
      <c r="I71" s="7"/>
      <c r="J71" s="7"/>
      <c r="K71" s="7"/>
      <c r="L71" s="7"/>
      <c r="M71" s="7">
        <f>+M69/M70*100</f>
        <v>100</v>
      </c>
    </row>
    <row r="72" spans="1:13" ht="12">
      <c r="A72" t="s">
        <v>93</v>
      </c>
      <c r="D72" s="10" t="str">
        <f>IF(V24&lt;10,V28,V27)</f>
        <v>27:56</v>
      </c>
      <c r="E72" s="8"/>
      <c r="F72" s="8"/>
      <c r="H72" t="s">
        <v>93</v>
      </c>
      <c r="M72" s="10" t="str">
        <f>IF(W24&lt;10,W28,W27)</f>
        <v>32:04</v>
      </c>
    </row>
    <row r="74" ht="12">
      <c r="A74" t="s">
        <v>49</v>
      </c>
    </row>
    <row r="75" spans="1:8" ht="12">
      <c r="A75" s="2" t="s">
        <v>50</v>
      </c>
      <c r="B75" s="2"/>
      <c r="C75" s="3" t="s">
        <v>51</v>
      </c>
      <c r="D75" s="3" t="s">
        <v>52</v>
      </c>
      <c r="E75" s="3" t="s">
        <v>53</v>
      </c>
      <c r="F75" s="3" t="s">
        <v>54</v>
      </c>
      <c r="G75" s="3" t="s">
        <v>55</v>
      </c>
      <c r="H75" s="3" t="s">
        <v>84</v>
      </c>
    </row>
    <row r="76" spans="1:5" ht="12">
      <c r="A76" t="s">
        <v>112</v>
      </c>
      <c r="E76" s="12" t="e">
        <f>+D76/C76</f>
        <v>#DIV/0!</v>
      </c>
    </row>
    <row r="77" spans="1:8" ht="12">
      <c r="A77" t="s">
        <v>113</v>
      </c>
      <c r="C77">
        <v>6</v>
      </c>
      <c r="D77">
        <v>9</v>
      </c>
      <c r="E77" s="12">
        <f>+D77/C77</f>
        <v>1.5</v>
      </c>
      <c r="F77">
        <v>5</v>
      </c>
      <c r="H77">
        <v>1</v>
      </c>
    </row>
    <row r="78" spans="1:8" ht="12">
      <c r="A78" t="s">
        <v>114</v>
      </c>
      <c r="C78">
        <v>4</v>
      </c>
      <c r="D78">
        <v>18</v>
      </c>
      <c r="E78" s="12">
        <f>+D78/C78</f>
        <v>4.5</v>
      </c>
      <c r="F78">
        <v>9</v>
      </c>
      <c r="H78">
        <v>1</v>
      </c>
    </row>
    <row r="79" spans="1:6" ht="12">
      <c r="A79" t="s">
        <v>115</v>
      </c>
      <c r="C79">
        <v>4</v>
      </c>
      <c r="D79">
        <v>7</v>
      </c>
      <c r="E79" s="12">
        <f aca="true" t="shared" si="0" ref="E79:E85">+D79/C79</f>
        <v>1.75</v>
      </c>
      <c r="F79">
        <v>3</v>
      </c>
    </row>
    <row r="80" spans="1:5" ht="12">
      <c r="A80" t="s">
        <v>116</v>
      </c>
      <c r="E80" s="12" t="e">
        <f t="shared" si="0"/>
        <v>#DIV/0!</v>
      </c>
    </row>
    <row r="81" spans="1:5" ht="12">
      <c r="A81" t="s">
        <v>117</v>
      </c>
      <c r="E81" s="12" t="e">
        <f t="shared" si="0"/>
        <v>#DIV/0!</v>
      </c>
    </row>
    <row r="82" spans="1:5" ht="12">
      <c r="A82" t="s">
        <v>118</v>
      </c>
      <c r="E82" s="12" t="e">
        <f t="shared" si="0"/>
        <v>#DIV/0!</v>
      </c>
    </row>
    <row r="83" spans="1:5" ht="12">
      <c r="A83" t="s">
        <v>119</v>
      </c>
      <c r="E83" s="12" t="e">
        <f t="shared" si="0"/>
        <v>#DIV/0!</v>
      </c>
    </row>
    <row r="84" spans="1:5" ht="12">
      <c r="A84" t="s">
        <v>120</v>
      </c>
      <c r="E84" s="12" t="e">
        <f t="shared" si="0"/>
        <v>#DIV/0!</v>
      </c>
    </row>
    <row r="85" spans="1:5" ht="12">
      <c r="A85" t="s">
        <v>121</v>
      </c>
      <c r="E85" s="12" t="e">
        <f t="shared" si="0"/>
        <v>#DIV/0!</v>
      </c>
    </row>
    <row r="86" spans="1:5" ht="12">
      <c r="A86" t="s">
        <v>122</v>
      </c>
      <c r="E86" s="12" t="e">
        <f>+D86/C86</f>
        <v>#DIV/0!</v>
      </c>
    </row>
    <row r="87" spans="1:6" ht="12">
      <c r="A87" t="s">
        <v>123</v>
      </c>
      <c r="C87">
        <v>3</v>
      </c>
      <c r="D87">
        <v>18</v>
      </c>
      <c r="E87" s="12">
        <f>+D87/C87</f>
        <v>6</v>
      </c>
      <c r="F87">
        <v>11</v>
      </c>
    </row>
    <row r="88" spans="1:5" ht="12">
      <c r="A88" t="s">
        <v>124</v>
      </c>
      <c r="E88" s="8"/>
    </row>
    <row r="89" spans="1:6" ht="12">
      <c r="A89" t="s">
        <v>125</v>
      </c>
      <c r="C89">
        <v>3</v>
      </c>
      <c r="D89">
        <v>6</v>
      </c>
      <c r="E89" s="8"/>
      <c r="F89">
        <v>3</v>
      </c>
    </row>
    <row r="90" ht="12">
      <c r="E90" s="8"/>
    </row>
    <row r="91" spans="1:8" ht="12">
      <c r="A91" s="2" t="s">
        <v>56</v>
      </c>
      <c r="C91" s="3" t="s">
        <v>57</v>
      </c>
      <c r="D91" s="3" t="s">
        <v>52</v>
      </c>
      <c r="E91" s="15" t="s">
        <v>53</v>
      </c>
      <c r="F91" s="3" t="s">
        <v>54</v>
      </c>
      <c r="G91" s="3" t="s">
        <v>55</v>
      </c>
      <c r="H91" s="3" t="s">
        <v>84</v>
      </c>
    </row>
    <row r="92" spans="1:5" ht="12">
      <c r="A92" t="s">
        <v>126</v>
      </c>
      <c r="E92" s="12" t="e">
        <f aca="true" t="shared" si="1" ref="E92:E103">+D92/C92</f>
        <v>#DIV/0!</v>
      </c>
    </row>
    <row r="93" spans="1:5" ht="12">
      <c r="A93" t="s">
        <v>127</v>
      </c>
      <c r="E93" s="12" t="e">
        <f t="shared" si="1"/>
        <v>#DIV/0!</v>
      </c>
    </row>
    <row r="94" spans="1:6" ht="12">
      <c r="A94" t="s">
        <v>113</v>
      </c>
      <c r="C94">
        <v>3</v>
      </c>
      <c r="D94">
        <v>34</v>
      </c>
      <c r="E94" s="12">
        <f t="shared" si="1"/>
        <v>11.333333333333334</v>
      </c>
      <c r="F94">
        <v>23</v>
      </c>
    </row>
    <row r="95" spans="1:6" ht="12">
      <c r="A95" t="s">
        <v>114</v>
      </c>
      <c r="C95">
        <v>1</v>
      </c>
      <c r="D95">
        <v>5</v>
      </c>
      <c r="E95" s="12">
        <f t="shared" si="1"/>
        <v>5</v>
      </c>
      <c r="F95">
        <v>5</v>
      </c>
    </row>
    <row r="96" spans="1:6" ht="12">
      <c r="A96" t="s">
        <v>115</v>
      </c>
      <c r="C96">
        <v>2</v>
      </c>
      <c r="D96">
        <v>6</v>
      </c>
      <c r="E96" s="12">
        <f t="shared" si="1"/>
        <v>3</v>
      </c>
      <c r="F96">
        <v>3</v>
      </c>
    </row>
    <row r="97" spans="1:6" ht="12">
      <c r="A97" t="s">
        <v>117</v>
      </c>
      <c r="C97">
        <v>1</v>
      </c>
      <c r="D97">
        <v>3</v>
      </c>
      <c r="E97" s="12">
        <f t="shared" si="1"/>
        <v>3</v>
      </c>
      <c r="F97">
        <v>3</v>
      </c>
    </row>
    <row r="98" spans="1:5" ht="12">
      <c r="A98" t="s">
        <v>128</v>
      </c>
      <c r="E98" s="12" t="e">
        <f t="shared" si="1"/>
        <v>#DIV/0!</v>
      </c>
    </row>
    <row r="99" spans="1:5" ht="12">
      <c r="A99" t="s">
        <v>119</v>
      </c>
      <c r="E99" s="12" t="e">
        <f t="shared" si="1"/>
        <v>#DIV/0!</v>
      </c>
    </row>
    <row r="100" spans="1:7" ht="12">
      <c r="A100" t="s">
        <v>120</v>
      </c>
      <c r="C100">
        <v>9</v>
      </c>
      <c r="D100">
        <v>119</v>
      </c>
      <c r="E100" s="12">
        <f t="shared" si="1"/>
        <v>13.222222222222221</v>
      </c>
      <c r="F100">
        <v>43</v>
      </c>
      <c r="G100">
        <v>1</v>
      </c>
    </row>
    <row r="101" spans="1:6" ht="12">
      <c r="A101" t="s">
        <v>129</v>
      </c>
      <c r="C101">
        <v>1</v>
      </c>
      <c r="D101">
        <v>9</v>
      </c>
      <c r="E101" s="12">
        <f t="shared" si="1"/>
        <v>9</v>
      </c>
      <c r="F101">
        <v>9</v>
      </c>
    </row>
    <row r="102" spans="1:5" ht="12">
      <c r="A102" t="s">
        <v>130</v>
      </c>
      <c r="E102" s="12" t="e">
        <f t="shared" si="1"/>
        <v>#DIV/0!</v>
      </c>
    </row>
    <row r="103" spans="1:5" ht="12">
      <c r="A103" t="s">
        <v>122</v>
      </c>
      <c r="E103" s="12" t="e">
        <f t="shared" si="1"/>
        <v>#DIV/0!</v>
      </c>
    </row>
    <row r="104" spans="1:6" ht="12">
      <c r="A104" t="s">
        <v>131</v>
      </c>
      <c r="C104">
        <v>2</v>
      </c>
      <c r="D104">
        <v>11</v>
      </c>
      <c r="E104" s="12">
        <f>+D104/C104</f>
        <v>5.5</v>
      </c>
      <c r="F104">
        <v>10</v>
      </c>
    </row>
    <row r="105" spans="1:5" ht="12">
      <c r="A105" t="s">
        <v>132</v>
      </c>
      <c r="E105" s="12" t="e">
        <f>+D105/C105</f>
        <v>#DIV/0!</v>
      </c>
    </row>
    <row r="106" spans="1:6" ht="12">
      <c r="A106" t="s">
        <v>123</v>
      </c>
      <c r="C106">
        <v>3</v>
      </c>
      <c r="D106">
        <v>19</v>
      </c>
      <c r="E106" s="12"/>
      <c r="F106">
        <v>11</v>
      </c>
    </row>
    <row r="107" spans="1:5" ht="12">
      <c r="A107" t="s">
        <v>133</v>
      </c>
      <c r="E107" s="12"/>
    </row>
    <row r="108" spans="1:5" ht="12">
      <c r="A108" s="1"/>
      <c r="E108" s="12"/>
    </row>
    <row r="109" spans="1:5" ht="12">
      <c r="A109" s="1"/>
      <c r="E109" s="12"/>
    </row>
    <row r="110" ht="12">
      <c r="E110" s="8"/>
    </row>
    <row r="111" spans="1:13" ht="12">
      <c r="A111" s="2"/>
      <c r="B111" s="2"/>
      <c r="C111" s="3"/>
      <c r="D111" s="3"/>
      <c r="E111" s="15" t="s">
        <v>61</v>
      </c>
      <c r="F111" s="3" t="s">
        <v>62</v>
      </c>
      <c r="G111" s="3"/>
      <c r="H111" s="3"/>
      <c r="I111" s="3" t="s">
        <v>65</v>
      </c>
      <c r="J111" s="3" t="s">
        <v>67</v>
      </c>
      <c r="K111" s="3" t="s">
        <v>61</v>
      </c>
      <c r="L111" s="3" t="s">
        <v>53</v>
      </c>
      <c r="M111" s="3"/>
    </row>
    <row r="112" spans="1:15" ht="12">
      <c r="A112" s="2" t="s">
        <v>58</v>
      </c>
      <c r="B112" s="2"/>
      <c r="C112" s="3" t="s">
        <v>59</v>
      </c>
      <c r="D112" s="3" t="s">
        <v>60</v>
      </c>
      <c r="E112" s="15" t="s">
        <v>60</v>
      </c>
      <c r="F112" s="3" t="s">
        <v>63</v>
      </c>
      <c r="G112" s="3" t="s">
        <v>55</v>
      </c>
      <c r="H112" s="3" t="s">
        <v>64</v>
      </c>
      <c r="I112" s="5" t="s">
        <v>66</v>
      </c>
      <c r="J112" s="3" t="s">
        <v>55</v>
      </c>
      <c r="K112" s="3" t="s">
        <v>68</v>
      </c>
      <c r="L112" s="3" t="s">
        <v>69</v>
      </c>
      <c r="M112" s="3" t="s">
        <v>70</v>
      </c>
      <c r="N112" s="3" t="s">
        <v>84</v>
      </c>
      <c r="O112" s="3" t="s">
        <v>104</v>
      </c>
    </row>
    <row r="113" spans="1:25" ht="12">
      <c r="A113" t="s">
        <v>112</v>
      </c>
      <c r="E113" s="12" t="e">
        <f aca="true" t="shared" si="2" ref="E113:E118">+D113/C113*100</f>
        <v>#DIV/0!</v>
      </c>
      <c r="J113" s="8" t="e">
        <f>+G113/C113*100</f>
        <v>#DIV/0!</v>
      </c>
      <c r="K113" s="12" t="e">
        <f aca="true" t="shared" si="3" ref="K113:K118">+I113/C113*100</f>
        <v>#DIV/0!</v>
      </c>
      <c r="L113" s="12" t="e">
        <f aca="true" t="shared" si="4" ref="L113:L118">+F113/C113</f>
        <v>#DIV/0!</v>
      </c>
      <c r="M113" s="12" t="e">
        <f aca="true" t="shared" si="5" ref="M113:M118">100*(S113+U113+W113+Y113)/6</f>
        <v>#DIV/0!</v>
      </c>
      <c r="R113" t="e">
        <f aca="true" t="shared" si="6" ref="R113:R118">+(E113-30)/20</f>
        <v>#DIV/0!</v>
      </c>
      <c r="S113" s="2" t="e">
        <f aca="true" t="shared" si="7" ref="S113:S118">IF(R113&lt;0,0,R113)</f>
        <v>#DIV/0!</v>
      </c>
      <c r="T113" s="6" t="e">
        <f aca="true" t="shared" si="8" ref="T113:T118">+(L113-3)/4</f>
        <v>#DIV/0!</v>
      </c>
      <c r="U113" s="2" t="e">
        <f aca="true" t="shared" si="9" ref="U113:U118">IF(T113&lt;0,0,T113)</f>
        <v>#DIV/0!</v>
      </c>
      <c r="V113" t="e">
        <f aca="true" t="shared" si="10" ref="V113:V118">+J113/5</f>
        <v>#DIV/0!</v>
      </c>
      <c r="W113" s="2" t="e">
        <f aca="true" t="shared" si="11" ref="W113:W118">IF(V113&lt;0,0,V113)</f>
        <v>#DIV/0!</v>
      </c>
      <c r="X113" t="e">
        <f aca="true" t="shared" si="12" ref="X113:X118">(9.5-K113)/4</f>
        <v>#DIV/0!</v>
      </c>
      <c r="Y113" s="2" t="e">
        <f aca="true" t="shared" si="13" ref="Y113:Y118">IF(X113&lt;0,0,X113)</f>
        <v>#DIV/0!</v>
      </c>
    </row>
    <row r="114" spans="1:25" ht="12">
      <c r="A114" t="s">
        <v>118</v>
      </c>
      <c r="E114" s="12" t="e">
        <f t="shared" si="2"/>
        <v>#DIV/0!</v>
      </c>
      <c r="J114" s="8"/>
      <c r="K114" s="12" t="e">
        <f t="shared" si="3"/>
        <v>#DIV/0!</v>
      </c>
      <c r="L114" s="12" t="e">
        <f t="shared" si="4"/>
        <v>#DIV/0!</v>
      </c>
      <c r="M114" s="12" t="e">
        <f t="shared" si="5"/>
        <v>#DIV/0!</v>
      </c>
      <c r="R114" t="e">
        <f t="shared" si="6"/>
        <v>#DIV/0!</v>
      </c>
      <c r="S114" s="2" t="e">
        <f t="shared" si="7"/>
        <v>#DIV/0!</v>
      </c>
      <c r="T114" s="6" t="e">
        <f t="shared" si="8"/>
        <v>#DIV/0!</v>
      </c>
      <c r="U114" s="2" t="e">
        <f t="shared" si="9"/>
        <v>#DIV/0!</v>
      </c>
      <c r="V114">
        <f t="shared" si="10"/>
        <v>0</v>
      </c>
      <c r="W114" s="2">
        <f t="shared" si="11"/>
        <v>0</v>
      </c>
      <c r="X114" t="e">
        <f t="shared" si="12"/>
        <v>#DIV/0!</v>
      </c>
      <c r="Y114" s="2" t="e">
        <f t="shared" si="13"/>
        <v>#DIV/0!</v>
      </c>
    </row>
    <row r="115" spans="1:25" ht="12">
      <c r="A115" t="s">
        <v>120</v>
      </c>
      <c r="E115" s="12" t="e">
        <f t="shared" si="2"/>
        <v>#DIV/0!</v>
      </c>
      <c r="J115" s="8"/>
      <c r="K115" s="12" t="e">
        <f t="shared" si="3"/>
        <v>#DIV/0!</v>
      </c>
      <c r="L115" s="12" t="e">
        <f t="shared" si="4"/>
        <v>#DIV/0!</v>
      </c>
      <c r="M115" s="12" t="e">
        <f t="shared" si="5"/>
        <v>#DIV/0!</v>
      </c>
      <c r="R115" t="e">
        <f t="shared" si="6"/>
        <v>#DIV/0!</v>
      </c>
      <c r="S115" s="2" t="e">
        <f t="shared" si="7"/>
        <v>#DIV/0!</v>
      </c>
      <c r="T115" s="6" t="e">
        <f t="shared" si="8"/>
        <v>#DIV/0!</v>
      </c>
      <c r="U115" s="2" t="e">
        <f t="shared" si="9"/>
        <v>#DIV/0!</v>
      </c>
      <c r="V115">
        <f t="shared" si="10"/>
        <v>0</v>
      </c>
      <c r="W115" s="2">
        <f t="shared" si="11"/>
        <v>0</v>
      </c>
      <c r="X115" t="e">
        <f t="shared" si="12"/>
        <v>#DIV/0!</v>
      </c>
      <c r="Y115" s="2" t="e">
        <f t="shared" si="13"/>
        <v>#DIV/0!</v>
      </c>
    </row>
    <row r="116" spans="1:25" ht="12">
      <c r="A116" t="s">
        <v>124</v>
      </c>
      <c r="C116">
        <v>1</v>
      </c>
      <c r="D116">
        <v>1</v>
      </c>
      <c r="E116" s="12">
        <f t="shared" si="2"/>
        <v>100</v>
      </c>
      <c r="F116">
        <v>2</v>
      </c>
      <c r="H116">
        <v>2</v>
      </c>
      <c r="J116" s="8"/>
      <c r="K116" s="12">
        <f t="shared" si="3"/>
        <v>0</v>
      </c>
      <c r="L116" s="12">
        <f t="shared" si="4"/>
        <v>2</v>
      </c>
      <c r="M116" s="12">
        <f t="shared" si="5"/>
        <v>97.91666666666667</v>
      </c>
      <c r="R116">
        <f t="shared" si="6"/>
        <v>3.5</v>
      </c>
      <c r="S116" s="2">
        <f t="shared" si="7"/>
        <v>3.5</v>
      </c>
      <c r="T116" s="6">
        <f t="shared" si="8"/>
        <v>-0.25</v>
      </c>
      <c r="U116" s="2">
        <f t="shared" si="9"/>
        <v>0</v>
      </c>
      <c r="V116">
        <f t="shared" si="10"/>
        <v>0</v>
      </c>
      <c r="W116" s="2">
        <f t="shared" si="11"/>
        <v>0</v>
      </c>
      <c r="X116">
        <f t="shared" si="12"/>
        <v>2.375</v>
      </c>
      <c r="Y116" s="2">
        <f t="shared" si="13"/>
        <v>2.375</v>
      </c>
    </row>
    <row r="117" spans="1:25" ht="12">
      <c r="A117" t="s">
        <v>125</v>
      </c>
      <c r="C117">
        <v>37</v>
      </c>
      <c r="D117">
        <v>21</v>
      </c>
      <c r="E117" s="12">
        <f t="shared" si="2"/>
        <v>56.75675675675676</v>
      </c>
      <c r="F117">
        <v>204</v>
      </c>
      <c r="G117">
        <v>1</v>
      </c>
      <c r="H117">
        <v>43</v>
      </c>
      <c r="I117">
        <v>1</v>
      </c>
      <c r="J117" s="8">
        <f>+G117/C117*100</f>
        <v>2.7027027027027026</v>
      </c>
      <c r="K117" s="12">
        <f t="shared" si="3"/>
        <v>2.7027027027027026</v>
      </c>
      <c r="L117" s="12">
        <f t="shared" si="4"/>
        <v>5.513513513513513</v>
      </c>
      <c r="M117" s="12">
        <f t="shared" si="5"/>
        <v>70.10135135135137</v>
      </c>
      <c r="O117">
        <v>7</v>
      </c>
      <c r="R117">
        <f t="shared" si="6"/>
        <v>1.337837837837838</v>
      </c>
      <c r="S117" s="2">
        <f t="shared" si="7"/>
        <v>1.337837837837838</v>
      </c>
      <c r="T117" s="6">
        <f t="shared" si="8"/>
        <v>0.6283783783783783</v>
      </c>
      <c r="U117" s="2">
        <f t="shared" si="9"/>
        <v>0.6283783783783783</v>
      </c>
      <c r="V117">
        <f t="shared" si="10"/>
        <v>0.5405405405405406</v>
      </c>
      <c r="W117" s="2">
        <f t="shared" si="11"/>
        <v>0.5405405405405406</v>
      </c>
      <c r="X117">
        <f t="shared" si="12"/>
        <v>1.6993243243243243</v>
      </c>
      <c r="Y117" s="2">
        <f t="shared" si="13"/>
        <v>1.6993243243243243</v>
      </c>
    </row>
    <row r="118" spans="5:25" ht="12">
      <c r="E118" s="12" t="e">
        <f t="shared" si="2"/>
        <v>#DIV/0!</v>
      </c>
      <c r="J118" s="8"/>
      <c r="K118" s="12" t="e">
        <f t="shared" si="3"/>
        <v>#DIV/0!</v>
      </c>
      <c r="L118" s="12" t="e">
        <f t="shared" si="4"/>
        <v>#DIV/0!</v>
      </c>
      <c r="M118" s="12" t="e">
        <f t="shared" si="5"/>
        <v>#DIV/0!</v>
      </c>
      <c r="R118" t="e">
        <f t="shared" si="6"/>
        <v>#DIV/0!</v>
      </c>
      <c r="S118" s="2" t="e">
        <f t="shared" si="7"/>
        <v>#DIV/0!</v>
      </c>
      <c r="T118" s="6" t="e">
        <f t="shared" si="8"/>
        <v>#DIV/0!</v>
      </c>
      <c r="U118" s="2" t="e">
        <f t="shared" si="9"/>
        <v>#DIV/0!</v>
      </c>
      <c r="V118">
        <f t="shared" si="10"/>
        <v>0</v>
      </c>
      <c r="W118" s="2">
        <f t="shared" si="11"/>
        <v>0</v>
      </c>
      <c r="X118" t="e">
        <f t="shared" si="12"/>
        <v>#DIV/0!</v>
      </c>
      <c r="Y118" s="2" t="e">
        <f t="shared" si="13"/>
        <v>#DIV/0!</v>
      </c>
    </row>
    <row r="120" spans="1:9" ht="12">
      <c r="A120" s="2" t="s">
        <v>71</v>
      </c>
      <c r="C120" s="3" t="s">
        <v>72</v>
      </c>
      <c r="D120" s="3" t="s">
        <v>73</v>
      </c>
      <c r="E120" s="3" t="s">
        <v>74</v>
      </c>
      <c r="F120" s="3" t="s">
        <v>53</v>
      </c>
      <c r="G120" s="3" t="s">
        <v>64</v>
      </c>
      <c r="H120" s="3" t="s">
        <v>55</v>
      </c>
      <c r="I120" s="3" t="s">
        <v>84</v>
      </c>
    </row>
    <row r="121" spans="1:7" ht="12">
      <c r="A121" t="s">
        <v>128</v>
      </c>
      <c r="C121">
        <v>1</v>
      </c>
      <c r="D121">
        <v>2</v>
      </c>
      <c r="E121">
        <v>4</v>
      </c>
      <c r="F121" s="12">
        <f aca="true" t="shared" si="14" ref="F121:F126">+E121/C121</f>
        <v>4</v>
      </c>
      <c r="G121">
        <v>4</v>
      </c>
    </row>
    <row r="122" spans="1:6" ht="12">
      <c r="A122" t="s">
        <v>134</v>
      </c>
      <c r="F122" s="12" t="e">
        <f t="shared" si="14"/>
        <v>#DIV/0!</v>
      </c>
    </row>
    <row r="123" spans="1:9" ht="12">
      <c r="A123" t="s">
        <v>135</v>
      </c>
      <c r="C123">
        <v>3</v>
      </c>
      <c r="E123">
        <v>0</v>
      </c>
      <c r="F123" s="12">
        <f t="shared" si="14"/>
        <v>0</v>
      </c>
      <c r="I123">
        <v>1</v>
      </c>
    </row>
    <row r="124" ht="12">
      <c r="F124" s="12" t="e">
        <f t="shared" si="14"/>
        <v>#DIV/0!</v>
      </c>
    </row>
    <row r="125" ht="12">
      <c r="F125" s="12" t="e">
        <f t="shared" si="14"/>
        <v>#DIV/0!</v>
      </c>
    </row>
    <row r="126" ht="12">
      <c r="F126" s="12" t="e">
        <f t="shared" si="14"/>
        <v>#DIV/0!</v>
      </c>
    </row>
    <row r="130" spans="1:8" ht="12">
      <c r="A130" s="2" t="s">
        <v>30</v>
      </c>
      <c r="C130" s="3" t="s">
        <v>72</v>
      </c>
      <c r="D130" s="3" t="s">
        <v>74</v>
      </c>
      <c r="E130" s="3" t="s">
        <v>53</v>
      </c>
      <c r="F130" s="3" t="s">
        <v>64</v>
      </c>
      <c r="G130" s="3" t="s">
        <v>55</v>
      </c>
      <c r="H130" s="3" t="s">
        <v>84</v>
      </c>
    </row>
    <row r="131" spans="1:5" ht="12">
      <c r="A131" t="s">
        <v>136</v>
      </c>
      <c r="E131" s="12" t="e">
        <f aca="true" t="shared" si="15" ref="E131:E136">+D131/C131</f>
        <v>#DIV/0!</v>
      </c>
    </row>
    <row r="132" spans="1:5" ht="12">
      <c r="A132" t="s">
        <v>137</v>
      </c>
      <c r="E132" s="12" t="e">
        <f t="shared" si="15"/>
        <v>#DIV/0!</v>
      </c>
    </row>
    <row r="133" spans="1:5" ht="12">
      <c r="A133" t="s">
        <v>116</v>
      </c>
      <c r="E133" s="12" t="e">
        <f t="shared" si="15"/>
        <v>#DIV/0!</v>
      </c>
    </row>
    <row r="134" spans="1:6" ht="12">
      <c r="A134" t="s">
        <v>128</v>
      </c>
      <c r="C134">
        <v>1</v>
      </c>
      <c r="D134">
        <v>20</v>
      </c>
      <c r="E134" s="12">
        <f t="shared" si="15"/>
        <v>20</v>
      </c>
      <c r="F134">
        <v>20</v>
      </c>
    </row>
    <row r="135" spans="1:5" ht="12">
      <c r="A135" t="s">
        <v>134</v>
      </c>
      <c r="E135" s="12" t="e">
        <f t="shared" si="15"/>
        <v>#DIV/0!</v>
      </c>
    </row>
    <row r="136" spans="1:6" ht="12">
      <c r="A136" t="s">
        <v>119</v>
      </c>
      <c r="C136">
        <v>2</v>
      </c>
      <c r="D136">
        <v>45</v>
      </c>
      <c r="E136" s="12">
        <f t="shared" si="15"/>
        <v>22.5</v>
      </c>
      <c r="F136">
        <v>26</v>
      </c>
    </row>
    <row r="137" spans="1:5" ht="12">
      <c r="A137" t="s">
        <v>135</v>
      </c>
      <c r="E137" s="12" t="e">
        <f>+D137/C137</f>
        <v>#DIV/0!</v>
      </c>
    </row>
    <row r="138" spans="1:5" ht="12">
      <c r="A138" t="s">
        <v>132</v>
      </c>
      <c r="E138" s="12" t="e">
        <f>+D138/C138</f>
        <v>#DIV/0!</v>
      </c>
    </row>
    <row r="139" ht="12">
      <c r="E139" s="12" t="e">
        <f>+D139/C139</f>
        <v>#DIV/0!</v>
      </c>
    </row>
    <row r="141" spans="1:8" ht="12">
      <c r="A141" s="2" t="s">
        <v>75</v>
      </c>
      <c r="C141" s="3" t="s">
        <v>72</v>
      </c>
      <c r="D141" s="3" t="s">
        <v>74</v>
      </c>
      <c r="E141" s="3" t="s">
        <v>53</v>
      </c>
      <c r="F141" s="3" t="s">
        <v>64</v>
      </c>
      <c r="G141" s="3" t="s">
        <v>76</v>
      </c>
      <c r="H141" s="3" t="s">
        <v>84</v>
      </c>
    </row>
    <row r="142" spans="1:5" ht="12">
      <c r="A142" t="s">
        <v>138</v>
      </c>
      <c r="E142" s="12"/>
    </row>
    <row r="143" spans="1:6" ht="12">
      <c r="A143" t="s">
        <v>124</v>
      </c>
      <c r="C143">
        <v>8</v>
      </c>
      <c r="D143">
        <f>32+37+48+37+42+42+48+34</f>
        <v>320</v>
      </c>
      <c r="F143">
        <v>48</v>
      </c>
    </row>
    <row r="148" spans="9:21" ht="12">
      <c r="I148" s="5" t="s">
        <v>67</v>
      </c>
      <c r="L148" s="67" t="s">
        <v>99</v>
      </c>
      <c r="M148" s="67"/>
      <c r="N148" s="67" t="s">
        <v>100</v>
      </c>
      <c r="O148" s="67"/>
      <c r="P148" s="67" t="s">
        <v>101</v>
      </c>
      <c r="Q148" s="67"/>
      <c r="R148" s="67" t="s">
        <v>102</v>
      </c>
      <c r="S148" s="67"/>
      <c r="T148" s="67" t="s">
        <v>103</v>
      </c>
      <c r="U148" s="67"/>
    </row>
    <row r="149" spans="1:21" ht="12">
      <c r="A149" s="4" t="s">
        <v>83</v>
      </c>
      <c r="C149" s="3" t="s">
        <v>77</v>
      </c>
      <c r="D149" s="3" t="s">
        <v>78</v>
      </c>
      <c r="E149" s="3" t="s">
        <v>79</v>
      </c>
      <c r="F149" s="3" t="s">
        <v>80</v>
      </c>
      <c r="G149" s="3" t="s">
        <v>81</v>
      </c>
      <c r="H149" s="3" t="s">
        <v>82</v>
      </c>
      <c r="I149" s="3" t="s">
        <v>86</v>
      </c>
      <c r="J149" s="3" t="s">
        <v>64</v>
      </c>
      <c r="L149" s="3" t="s">
        <v>81</v>
      </c>
      <c r="M149" s="3" t="s">
        <v>82</v>
      </c>
      <c r="N149" s="3" t="s">
        <v>81</v>
      </c>
      <c r="O149" s="3" t="s">
        <v>82</v>
      </c>
      <c r="P149" s="3" t="s">
        <v>81</v>
      </c>
      <c r="Q149" s="3" t="s">
        <v>82</v>
      </c>
      <c r="R149" s="3" t="s">
        <v>81</v>
      </c>
      <c r="S149" s="3" t="s">
        <v>82</v>
      </c>
      <c r="T149" s="3" t="s">
        <v>81</v>
      </c>
      <c r="U149" s="3" t="s">
        <v>82</v>
      </c>
    </row>
    <row r="150" spans="1:9" ht="12">
      <c r="A150" t="s">
        <v>139</v>
      </c>
      <c r="I150" s="12" t="e">
        <f>+H150/G150*100</f>
        <v>#DIV/0!</v>
      </c>
    </row>
    <row r="151" spans="1:20" ht="12">
      <c r="A151" t="s">
        <v>140</v>
      </c>
      <c r="C151">
        <v>2</v>
      </c>
      <c r="E151">
        <v>2</v>
      </c>
      <c r="F151">
        <v>2</v>
      </c>
      <c r="G151">
        <v>1</v>
      </c>
      <c r="I151" s="12">
        <f>+H151/G151*100</f>
        <v>0</v>
      </c>
      <c r="T151">
        <v>1</v>
      </c>
    </row>
    <row r="152" ht="12">
      <c r="I152" s="12" t="e">
        <f>+H152/G152*100</f>
        <v>#DIV/0!</v>
      </c>
    </row>
    <row r="155" spans="1:8" ht="12">
      <c r="A155" s="2" t="s">
        <v>85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55</v>
      </c>
      <c r="H155" s="3" t="s">
        <v>84</v>
      </c>
    </row>
    <row r="156" spans="1:5" ht="12">
      <c r="A156" t="s">
        <v>141</v>
      </c>
      <c r="E156" s="12" t="e">
        <f>+D156/C156</f>
        <v>#DIV/0!</v>
      </c>
    </row>
    <row r="157" spans="1:5" ht="12">
      <c r="A157" t="s">
        <v>142</v>
      </c>
      <c r="E157" s="12" t="e">
        <f aca="true" t="shared" si="16" ref="E157:E163">+D157/C157</f>
        <v>#DIV/0!</v>
      </c>
    </row>
    <row r="158" spans="1:5" ht="12">
      <c r="A158" t="s">
        <v>143</v>
      </c>
      <c r="E158" s="12" t="e">
        <f t="shared" si="16"/>
        <v>#DIV/0!</v>
      </c>
    </row>
    <row r="159" spans="1:5" ht="12">
      <c r="A159" t="s">
        <v>144</v>
      </c>
      <c r="E159" s="12" t="e">
        <f t="shared" si="16"/>
        <v>#DIV/0!</v>
      </c>
    </row>
    <row r="160" spans="1:5" ht="12">
      <c r="A160" t="s">
        <v>145</v>
      </c>
      <c r="E160" s="12" t="e">
        <f t="shared" si="16"/>
        <v>#DIV/0!</v>
      </c>
    </row>
    <row r="161" spans="1:5" ht="12">
      <c r="A161" t="s">
        <v>146</v>
      </c>
      <c r="E161" s="12" t="e">
        <f t="shared" si="16"/>
        <v>#DIV/0!</v>
      </c>
    </row>
    <row r="162" ht="12">
      <c r="E162" s="12" t="e">
        <f t="shared" si="16"/>
        <v>#DIV/0!</v>
      </c>
    </row>
    <row r="163" ht="12">
      <c r="E163" s="12" t="e">
        <f t="shared" si="16"/>
        <v>#DIV/0!</v>
      </c>
    </row>
    <row r="164" ht="12">
      <c r="E164" s="12" t="e">
        <f>+D164/C164</f>
        <v>#DIV/0!</v>
      </c>
    </row>
    <row r="165" ht="12">
      <c r="E165" s="12" t="e">
        <f>+D165/C165</f>
        <v>#DIV/0!</v>
      </c>
    </row>
    <row r="166" spans="1:5" ht="12">
      <c r="A166" s="1"/>
      <c r="E166" s="12" t="e">
        <f>+D166/C166</f>
        <v>#DIV/0!</v>
      </c>
    </row>
    <row r="167" spans="1:5" ht="12">
      <c r="A167" s="1"/>
      <c r="E167" s="12" t="e">
        <f>+D167/C167</f>
        <v>#DIV/0!</v>
      </c>
    </row>
    <row r="168" spans="1:5" ht="12">
      <c r="A168" s="1"/>
      <c r="E168" s="12" t="e">
        <f>+D168/C168</f>
        <v>#DIV/0!</v>
      </c>
    </row>
    <row r="169" spans="1:5" ht="12">
      <c r="A169" s="1"/>
      <c r="E169" s="12"/>
    </row>
    <row r="170" spans="1:4" ht="12">
      <c r="A170" s="2" t="s">
        <v>98</v>
      </c>
      <c r="C170" s="3" t="s">
        <v>72</v>
      </c>
      <c r="D170" s="3" t="s">
        <v>74</v>
      </c>
    </row>
    <row r="171" spans="1:4" ht="12">
      <c r="A171" t="s">
        <v>142</v>
      </c>
      <c r="C171" s="3">
        <v>0.5</v>
      </c>
      <c r="D171" s="3">
        <v>2</v>
      </c>
    </row>
    <row r="172" spans="1:4" ht="12">
      <c r="A172" t="s">
        <v>147</v>
      </c>
      <c r="C172" s="3">
        <v>1.5</v>
      </c>
      <c r="D172" s="3">
        <v>6</v>
      </c>
    </row>
    <row r="173" spans="1:4" ht="12">
      <c r="A173" t="s">
        <v>148</v>
      </c>
      <c r="C173" s="3"/>
      <c r="D173" s="3"/>
    </row>
    <row r="174" spans="1:4" ht="12">
      <c r="A174" t="s">
        <v>145</v>
      </c>
      <c r="C174" s="3"/>
      <c r="D174" s="3"/>
    </row>
    <row r="175" spans="1:4" ht="12">
      <c r="A175" t="s">
        <v>149</v>
      </c>
      <c r="C175" s="3">
        <v>0.5</v>
      </c>
      <c r="D175" s="3">
        <v>7</v>
      </c>
    </row>
    <row r="176" spans="1:4" ht="12">
      <c r="A176" t="s">
        <v>150</v>
      </c>
      <c r="C176" s="3"/>
      <c r="D176" s="3"/>
    </row>
    <row r="177" spans="1:4" ht="12">
      <c r="A177" t="s">
        <v>151</v>
      </c>
      <c r="C177" s="3">
        <v>0.5</v>
      </c>
      <c r="D177" s="3">
        <v>8</v>
      </c>
    </row>
    <row r="178" spans="3:4" ht="12">
      <c r="C178" s="3"/>
      <c r="D178" s="3"/>
    </row>
    <row r="179" spans="3:4" ht="12">
      <c r="C179" s="3"/>
      <c r="D179" s="3"/>
    </row>
    <row r="180" spans="1:4" ht="12">
      <c r="A180" s="2"/>
      <c r="C180" s="3"/>
      <c r="D180" s="3"/>
    </row>
    <row r="181" spans="1:4" ht="12">
      <c r="A181" s="2"/>
      <c r="C181" s="3"/>
      <c r="D181" s="3"/>
    </row>
    <row r="182" spans="1:4" ht="12">
      <c r="A182" s="2"/>
      <c r="C182" s="3"/>
      <c r="D182" s="3"/>
    </row>
    <row r="183" spans="1:4" ht="12">
      <c r="A183" s="2"/>
      <c r="C183" s="3"/>
      <c r="D183" s="3"/>
    </row>
    <row r="184" spans="1:4" ht="12">
      <c r="A184" s="2"/>
      <c r="C184" s="3"/>
      <c r="D184" s="3"/>
    </row>
    <row r="185" spans="1:4" ht="12">
      <c r="A185" s="2"/>
      <c r="C185" s="3"/>
      <c r="D185" s="3"/>
    </row>
    <row r="186" spans="1:4" ht="12">
      <c r="A186" s="2"/>
      <c r="C186" s="3"/>
      <c r="D186" s="3"/>
    </row>
    <row r="187" spans="1:4" ht="12">
      <c r="A187" s="2"/>
      <c r="C187" s="3"/>
      <c r="D187" s="3"/>
    </row>
    <row r="188" spans="1:7" ht="12">
      <c r="A188" s="2" t="s">
        <v>94</v>
      </c>
      <c r="C188" s="3" t="s">
        <v>72</v>
      </c>
      <c r="D188" s="3" t="s">
        <v>74</v>
      </c>
      <c r="E188" s="3" t="s">
        <v>64</v>
      </c>
      <c r="F188" s="3" t="s">
        <v>55</v>
      </c>
      <c r="G188" s="5" t="s">
        <v>84</v>
      </c>
    </row>
    <row r="189" ht="12">
      <c r="A189" t="s">
        <v>112</v>
      </c>
    </row>
    <row r="190" ht="12">
      <c r="A190" t="s">
        <v>139</v>
      </c>
    </row>
    <row r="191" ht="12">
      <c r="A191" t="s">
        <v>152</v>
      </c>
    </row>
    <row r="192" ht="12">
      <c r="A192" t="s">
        <v>126</v>
      </c>
    </row>
    <row r="193" ht="12">
      <c r="A193" t="s">
        <v>153</v>
      </c>
    </row>
    <row r="194" ht="12">
      <c r="A194" t="s">
        <v>154</v>
      </c>
    </row>
    <row r="195" ht="12">
      <c r="A195" t="s">
        <v>127</v>
      </c>
    </row>
    <row r="196" ht="12">
      <c r="A196" t="s">
        <v>141</v>
      </c>
    </row>
    <row r="197" ht="12">
      <c r="A197" t="s">
        <v>113</v>
      </c>
    </row>
    <row r="198" ht="12">
      <c r="A198" t="s">
        <v>142</v>
      </c>
    </row>
    <row r="199" ht="12">
      <c r="A199" t="s">
        <v>136</v>
      </c>
    </row>
    <row r="200" ht="12">
      <c r="A200" t="s">
        <v>114</v>
      </c>
    </row>
    <row r="201" ht="12">
      <c r="A201" t="s">
        <v>137</v>
      </c>
    </row>
    <row r="202" ht="12">
      <c r="A202" t="s">
        <v>155</v>
      </c>
    </row>
    <row r="203" ht="12">
      <c r="A203" t="s">
        <v>143</v>
      </c>
    </row>
    <row r="204" ht="12">
      <c r="A204" t="s">
        <v>156</v>
      </c>
    </row>
    <row r="205" ht="12">
      <c r="A205" t="s">
        <v>157</v>
      </c>
    </row>
    <row r="206" ht="12">
      <c r="A206" t="s">
        <v>158</v>
      </c>
    </row>
    <row r="207" ht="12">
      <c r="A207" t="s">
        <v>138</v>
      </c>
    </row>
    <row r="208" ht="12">
      <c r="A208" t="s">
        <v>147</v>
      </c>
    </row>
    <row r="209" ht="12">
      <c r="A209" t="s">
        <v>148</v>
      </c>
    </row>
    <row r="210" spans="1:3" ht="12">
      <c r="A210" t="s">
        <v>144</v>
      </c>
      <c r="C210">
        <v>1</v>
      </c>
    </row>
    <row r="211" ht="12">
      <c r="A211" t="s">
        <v>140</v>
      </c>
    </row>
    <row r="212" ht="12">
      <c r="A212" t="s">
        <v>115</v>
      </c>
    </row>
    <row r="213" ht="12">
      <c r="A213" t="s">
        <v>116</v>
      </c>
    </row>
    <row r="214" ht="12">
      <c r="A214" t="s">
        <v>145</v>
      </c>
    </row>
    <row r="215" ht="12">
      <c r="A215" t="s">
        <v>117</v>
      </c>
    </row>
    <row r="216" ht="12">
      <c r="A216" t="s">
        <v>128</v>
      </c>
    </row>
    <row r="217" ht="12">
      <c r="A217" t="s">
        <v>134</v>
      </c>
    </row>
    <row r="218" ht="12">
      <c r="A218" t="s">
        <v>159</v>
      </c>
    </row>
    <row r="219" ht="12">
      <c r="A219" t="s">
        <v>118</v>
      </c>
    </row>
    <row r="220" ht="12">
      <c r="A220" t="s">
        <v>160</v>
      </c>
    </row>
    <row r="221" ht="12">
      <c r="A221" t="s">
        <v>119</v>
      </c>
    </row>
    <row r="222" ht="12">
      <c r="A222" t="s">
        <v>120</v>
      </c>
    </row>
    <row r="223" ht="12">
      <c r="A223" t="s">
        <v>135</v>
      </c>
    </row>
    <row r="224" ht="12">
      <c r="A224" t="s">
        <v>129</v>
      </c>
    </row>
    <row r="225" ht="12">
      <c r="A225" t="s">
        <v>130</v>
      </c>
    </row>
    <row r="226" ht="12">
      <c r="A226" t="s">
        <v>121</v>
      </c>
    </row>
    <row r="227" ht="12">
      <c r="A227" t="s">
        <v>161</v>
      </c>
    </row>
    <row r="228" ht="12">
      <c r="A228" t="s">
        <v>122</v>
      </c>
    </row>
    <row r="229" spans="1:3" ht="12">
      <c r="A229" t="s">
        <v>162</v>
      </c>
      <c r="C229">
        <v>1</v>
      </c>
    </row>
    <row r="230" spans="1:3" ht="12">
      <c r="A230" t="s">
        <v>163</v>
      </c>
      <c r="C230">
        <v>1</v>
      </c>
    </row>
    <row r="231" ht="12">
      <c r="A231" t="s">
        <v>131</v>
      </c>
    </row>
    <row r="232" ht="12">
      <c r="A232" t="s">
        <v>132</v>
      </c>
    </row>
    <row r="233" ht="12">
      <c r="A233" t="s">
        <v>146</v>
      </c>
    </row>
    <row r="234" ht="12">
      <c r="A234" t="s">
        <v>123</v>
      </c>
    </row>
    <row r="235" ht="12">
      <c r="A235" t="s">
        <v>149</v>
      </c>
    </row>
    <row r="236" spans="1:6" ht="12">
      <c r="A236" t="s">
        <v>164</v>
      </c>
      <c r="C236">
        <v>1</v>
      </c>
      <c r="D236">
        <v>15</v>
      </c>
      <c r="E236">
        <v>15</v>
      </c>
      <c r="F236">
        <v>1</v>
      </c>
    </row>
    <row r="237" ht="12">
      <c r="A237" t="s">
        <v>133</v>
      </c>
    </row>
    <row r="238" ht="12">
      <c r="A238" t="s">
        <v>150</v>
      </c>
    </row>
    <row r="239" ht="12">
      <c r="A239" t="s">
        <v>165</v>
      </c>
    </row>
    <row r="240" ht="12">
      <c r="A240" t="s">
        <v>124</v>
      </c>
    </row>
    <row r="241" spans="1:3" ht="12">
      <c r="A241" t="s">
        <v>151</v>
      </c>
      <c r="C241">
        <v>1</v>
      </c>
    </row>
    <row r="242" ht="12">
      <c r="A242" t="s">
        <v>166</v>
      </c>
    </row>
    <row r="243" ht="12">
      <c r="A243" t="s">
        <v>125</v>
      </c>
    </row>
  </sheetData>
  <sheetProtection/>
  <mergeCells count="5">
    <mergeCell ref="L148:M148"/>
    <mergeCell ref="N148:O148"/>
    <mergeCell ref="P148:Q148"/>
    <mergeCell ref="R148:S148"/>
    <mergeCell ref="T148:U14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Zarb</dc:creator>
  <cp:keywords/>
  <dc:description/>
  <cp:lastModifiedBy>Mark Zarb</cp:lastModifiedBy>
  <cp:lastPrinted>2017-03-03T21:44:30Z</cp:lastPrinted>
  <dcterms:created xsi:type="dcterms:W3CDTF">2004-12-04T00:48:17Z</dcterms:created>
  <dcterms:modified xsi:type="dcterms:W3CDTF">2017-03-03T21:51:10Z</dcterms:modified>
  <cp:category/>
  <cp:version/>
  <cp:contentType/>
  <cp:contentStatus/>
</cp:coreProperties>
</file>