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2120" windowHeight="9120" activeTab="0"/>
  </bookViews>
  <sheets>
    <sheet name="Cumulative Stats" sheetId="1" r:id="rId1"/>
    <sheet name="@Browns" sheetId="2" r:id="rId2"/>
    <sheet name="Giants" sheetId="3" r:id="rId3"/>
    <sheet name="Rams" sheetId="4" r:id="rId4"/>
    <sheet name="@Redskins" sheetId="5" r:id="rId5"/>
    <sheet name="Saints" sheetId="6" r:id="rId6"/>
    <sheet name="@Steelers" sheetId="7" r:id="rId7"/>
    <sheet name="@Eagles" sheetId="8" r:id="rId8"/>
    <sheet name="Falcons" sheetId="9" r:id="rId9"/>
    <sheet name="@Saints" sheetId="10" r:id="rId10"/>
    <sheet name="Redskins" sheetId="11" r:id="rId11"/>
    <sheet name="Cardinals" sheetId="12" r:id="rId12"/>
    <sheet name="@Colts" sheetId="13" r:id="rId13"/>
    <sheet name="Eagles" sheetId="14" r:id="rId14"/>
    <sheet name="@49ers" sheetId="15" r:id="rId15"/>
  </sheets>
  <definedNames/>
  <calcPr fullCalcOnLoad="1"/>
</workbook>
</file>

<file path=xl/sharedStrings.xml><?xml version="1.0" encoding="utf-8"?>
<sst xmlns="http://schemas.openxmlformats.org/spreadsheetml/2006/main" count="3729" uniqueCount="137">
  <si>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</si>
  <si>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</si>
  <si>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</si>
  <si>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</si>
  <si>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</si>
  <si>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</si>
  <si>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</si>
  <si>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</si>
  <si>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</si>
  <si>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</si>
  <si>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</si>
  <si>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</si>
  <si>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</si>
  <si>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</si>
  <si>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</si>
  <si>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</si>
  <si>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</si>
  <si>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</si>
  <si>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</si>
  <si>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</si>
  <si>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</si>
  <si>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</si>
  <si>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</si>
  <si>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</si>
  <si>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</si>
  <si>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</si>
  <si>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</si>
  <si>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</si>
  <si>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</si>
  <si>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</si>
  <si>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</si>
  <si>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</si>
  <si>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</si>
  <si>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</si>
  <si>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</si>
  <si>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</si>
  <si>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</si>
  <si>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</si>
  <si>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</si>
  <si>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</si>
  <si>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</si>
  <si>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</si>
  <si>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</si>
  <si>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</si>
  <si>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</si>
  <si>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</si>
  <si>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</si>
  <si>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</si>
  <si>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</si>
  <si>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</si>
  <si>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</si>
  <si>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</si>
  <si>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</si>
  <si>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</si>
  <si>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</si>
  <si>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</si>
  <si>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</si>
  <si>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</si>
  <si>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</si>
  <si>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</si>
  <si>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</si>
  <si>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</si>
  <si>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</si>
  <si>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</si>
  <si>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</si>
  <si>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</si>
  <si>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</si>
  <si>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</si>
  <si>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</si>
  <si>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</si>
  <si>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</si>
  <si>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</si>
  <si>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</si>
  <si>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</si>
  <si>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</si>
  <si>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</si>
  <si>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</si>
  <si>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</si>
  <si>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</si>
  <si>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</si>
  <si>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</si>
  <si>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</si>
  <si>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</si>
  <si>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</si>
  <si>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</si>
  <si>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</si>
  <si>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</si>
  <si>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</si>
  <si>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</si>
  <si>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</si>
  <si>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Sacks:</t>
  </si>
  <si>
    <t>Possession</t>
  </si>
  <si>
    <t>Possession:</t>
  </si>
  <si>
    <t>3rd Down Attempts</t>
  </si>
  <si>
    <t>3rd Downs Converted</t>
  </si>
  <si>
    <t>% Converted</t>
  </si>
  <si>
    <t>Won</t>
  </si>
  <si>
    <t>Loss</t>
  </si>
  <si>
    <t>Takeaways</t>
  </si>
  <si>
    <t>Giveaways</t>
  </si>
  <si>
    <t>Ratio</t>
  </si>
  <si>
    <t>Lost</t>
  </si>
  <si>
    <t>Third Down Efficiency</t>
  </si>
  <si>
    <t>Tie</t>
  </si>
  <si>
    <t>1967 Dallas Cowboys</t>
  </si>
  <si>
    <t>Merideth</t>
  </si>
  <si>
    <t>Morton</t>
  </si>
  <si>
    <t>Rhome</t>
  </si>
  <si>
    <t>Reeves</t>
  </si>
  <si>
    <t>Perkins</t>
  </si>
  <si>
    <t>Meredith</t>
  </si>
  <si>
    <t>Garrison</t>
  </si>
  <si>
    <t>Shy</t>
  </si>
  <si>
    <t>Norman</t>
  </si>
  <si>
    <t>Clarke</t>
  </si>
  <si>
    <t>Baynham</t>
  </si>
  <si>
    <t>Villanueva</t>
  </si>
  <si>
    <t>Rentzel</t>
  </si>
  <si>
    <t>Hayes</t>
  </si>
  <si>
    <t>Gent</t>
  </si>
  <si>
    <t>Deters</t>
  </si>
  <si>
    <t>Renfro</t>
  </si>
  <si>
    <t>Stokes</t>
  </si>
  <si>
    <t>East</t>
  </si>
  <si>
    <t>Green</t>
  </si>
  <si>
    <t>Johnson</t>
  </si>
  <si>
    <t>Edwards</t>
  </si>
  <si>
    <t>Jordan</t>
  </si>
  <si>
    <t>Gaechter</t>
  </si>
  <si>
    <t>Howley</t>
  </si>
  <si>
    <t>Dlark</t>
  </si>
  <si>
    <t>Clark</t>
  </si>
  <si>
    <t>Andrie</t>
  </si>
  <si>
    <t>Lilly</t>
  </si>
  <si>
    <t>Pugh</t>
  </si>
  <si>
    <t>Stephens</t>
  </si>
  <si>
    <t>Townes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</si>
</sst>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0"/>
    <numFmt numFmtId="167" formatCode="[$-409]h:mm:ss\ AM/PM"/>
    <numFmt numFmtId="168" formatCode="h:mm;@"/>
    <numFmt numFmtId="169" formatCode="mm: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"/>
  <sheetViews>
    <sheetView tabSelected="1" zoomScalePageLayoutView="0" workbookViewId="0" topLeftCell="A119">
      <selection activeCell="B145" sqref="B14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7" ht="12.75">
      <c r="A1" s="2" t="s">
        <v>104</v>
      </c>
      <c r="E1" s="2" t="s">
        <v>96</v>
      </c>
      <c r="F1" s="2" t="s">
        <v>97</v>
      </c>
      <c r="G1" t="s">
        <v>103</v>
      </c>
    </row>
    <row r="2" spans="1:7" ht="12.75">
      <c r="A2" t="s">
        <v>83</v>
      </c>
      <c r="B2" s="2">
        <v>14</v>
      </c>
      <c r="E2">
        <f>'@Browns'!E2+Giants!E2+Rams!E2+'@Redskins'!E2+Saints!E2+'@Steelers'!E2+'@Eagles'!E2+Falcons!E2+'@Saints'!E2+Redskins!E2+Cardinals!E2+'@Colts'!E2+Eagles!E2+'@49ers'!E2</f>
        <v>11</v>
      </c>
      <c r="F2">
        <f>'@Browns'!F2+Giants!F2+Rams!F2+'@Redskins'!F2+Saints!F2+'@Steelers'!F2+'@Eagles'!F2+Falcons!F2+'@Saints'!F2+Redskins!F2+Cardinals!F2+'@Colts'!F2+Eagles!F2+'@49ers'!F2</f>
        <v>3</v>
      </c>
      <c r="G2">
        <f>'@Browns'!G2+Giants!G2+Rams!G2+'@Redskins'!G2+Saints!G2+'@Steelers'!G2+'@Eagles'!G2+Falcons!G2+'@Saints'!G2+Redskins!G2+Cardinals!G2+'@Colts'!G2+Eagles!G2+'@49ers'!G2</f>
        <v>0</v>
      </c>
    </row>
    <row r="3" spans="1:8" ht="12.75">
      <c r="A3" s="2" t="s">
        <v>0</v>
      </c>
      <c r="H3" s="2" t="s">
        <v>44</v>
      </c>
    </row>
    <row r="4" spans="5:15" ht="12.75">
      <c r="E4" s="3" t="s">
        <v>84</v>
      </c>
      <c r="F4" s="3" t="s">
        <v>85</v>
      </c>
      <c r="N4" s="3" t="s">
        <v>84</v>
      </c>
      <c r="O4" s="3" t="s">
        <v>85</v>
      </c>
    </row>
    <row r="6" spans="1:15" ht="12.75">
      <c r="A6" s="1" t="s">
        <v>29</v>
      </c>
      <c r="D6" s="2">
        <f>+'@Browns'!D6+Giants!D6+Rams!D6+'@Redskins'!D6+Saints!D6+'@Steelers'!D6+'@Eagles'!D6+Falcons!D6+'@Saints'!D6+Redskins!D6+Cardinals!D6+'@Colts'!D6+Eagles!D6+'@49ers'!D6</f>
        <v>282</v>
      </c>
      <c r="E6" s="8">
        <f>+D6/$B$2</f>
        <v>20.142857142857142</v>
      </c>
      <c r="F6" s="8">
        <f>261/14</f>
        <v>18.642857142857142</v>
      </c>
      <c r="H6" s="1" t="s">
        <v>29</v>
      </c>
      <c r="M6" s="2">
        <f>+'@Browns'!M6+Giants!M6+Rams!M6+'@Redskins'!M6+Saints!M6+'@Steelers'!M6+'@Eagles'!M6+Falcons!M6+'@Saints'!M6+Redskins!M6+Cardinals!M6+'@Colts'!M6+Eagles!M6+'@49ers'!M6</f>
        <v>209</v>
      </c>
      <c r="N6" s="8">
        <f>+M6/$B$2</f>
        <v>14.928571428571429</v>
      </c>
      <c r="O6" s="21">
        <f>236/14</f>
        <v>16.857142857142858</v>
      </c>
    </row>
    <row r="7" spans="5:15" ht="12.75">
      <c r="E7" s="8"/>
      <c r="F7" s="8"/>
      <c r="N7" s="8"/>
      <c r="O7" s="21"/>
    </row>
    <row r="8" spans="1:23" ht="12.75">
      <c r="A8" t="s">
        <v>1</v>
      </c>
      <c r="D8" s="2">
        <f>+'@Browns'!D8+Giants!D8+Rams!D8+'@Redskins'!D8+Saints!D8+'@Steelers'!D8+'@Eagles'!D8+Falcons!D8+'@Saints'!D8+Redskins!D8+Cardinals!D8+'@Colts'!D8+Eagles!D8+'@49ers'!D8</f>
        <v>507</v>
      </c>
      <c r="E8" s="8">
        <f>+D8/$B$2</f>
        <v>36.214285714285715</v>
      </c>
      <c r="F8" s="8">
        <f>477/14</f>
        <v>34.07142857142857</v>
      </c>
      <c r="H8" t="s">
        <v>1</v>
      </c>
      <c r="M8" s="2">
        <f>+'@Browns'!M8+Giants!M8+Rams!M8+'@Redskins'!M8+Saints!M8+'@Steelers'!M8+'@Eagles'!M8+Falcons!M8+'@Saints'!M8+Redskins!M8+Cardinals!M8+'@Colts'!M8+Eagles!M8+'@49ers'!M8</f>
        <v>331</v>
      </c>
      <c r="N8" s="8">
        <f>+M8/$B$2</f>
        <v>23.642857142857142</v>
      </c>
      <c r="O8" s="21">
        <f>339/14</f>
        <v>24.214285714285715</v>
      </c>
      <c r="V8">
        <f>+D8</f>
        <v>507</v>
      </c>
      <c r="W8">
        <f>+M8</f>
        <v>331</v>
      </c>
    </row>
    <row r="9" spans="1:23" ht="12.75">
      <c r="A9" t="s">
        <v>2</v>
      </c>
      <c r="D9" s="2">
        <f>+'@Browns'!D9+Giants!D9+Rams!D9+'@Redskins'!D9+Saints!D9+'@Steelers'!D9+'@Eagles'!D9+Falcons!D9+'@Saints'!D9+Redskins!D9+Cardinals!D9+'@Colts'!D9+Eagles!D9+'@49ers'!D9</f>
        <v>2307</v>
      </c>
      <c r="E9" s="8">
        <f>+D9/$B$2</f>
        <v>164.78571428571428</v>
      </c>
      <c r="F9" s="8">
        <f>1900/14</f>
        <v>135.71428571428572</v>
      </c>
      <c r="H9" t="s">
        <v>2</v>
      </c>
      <c r="M9" s="2">
        <f>+'@Browns'!M9+Giants!M9+Rams!M9+'@Redskins'!M9+Saints!M9+'@Steelers'!M9+'@Eagles'!M9+Falcons!M9+'@Saints'!M9+Redskins!M9+Cardinals!M9+'@Colts'!M9+Eagles!M9+'@49ers'!M9</f>
        <v>991</v>
      </c>
      <c r="N9" s="8">
        <f>+M9/$B$2</f>
        <v>70.78571428571429</v>
      </c>
      <c r="O9" s="21">
        <f>1081/14</f>
        <v>77.21428571428571</v>
      </c>
      <c r="U9" s="13"/>
      <c r="V9">
        <f>+D13</f>
        <v>220</v>
      </c>
      <c r="W9">
        <f>+M13</f>
        <v>238</v>
      </c>
    </row>
    <row r="10" spans="1:23" ht="12.75">
      <c r="A10" s="1" t="s">
        <v>3</v>
      </c>
      <c r="D10" s="8">
        <f>+D9/D8</f>
        <v>4.550295857988166</v>
      </c>
      <c r="E10" s="8"/>
      <c r="F10" s="8">
        <f>F9/F8</f>
        <v>3.983228511530399</v>
      </c>
      <c r="H10" s="1" t="s">
        <v>3</v>
      </c>
      <c r="M10" s="8">
        <f>+M9/M8</f>
        <v>2.9939577039274923</v>
      </c>
      <c r="N10" s="8"/>
      <c r="O10" s="21">
        <f>+O9/O8</f>
        <v>3.188790560471976</v>
      </c>
      <c r="V10">
        <f>+(D12-D13)/2</f>
        <v>88.5</v>
      </c>
      <c r="W10">
        <f>+(M12-M13)/2</f>
        <v>114</v>
      </c>
    </row>
    <row r="11" spans="5:23" ht="12.75">
      <c r="E11" s="8"/>
      <c r="F11" s="8"/>
      <c r="N11" s="8"/>
      <c r="O11" s="21"/>
      <c r="V11">
        <f>+D35/2</f>
        <v>39.5</v>
      </c>
      <c r="W11">
        <f>+M35/2</f>
        <v>43.5</v>
      </c>
    </row>
    <row r="12" spans="1:23" ht="12.75">
      <c r="A12" t="s">
        <v>4</v>
      </c>
      <c r="D12" s="2">
        <f>+'@Browns'!D12+Giants!D12+Rams!D12+'@Redskins'!D12+Saints!D12+'@Steelers'!D12+'@Eagles'!D12+Falcons!D12+'@Saints'!D12+Redskins!D12+Cardinals!D12+'@Colts'!D12+Eagles!D12+'@49ers'!D12</f>
        <v>397</v>
      </c>
      <c r="E12" s="8">
        <f>+D12/$B$2</f>
        <v>28.357142857142858</v>
      </c>
      <c r="F12" s="8">
        <f>417/14</f>
        <v>29.785714285714285</v>
      </c>
      <c r="H12" t="s">
        <v>4</v>
      </c>
      <c r="M12" s="2">
        <f>+'@Browns'!M12+Giants!M12+Rams!M12+'@Redskins'!M12+Saints!M12+'@Steelers'!M12+'@Eagles'!M12+Falcons!M12+'@Saints'!M12+Redskins!M12+Cardinals!M12+'@Colts'!M12+Eagles!M12+'@49ers'!M12</f>
        <v>466</v>
      </c>
      <c r="N12" s="8">
        <f>+M12/$B$2</f>
        <v>33.285714285714285</v>
      </c>
      <c r="O12" s="21">
        <f>482/14</f>
        <v>34.42857142857143</v>
      </c>
      <c r="V12">
        <f>+D39/2</f>
        <v>23.5</v>
      </c>
      <c r="W12">
        <f>+M39/2</f>
        <v>11.5</v>
      </c>
    </row>
    <row r="13" spans="1:23" ht="12.75">
      <c r="A13" t="s">
        <v>5</v>
      </c>
      <c r="D13" s="2">
        <f>+'@Browns'!D13+Giants!D13+Rams!D13+'@Redskins'!D13+Saints!D13+'@Steelers'!D13+'@Eagles'!D13+Falcons!D13+'@Saints'!D13+Redskins!D13+Cardinals!D13+'@Colts'!D13+Eagles!D13+'@49ers'!D13</f>
        <v>220</v>
      </c>
      <c r="E13" s="8">
        <f>+D13/$B$2</f>
        <v>15.714285714285714</v>
      </c>
      <c r="F13" s="8">
        <f>210/14</f>
        <v>15</v>
      </c>
      <c r="H13" t="s">
        <v>5</v>
      </c>
      <c r="M13" s="2">
        <f>+'@Browns'!M13+Giants!M13+Rams!M13+'@Redskins'!M13+Saints!M13+'@Steelers'!M13+'@Eagles'!M13+Falcons!M13+'@Saints'!M13+Redskins!M13+Cardinals!M13+'@Colts'!M13+Eagles!M13+'@49ers'!M13</f>
        <v>238</v>
      </c>
      <c r="N13" s="8">
        <f>+M13/$B$2</f>
        <v>17</v>
      </c>
      <c r="O13" s="21">
        <f>260/14</f>
        <v>18.571428571428573</v>
      </c>
      <c r="V13">
        <f>+D44/2</f>
        <v>15.5</v>
      </c>
      <c r="W13">
        <f>+M44/2</f>
        <v>26</v>
      </c>
    </row>
    <row r="14" spans="1:15" ht="12.75">
      <c r="A14" t="s">
        <v>6</v>
      </c>
      <c r="D14" s="8">
        <f>+D13/D12*100</f>
        <v>55.41561712846348</v>
      </c>
      <c r="E14" s="8">
        <f>+E13/E12*100</f>
        <v>55.41561712846347</v>
      </c>
      <c r="F14" s="8">
        <f>+F13/F12*100</f>
        <v>50.35971223021583</v>
      </c>
      <c r="H14" t="s">
        <v>6</v>
      </c>
      <c r="M14" s="8">
        <f>+M13/M12*100</f>
        <v>51.072961373390555</v>
      </c>
      <c r="N14" s="8">
        <f>+N13/N12*100</f>
        <v>51.072961373390555</v>
      </c>
      <c r="O14" s="21">
        <f>+O13/O12*100</f>
        <v>53.941908713692946</v>
      </c>
    </row>
    <row r="15" spans="1:24" ht="12.75">
      <c r="A15" t="s">
        <v>7</v>
      </c>
      <c r="D15" s="2">
        <f>+'@Browns'!D15+Giants!D15+Rams!D15+'@Redskins'!D15+Saints!D15+'@Steelers'!D15+'@Eagles'!D15+Falcons!D15+'@Saints'!D15+Redskins!D15+Cardinals!D15+'@Colts'!D15+Eagles!D15+'@49ers'!D15</f>
        <v>3217</v>
      </c>
      <c r="E15" s="8">
        <f>+D15/$B$2</f>
        <v>229.78571428571428</v>
      </c>
      <c r="F15" s="8">
        <f>3093/14</f>
        <v>220.92857142857142</v>
      </c>
      <c r="H15" t="s">
        <v>7</v>
      </c>
      <c r="M15" s="2">
        <f>+'@Browns'!M15+Giants!M15+Rams!M15+'@Redskins'!M15+Saints!M15+'@Steelers'!M15+'@Eagles'!M15+Falcons!M15+'@Saints'!M15+Redskins!M15+Cardinals!M15+'@Colts'!M15+Eagles!M15+'@49ers'!M15</f>
        <v>3487</v>
      </c>
      <c r="N15" s="8">
        <f>+M15/$B$2</f>
        <v>249.07142857142858</v>
      </c>
      <c r="O15" s="21">
        <f>3167/14</f>
        <v>226.21428571428572</v>
      </c>
      <c r="V15">
        <f>SUM(V8:V13)</f>
        <v>894</v>
      </c>
      <c r="W15">
        <f>SUM(W8:W13)</f>
        <v>764</v>
      </c>
      <c r="X15">
        <f>+W15+V15</f>
        <v>1658</v>
      </c>
    </row>
    <row r="16" spans="1:23" ht="12.75">
      <c r="A16" t="s">
        <v>8</v>
      </c>
      <c r="D16" s="2">
        <f>+'@Browns'!D16+Giants!D16+Rams!D16+'@Redskins'!D16+Saints!D16+'@Steelers'!D16+'@Eagles'!D16+Falcons!D16+'@Saints'!D16+Redskins!D16+Cardinals!D16+'@Colts'!D16+Eagles!D16+'@49ers'!D16</f>
        <v>32</v>
      </c>
      <c r="E16" s="8">
        <f>+D16/$B$2</f>
        <v>2.2857142857142856</v>
      </c>
      <c r="F16" s="8">
        <f>42/14</f>
        <v>3</v>
      </c>
      <c r="H16" t="s">
        <v>8</v>
      </c>
      <c r="M16" s="2">
        <f>+'@Browns'!M16+Giants!M16+Rams!M16+'@Redskins'!M16+Saints!M16+'@Steelers'!M16+'@Eagles'!M16+Falcons!M16+'@Saints'!M16+Redskins!M16+Cardinals!M16+'@Colts'!M16+Eagles!M16+'@49ers'!M16</f>
        <v>51</v>
      </c>
      <c r="N16" s="8">
        <f>+M16/$B$2</f>
        <v>3.642857142857143</v>
      </c>
      <c r="O16" s="21">
        <f>45/14</f>
        <v>3.2142857142857144</v>
      </c>
      <c r="V16">
        <f>+V15/X15</f>
        <v>0.5392038600723763</v>
      </c>
      <c r="W16">
        <f>+W15/X15</f>
        <v>0.46079613992762364</v>
      </c>
    </row>
    <row r="17" spans="1:23" ht="12.75">
      <c r="A17" t="s">
        <v>9</v>
      </c>
      <c r="D17" s="2">
        <f>+'@Browns'!D17+Giants!D17+Rams!D17+'@Redskins'!D17+Saints!D17+'@Steelers'!D17+'@Eagles'!D17+Falcons!D17+'@Saints'!D17+Redskins!D17+Cardinals!D17+'@Colts'!D17+Eagles!D17+'@49ers'!D17</f>
        <v>258</v>
      </c>
      <c r="E17" s="8"/>
      <c r="F17" s="8">
        <f>294/14</f>
        <v>21</v>
      </c>
      <c r="H17" t="s">
        <v>9</v>
      </c>
      <c r="M17" s="2">
        <f>+'@Browns'!M17+Giants!M17+Rams!M17+'@Redskins'!M17+Saints!M17+'@Steelers'!M17+'@Eagles'!M17+Falcons!M17+'@Saints'!M17+Redskins!M17+Cardinals!M17+'@Colts'!M17+Eagles!M17+'@49ers'!M17</f>
        <v>369</v>
      </c>
      <c r="N17" s="8"/>
      <c r="O17" s="21">
        <f>377/14</f>
        <v>26.928571428571427</v>
      </c>
      <c r="V17">
        <f>+V16*60</f>
        <v>32.35223160434258</v>
      </c>
      <c r="W17">
        <f>+W16*60</f>
        <v>27.64776839565742</v>
      </c>
    </row>
    <row r="18" spans="1:23" ht="12.75">
      <c r="A18" t="s">
        <v>10</v>
      </c>
      <c r="D18">
        <f>+D15-D17</f>
        <v>2959</v>
      </c>
      <c r="E18" s="8">
        <f>+D18/B2</f>
        <v>211.35714285714286</v>
      </c>
      <c r="F18" s="8">
        <f>F15-F17</f>
        <v>199.92857142857142</v>
      </c>
      <c r="H18" t="s">
        <v>10</v>
      </c>
      <c r="M18">
        <f>+M15-M17</f>
        <v>3118</v>
      </c>
      <c r="N18" s="8">
        <f>+M18/B2</f>
        <v>222.71428571428572</v>
      </c>
      <c r="O18" s="21">
        <f>O15-O17</f>
        <v>199.2857142857143</v>
      </c>
      <c r="V18">
        <f>+V17-INT(V17)</f>
        <v>0.3522316043425775</v>
      </c>
      <c r="W18">
        <f>+W17-INT(W17)</f>
        <v>0.647768395657419</v>
      </c>
    </row>
    <row r="19" spans="1:23" ht="12.75">
      <c r="A19" t="s">
        <v>11</v>
      </c>
      <c r="D19" s="7">
        <f>+D18/(D12+D16)</f>
        <v>6.897435897435898</v>
      </c>
      <c r="E19" s="8"/>
      <c r="F19" s="8">
        <f>F18/(F12+F16)</f>
        <v>6.098039215686274</v>
      </c>
      <c r="H19" t="s">
        <v>11</v>
      </c>
      <c r="M19" s="7">
        <f>+M18/(M12+M16)</f>
        <v>6.0309477756286265</v>
      </c>
      <c r="N19" s="8"/>
      <c r="O19" s="21">
        <f>O18/(O12+O16)</f>
        <v>5.294117647058823</v>
      </c>
      <c r="V19">
        <f>+V18*60</f>
        <v>21.13389626055465</v>
      </c>
      <c r="W19">
        <f>+W18*60</f>
        <v>38.86610373944514</v>
      </c>
    </row>
    <row r="20" spans="1:23" ht="12.75">
      <c r="A20" t="s">
        <v>12</v>
      </c>
      <c r="D20" s="7">
        <f>+D15/D13</f>
        <v>14.622727272727273</v>
      </c>
      <c r="E20" s="8"/>
      <c r="F20" s="8">
        <f>F15/F13</f>
        <v>14.728571428571428</v>
      </c>
      <c r="H20" t="s">
        <v>12</v>
      </c>
      <c r="M20" s="7">
        <f>+M15/M13</f>
        <v>14.65126050420168</v>
      </c>
      <c r="N20" s="8"/>
      <c r="O20" s="21">
        <f>O15/O13</f>
        <v>12.180769230769231</v>
      </c>
      <c r="U20">
        <v>0</v>
      </c>
      <c r="V20" s="11">
        <f>ROUND(V19,0)</f>
        <v>21</v>
      </c>
      <c r="W20">
        <f>ROUND(W19,0)</f>
        <v>39</v>
      </c>
    </row>
    <row r="21" spans="5:23" ht="12.75">
      <c r="E21" s="8"/>
      <c r="F21" s="8"/>
      <c r="N21" s="8"/>
      <c r="O21" s="21"/>
      <c r="V21">
        <f>INT(V17)</f>
        <v>32</v>
      </c>
      <c r="W21">
        <f>INT(W17)</f>
        <v>27</v>
      </c>
    </row>
    <row r="22" spans="1:23" ht="12.75">
      <c r="A22" t="s">
        <v>13</v>
      </c>
      <c r="E22" s="8"/>
      <c r="F22" s="8"/>
      <c r="H22" t="s">
        <v>13</v>
      </c>
      <c r="N22" s="8"/>
      <c r="O22" s="21"/>
      <c r="V22" t="s">
        <v>87</v>
      </c>
      <c r="W22" t="s">
        <v>87</v>
      </c>
    </row>
    <row r="23" spans="1:23" ht="12.75">
      <c r="A23" t="s">
        <v>14</v>
      </c>
      <c r="D23">
        <f>+D18+D9</f>
        <v>5266</v>
      </c>
      <c r="E23" s="8">
        <f>+D23/B2</f>
        <v>376.14285714285717</v>
      </c>
      <c r="F23" s="8">
        <f>F9+F18</f>
        <v>335.6428571428571</v>
      </c>
      <c r="H23" t="s">
        <v>14</v>
      </c>
      <c r="M23">
        <f>+M18+M9</f>
        <v>4109</v>
      </c>
      <c r="N23" s="8">
        <f>+M23/B2</f>
        <v>293.5</v>
      </c>
      <c r="O23" s="21">
        <f>O9+O18</f>
        <v>276.5</v>
      </c>
      <c r="V23" s="14" t="str">
        <f>+V21&amp;V22&amp;V20</f>
        <v>32:21</v>
      </c>
      <c r="W23" s="9" t="str">
        <f>+W21&amp;W22&amp;W20</f>
        <v>27:39</v>
      </c>
    </row>
    <row r="24" spans="1:23" ht="12.75">
      <c r="A24" t="s">
        <v>15</v>
      </c>
      <c r="D24" s="7">
        <f>+D9/D23*100</f>
        <v>43.8093429548044</v>
      </c>
      <c r="E24" s="8"/>
      <c r="F24" s="8">
        <f>+F9/F23*100</f>
        <v>40.434134922323906</v>
      </c>
      <c r="H24" t="s">
        <v>15</v>
      </c>
      <c r="M24" s="7">
        <f>+M9/M23*100</f>
        <v>24.11779021659771</v>
      </c>
      <c r="N24" s="8"/>
      <c r="O24" s="21">
        <f>+O9/O23*100</f>
        <v>27.925600619994835</v>
      </c>
      <c r="V24" s="9" t="str">
        <f>IF(V20&lt;10,+V21&amp;V22&amp;$U$20&amp;V20,+V21&amp;V22&amp;V20)</f>
        <v>32:21</v>
      </c>
      <c r="W24" s="9" t="str">
        <f>IF(W20&lt;10,+W21&amp;W22&amp;$U$20&amp;W20,+W21&amp;W22&amp;W20)</f>
        <v>27:39</v>
      </c>
    </row>
    <row r="25" spans="1:15" ht="12.75">
      <c r="A25" s="1" t="s">
        <v>86</v>
      </c>
      <c r="D25" s="7">
        <f>+D18/D23*100</f>
        <v>56.19065704519559</v>
      </c>
      <c r="E25" s="8"/>
      <c r="F25" s="8">
        <f>+F18/F23*100</f>
        <v>59.56586507767611</v>
      </c>
      <c r="H25" s="1" t="s">
        <v>86</v>
      </c>
      <c r="M25" s="7">
        <f>+M18/M23*100</f>
        <v>75.88220978340229</v>
      </c>
      <c r="N25" s="8"/>
      <c r="O25" s="21">
        <f>O18/O23*100</f>
        <v>72.07439938000518</v>
      </c>
    </row>
    <row r="26" spans="5:15" ht="12.75">
      <c r="E26" s="8"/>
      <c r="F26" s="8"/>
      <c r="N26" s="8"/>
      <c r="O26" s="21"/>
    </row>
    <row r="27" spans="1:15" ht="12.75">
      <c r="A27" t="s">
        <v>16</v>
      </c>
      <c r="D27">
        <f>+D8+D12+D16</f>
        <v>936</v>
      </c>
      <c r="E27" s="8">
        <f>+D27/$B$2</f>
        <v>66.85714285714286</v>
      </c>
      <c r="F27" s="8">
        <f>F8+F12+F16</f>
        <v>66.85714285714286</v>
      </c>
      <c r="H27" t="s">
        <v>16</v>
      </c>
      <c r="M27">
        <f>+M8+M12+M16</f>
        <v>848</v>
      </c>
      <c r="N27" s="8">
        <f>+M27/$B$2</f>
        <v>60.57142857142857</v>
      </c>
      <c r="O27" s="21">
        <f>O8+O12+O16</f>
        <v>61.85714285714286</v>
      </c>
    </row>
    <row r="28" spans="1:15" ht="12.75">
      <c r="A28" t="s">
        <v>17</v>
      </c>
      <c r="D28" s="8">
        <f>+D23/D27</f>
        <v>5.6260683760683765</v>
      </c>
      <c r="E28" s="8"/>
      <c r="F28" s="8">
        <f>+F23/F27</f>
        <v>5.020299145299145</v>
      </c>
      <c r="G28" s="7"/>
      <c r="H28" s="7" t="s">
        <v>17</v>
      </c>
      <c r="I28" s="7"/>
      <c r="J28" s="7"/>
      <c r="K28" s="7"/>
      <c r="L28" s="7"/>
      <c r="M28" s="8">
        <f>+M23/M27</f>
        <v>4.845518867924528</v>
      </c>
      <c r="N28" s="8"/>
      <c r="O28" s="21">
        <f>+O23/O27</f>
        <v>4.469976905311778</v>
      </c>
    </row>
    <row r="29" spans="5:15" ht="12.75">
      <c r="E29" s="8"/>
      <c r="F29" s="8"/>
      <c r="N29" s="8"/>
      <c r="O29" s="21"/>
    </row>
    <row r="30" spans="1:15" ht="12.75">
      <c r="A30" t="s">
        <v>18</v>
      </c>
      <c r="E30" s="8"/>
      <c r="F30" s="8"/>
      <c r="H30" t="s">
        <v>18</v>
      </c>
      <c r="N30" s="8"/>
      <c r="O30" s="21"/>
    </row>
    <row r="31" spans="1:15" ht="12.75">
      <c r="A31" t="s">
        <v>19</v>
      </c>
      <c r="D31" s="2">
        <f>+'@Browns'!D31+Giants!D31+Rams!D31+'@Redskins'!D31+Saints!D31+'@Steelers'!D31+'@Eagles'!D31+Falcons!D31+'@Saints'!D31+Redskins!D31+Cardinals!D31+'@Colts'!D31+Eagles!D31+'@49ers'!D31</f>
        <v>21</v>
      </c>
      <c r="E31" s="8">
        <f>+D31/$B$2</f>
        <v>1.5</v>
      </c>
      <c r="F31" s="8">
        <f>28/14</f>
        <v>2</v>
      </c>
      <c r="H31" t="s">
        <v>19</v>
      </c>
      <c r="M31" s="2">
        <f>+'@Browns'!M31+Giants!M31+Rams!M31+'@Redskins'!M31+Saints!M31+'@Steelers'!M31+'@Eagles'!M31+Falcons!M31+'@Saints'!M31+Redskins!M31+Cardinals!M31+'@Colts'!M31+Eagles!M31+'@49ers'!M31</f>
        <v>37</v>
      </c>
      <c r="N31" s="8">
        <f>+M31/$B$2</f>
        <v>2.642857142857143</v>
      </c>
      <c r="O31" s="21">
        <f>29/14</f>
        <v>2.0714285714285716</v>
      </c>
    </row>
    <row r="32" spans="1:15" ht="12.75">
      <c r="A32" t="s">
        <v>20</v>
      </c>
      <c r="D32" s="2">
        <f>+'@Browns'!D32+Giants!D32+Rams!D32+'@Redskins'!D32+Saints!D32+'@Steelers'!D32+'@Eagles'!D32+Falcons!D32+'@Saints'!D32+Redskins!D32+Cardinals!D32+'@Colts'!D32+Eagles!D32+'@49ers'!D32</f>
        <v>208</v>
      </c>
      <c r="E32" s="8"/>
      <c r="F32" s="8">
        <f>353/14</f>
        <v>25.214285714285715</v>
      </c>
      <c r="H32" t="s">
        <v>20</v>
      </c>
      <c r="M32" s="2">
        <f>+'@Browns'!M32+Giants!M32+Rams!M32+'@Redskins'!M32+Saints!M32+'@Steelers'!M32+'@Eagles'!M32+Falcons!M32+'@Saints'!M32+Redskins!M32+Cardinals!M32+'@Colts'!M32+Eagles!M32+'@49ers'!M32</f>
        <v>344</v>
      </c>
      <c r="N32" s="8"/>
      <c r="O32" s="21">
        <f>331/14</f>
        <v>23.642857142857142</v>
      </c>
    </row>
    <row r="33" spans="1:15" ht="12.75">
      <c r="A33" t="s">
        <v>21</v>
      </c>
      <c r="D33" s="2">
        <f>+'@Browns'!D33+Giants!D33+Rams!D33+'@Redskins'!D33+Saints!D33+'@Steelers'!D33+'@Eagles'!D33+Falcons!D33+'@Saints'!D33+Redskins!D33+Cardinals!D33+'@Colts'!D33+Eagles!D33+'@49ers'!D33</f>
        <v>1</v>
      </c>
      <c r="E33" s="8"/>
      <c r="F33" s="8">
        <f>3/14</f>
        <v>0.21428571428571427</v>
      </c>
      <c r="H33" t="s">
        <v>21</v>
      </c>
      <c r="M33" s="2">
        <f>+'@Browns'!M33+Giants!M33+Rams!M33+'@Redskins'!M33+Saints!M33+'@Steelers'!M33+'@Eagles'!M33+Falcons!M33+'@Saints'!M33+Redskins!M33+Cardinals!M33+'@Colts'!M33+Eagles!M33+'@49ers'!M33</f>
        <v>2</v>
      </c>
      <c r="N33" s="8"/>
      <c r="O33" s="21">
        <f>3/14</f>
        <v>0.21428571428571427</v>
      </c>
    </row>
    <row r="34" spans="5:15" ht="12.75">
      <c r="E34" s="8"/>
      <c r="F34" s="8"/>
      <c r="N34" s="8"/>
      <c r="O34" s="21"/>
    </row>
    <row r="35" spans="1:15" ht="12.75">
      <c r="A35" t="s">
        <v>22</v>
      </c>
      <c r="D35" s="2">
        <f>+'@Browns'!D35+Giants!D35+Rams!D35+'@Redskins'!D35+Saints!D35+'@Steelers'!D35+'@Eagles'!D35+Falcons!D35+'@Saints'!D35+Redskins!D35+Cardinals!D35+'@Colts'!D35+Eagles!D35+'@49ers'!D35</f>
        <v>79</v>
      </c>
      <c r="E35" s="8">
        <f>+D35/$B$2</f>
        <v>5.642857142857143</v>
      </c>
      <c r="F35" s="21">
        <f>67/14</f>
        <v>4.785714285714286</v>
      </c>
      <c r="H35" t="s">
        <v>22</v>
      </c>
      <c r="M35" s="2">
        <f>+'@Browns'!M35+Giants!M35+Rams!M35+'@Redskins'!M35+Saints!M35+'@Steelers'!M35+'@Eagles'!M35+Falcons!M35+'@Saints'!M35+Redskins!M35+Cardinals!M35+'@Colts'!M35+Eagles!M35+'@49ers'!M35</f>
        <v>87</v>
      </c>
      <c r="N35" s="8">
        <f>+M35/$B$2</f>
        <v>6.214285714285714</v>
      </c>
      <c r="O35" s="21">
        <f>72/14</f>
        <v>5.142857142857143</v>
      </c>
    </row>
    <row r="36" spans="1:15" ht="12.75">
      <c r="A36" t="s">
        <v>23</v>
      </c>
      <c r="D36" s="2">
        <f>+'@Browns'!D36+Giants!D36+Rams!D36+'@Redskins'!D36+Saints!D36+'@Steelers'!D36+'@Eagles'!D36+Falcons!D36+'@Saints'!D36+Redskins!D36+Cardinals!D36+'@Colts'!D36+Eagles!D36+'@49ers'!D36</f>
        <v>2998</v>
      </c>
      <c r="E36" s="8">
        <f>+D36/$B$2</f>
        <v>214.14285714285714</v>
      </c>
      <c r="F36" s="21">
        <f>2707/14</f>
        <v>193.35714285714286</v>
      </c>
      <c r="H36" t="s">
        <v>23</v>
      </c>
      <c r="M36" s="2">
        <f>+'@Browns'!M36+Giants!M36+Rams!M36+'@Redskins'!M36+Saints!M36+'@Steelers'!M36+'@Eagles'!M36+Falcons!M36+'@Saints'!M36+Redskins!M36+Cardinals!M36+'@Colts'!M36+Eagles!M36+'@49ers'!M36</f>
        <v>3360</v>
      </c>
      <c r="N36" s="8">
        <f>+M36/$B$2</f>
        <v>240</v>
      </c>
      <c r="O36" s="21">
        <f>3057/14</f>
        <v>218.35714285714286</v>
      </c>
    </row>
    <row r="37" spans="1:15" ht="12.75">
      <c r="A37" t="s">
        <v>24</v>
      </c>
      <c r="D37" s="8">
        <f>+D36/D35</f>
        <v>37.949367088607595</v>
      </c>
      <c r="E37" s="8"/>
      <c r="F37" s="21">
        <f>F36/F35</f>
        <v>40.40298507462687</v>
      </c>
      <c r="G37" s="7"/>
      <c r="H37" s="7" t="s">
        <v>24</v>
      </c>
      <c r="I37" s="7"/>
      <c r="J37" s="7"/>
      <c r="K37" s="7"/>
      <c r="L37" s="7"/>
      <c r="M37" s="8">
        <f>+M36/M35</f>
        <v>38.62068965517241</v>
      </c>
      <c r="N37" s="8"/>
      <c r="O37" s="21">
        <f>O36/O35</f>
        <v>42.45833333333333</v>
      </c>
    </row>
    <row r="38" spans="5:15" ht="12.75">
      <c r="E38" s="8"/>
      <c r="F38" s="21"/>
      <c r="N38" s="8"/>
      <c r="O38" s="21"/>
    </row>
    <row r="39" spans="1:15" ht="12.75">
      <c r="A39" t="s">
        <v>25</v>
      </c>
      <c r="D39" s="2">
        <f>+'@Browns'!D39+Giants!D39+Rams!D39+'@Redskins'!D39+Saints!D39+'@Steelers'!D39+'@Eagles'!D39+Falcons!D39+'@Saints'!D39+Redskins!D39+Cardinals!D39+'@Colts'!D39+Eagles!D39+'@49ers'!D39</f>
        <v>47</v>
      </c>
      <c r="E39" s="8">
        <f>+D39/$B$2</f>
        <v>3.357142857142857</v>
      </c>
      <c r="F39" s="21">
        <f>33/14</f>
        <v>2.357142857142857</v>
      </c>
      <c r="H39" t="s">
        <v>25</v>
      </c>
      <c r="M39" s="2">
        <f>+'@Browns'!M39+Giants!M39+Rams!M39+'@Redskins'!M39+Saints!M39+'@Steelers'!M39+'@Eagles'!M39+Falcons!M39+'@Saints'!M39+Redskins!M39+Cardinals!M39+'@Colts'!M39+Eagles!M39+'@49ers'!M39</f>
        <v>23</v>
      </c>
      <c r="N39" s="8">
        <f>+M39/$B$2</f>
        <v>1.6428571428571428</v>
      </c>
      <c r="O39" s="21">
        <f>37/14</f>
        <v>2.642857142857143</v>
      </c>
    </row>
    <row r="40" spans="1:15" ht="12.75">
      <c r="A40" t="s">
        <v>26</v>
      </c>
      <c r="D40" s="2">
        <f>+'@Browns'!D40+Giants!D40+Rams!D40+'@Redskins'!D40+Saints!D40+'@Steelers'!D40+'@Eagles'!D40+Falcons!D40+'@Saints'!D40+Redskins!D40+Cardinals!D40+'@Colts'!D40+Eagles!D40+'@49ers'!D40</f>
        <v>465</v>
      </c>
      <c r="E40" s="8">
        <f>+D40/$B$2</f>
        <v>33.214285714285715</v>
      </c>
      <c r="F40" s="21">
        <f>320/14</f>
        <v>22.857142857142858</v>
      </c>
      <c r="H40" t="s">
        <v>26</v>
      </c>
      <c r="M40" s="2">
        <f>+'@Browns'!M40+Giants!M40+Rams!M40+'@Redskins'!M40+Saints!M40+'@Steelers'!M40+'@Eagles'!M40+Falcons!M40+'@Saints'!M40+Redskins!M40+Cardinals!M40+'@Colts'!M40+Eagles!M40+'@49ers'!M40</f>
        <v>238</v>
      </c>
      <c r="N40" s="8">
        <f>+M40/$B$2</f>
        <v>17</v>
      </c>
      <c r="O40" s="21">
        <f>266/14</f>
        <v>19</v>
      </c>
    </row>
    <row r="41" spans="1:15" ht="12.75">
      <c r="A41" t="s">
        <v>27</v>
      </c>
      <c r="D41" s="8">
        <f>+D40/D39</f>
        <v>9.893617021276595</v>
      </c>
      <c r="E41" s="8"/>
      <c r="F41" s="21">
        <f>F40/F39</f>
        <v>9.696969696969697</v>
      </c>
      <c r="H41" t="s">
        <v>27</v>
      </c>
      <c r="M41" s="8">
        <f>+M40/M39</f>
        <v>10.347826086956522</v>
      </c>
      <c r="N41" s="8"/>
      <c r="O41" s="21">
        <f>O40/O39</f>
        <v>7.1891891891891895</v>
      </c>
    </row>
    <row r="42" spans="1:15" ht="12.75">
      <c r="A42" t="s">
        <v>28</v>
      </c>
      <c r="D42" s="2">
        <f>+'@Browns'!D42+Giants!D42+Rams!D42+'@Redskins'!D42+Saints!D42+'@Steelers'!D42+'@Eagles'!D42+Falcons!D42+'@Saints'!D42+Redskins!D42+Cardinals!D42+'@Colts'!D42+Eagles!D42+'@49ers'!D42</f>
        <v>0</v>
      </c>
      <c r="E42" s="8"/>
      <c r="F42" s="21">
        <f>1/14</f>
        <v>0.07142857142857142</v>
      </c>
      <c r="H42" t="s">
        <v>28</v>
      </c>
      <c r="M42" s="2">
        <f>+'@Browns'!M42+Giants!M42+Rams!M42+'@Redskins'!M42+Saints!M42+'@Steelers'!M42+'@Eagles'!M42+Falcons!M42+'@Saints'!M42+Redskins!M42+Cardinals!M42+'@Colts'!M42+Eagles!M42+'@49ers'!M42</f>
        <v>0</v>
      </c>
      <c r="N42" s="8"/>
      <c r="O42" s="21">
        <f>0/16</f>
        <v>0</v>
      </c>
    </row>
    <row r="43" spans="5:15" ht="12.75">
      <c r="E43" s="8"/>
      <c r="F43" s="21"/>
      <c r="N43" s="8"/>
      <c r="O43" s="21"/>
    </row>
    <row r="44" spans="1:15" ht="12.75">
      <c r="A44" t="s">
        <v>30</v>
      </c>
      <c r="D44" s="2">
        <f>+'@Browns'!D44+Giants!D44+Rams!D44+'@Redskins'!D44+Saints!D44+'@Steelers'!D44+'@Eagles'!D44+Falcons!D44+'@Saints'!D44+Redskins!D44+Cardinals!D44+'@Colts'!D44+Eagles!D44+'@49ers'!D44</f>
        <v>31</v>
      </c>
      <c r="E44" s="8">
        <f>+D44/$B$2</f>
        <v>2.2142857142857144</v>
      </c>
      <c r="F44" s="21">
        <f>48/14</f>
        <v>3.4285714285714284</v>
      </c>
      <c r="H44" t="s">
        <v>30</v>
      </c>
      <c r="M44" s="2">
        <f>+'@Browns'!M44+Giants!M44+Rams!M44+'@Redskins'!M44+Saints!M44+'@Steelers'!M44+'@Eagles'!M44+Falcons!M44+'@Saints'!M44+Redskins!M44+Cardinals!M44+'@Colts'!M44+Eagles!M44+'@49ers'!M44</f>
        <v>52</v>
      </c>
      <c r="N44" s="8">
        <f>+M44/$B$2</f>
        <v>3.7142857142857144</v>
      </c>
      <c r="O44" s="21">
        <f>59/14</f>
        <v>4.214285714285714</v>
      </c>
    </row>
    <row r="45" spans="1:15" ht="12.75">
      <c r="A45" t="s">
        <v>26</v>
      </c>
      <c r="D45" s="2">
        <f>+'@Browns'!D45+Giants!D45+Rams!D45+'@Redskins'!D45+Saints!D45+'@Steelers'!D45+'@Eagles'!D45+Falcons!D45+'@Saints'!D45+Redskins!D45+Cardinals!D45+'@Colts'!D45+Eagles!D45+'@49ers'!D45</f>
        <v>630</v>
      </c>
      <c r="E45" s="8">
        <f>+D45/$B$2</f>
        <v>45</v>
      </c>
      <c r="F45" s="21">
        <f>1014/14</f>
        <v>72.42857142857143</v>
      </c>
      <c r="H45" t="s">
        <v>26</v>
      </c>
      <c r="M45" s="2">
        <f>+'@Browns'!M45+Giants!M45+Rams!M45+'@Redskins'!M45+Saints!M45+'@Steelers'!M45+'@Eagles'!M45+Falcons!M45+'@Saints'!M45+Redskins!M45+Cardinals!M45+'@Colts'!M45+Eagles!M45+'@49ers'!M45</f>
        <v>1080</v>
      </c>
      <c r="N45" s="8">
        <f>+M45/$B$2</f>
        <v>77.14285714285714</v>
      </c>
      <c r="O45" s="21">
        <f>1350/14</f>
        <v>96.42857142857143</v>
      </c>
    </row>
    <row r="46" spans="1:15" ht="12.75">
      <c r="A46" t="s">
        <v>27</v>
      </c>
      <c r="D46" s="8">
        <f>+D45/D44</f>
        <v>20.322580645161292</v>
      </c>
      <c r="E46" s="8"/>
      <c r="F46" s="21">
        <f>F45/F44</f>
        <v>21.125</v>
      </c>
      <c r="H46" t="s">
        <v>27</v>
      </c>
      <c r="M46" s="8">
        <f>+M45/M44</f>
        <v>20.76923076923077</v>
      </c>
      <c r="N46" s="8"/>
      <c r="O46" s="21">
        <f>O45/O44</f>
        <v>22.88135593220339</v>
      </c>
    </row>
    <row r="47" spans="1:15" ht="12.75">
      <c r="A47" t="s">
        <v>28</v>
      </c>
      <c r="D47" s="2">
        <f>+'@Browns'!D47+Giants!D47+Rams!D47+'@Redskins'!D47+Saints!D47+'@Steelers'!D47+'@Eagles'!D47+Falcons!D47+'@Saints'!D47+Redskins!D47+Cardinals!D47+'@Colts'!D47+Eagles!D47+'@49ers'!D47</f>
        <v>0</v>
      </c>
      <c r="E47" s="8"/>
      <c r="F47" s="21">
        <f>0/14</f>
        <v>0</v>
      </c>
      <c r="H47" t="s">
        <v>28</v>
      </c>
      <c r="M47" s="2">
        <f>+'@Browns'!M47+Giants!M47+Rams!M47+'@Redskins'!M47+Saints!M47+'@Steelers'!M47+'@Eagles'!M47+Falcons!M47+'@Saints'!M47+Redskins!M47+Cardinals!M47+'@Colts'!M47+Eagles!M47+'@49ers'!M47</f>
        <v>0</v>
      </c>
      <c r="N47" s="8"/>
      <c r="O47" s="21">
        <f>0/16</f>
        <v>0</v>
      </c>
    </row>
    <row r="48" spans="5:15" ht="12.75">
      <c r="E48" s="8"/>
      <c r="F48" s="8"/>
      <c r="N48" s="8"/>
      <c r="O48" s="21"/>
    </row>
    <row r="49" spans="1:15" ht="12.75">
      <c r="A49" t="s">
        <v>31</v>
      </c>
      <c r="D49" s="2">
        <f>+'@Browns'!D49+Giants!D49+Rams!D49+'@Redskins'!D49+Saints!D49+'@Steelers'!D49+'@Eagles'!D49+Falcons!D49+'@Saints'!D49+Redskins!D49+Cardinals!D49+'@Colts'!D49+Eagles!D49+'@49ers'!D49</f>
        <v>74</v>
      </c>
      <c r="E49" s="8">
        <f>+D49/$B$2</f>
        <v>5.285714285714286</v>
      </c>
      <c r="F49" s="21">
        <f>81/14</f>
        <v>5.785714285714286</v>
      </c>
      <c r="H49" t="s">
        <v>31</v>
      </c>
      <c r="M49" s="2">
        <f>+'@Browns'!M49+Giants!M49+Rams!M49+'@Redskins'!M49+Saints!M49+'@Steelers'!M49+'@Eagles'!M49+Falcons!M49+'@Saints'!M49+Redskins!M49+Cardinals!M49+'@Colts'!M49+Eagles!M49+'@49ers'!M49</f>
        <v>58</v>
      </c>
      <c r="N49" s="8">
        <f>+M49/$B$2</f>
        <v>4.142857142857143</v>
      </c>
      <c r="O49" s="21">
        <f>64/14</f>
        <v>4.571428571428571</v>
      </c>
    </row>
    <row r="50" spans="1:15" ht="12.75">
      <c r="A50" t="s">
        <v>32</v>
      </c>
      <c r="D50" s="2">
        <f>+'@Browns'!D50+Giants!D50+Rams!D50+'@Redskins'!D50+Saints!D50+'@Steelers'!D50+'@Eagles'!D50+Falcons!D50+'@Saints'!D50+Redskins!D50+Cardinals!D50+'@Colts'!D50+Eagles!D50+'@49ers'!D50</f>
        <v>628</v>
      </c>
      <c r="E50" s="8">
        <f>+D50/$B$2</f>
        <v>44.857142857142854</v>
      </c>
      <c r="F50" s="21">
        <f>785/14</f>
        <v>56.07142857142857</v>
      </c>
      <c r="H50" t="s">
        <v>32</v>
      </c>
      <c r="M50" s="2">
        <f>+'@Browns'!M50+Giants!M50+Rams!M50+'@Redskins'!M50+Saints!M50+'@Steelers'!M50+'@Eagles'!M50+Falcons!M50+'@Saints'!M50+Redskins!M50+Cardinals!M50+'@Colts'!M50+Eagles!M50+'@49ers'!M50</f>
        <v>514</v>
      </c>
      <c r="N50" s="8">
        <f>+M50/$B$2</f>
        <v>36.714285714285715</v>
      </c>
      <c r="O50" s="21">
        <f>717/14</f>
        <v>51.214285714285715</v>
      </c>
    </row>
    <row r="51" spans="5:15" ht="12.75">
      <c r="E51" s="8"/>
      <c r="F51" s="21"/>
      <c r="N51" s="8"/>
      <c r="O51" s="21"/>
    </row>
    <row r="52" spans="1:15" ht="12.75">
      <c r="A52" t="s">
        <v>33</v>
      </c>
      <c r="D52" s="2">
        <f>+'@Browns'!D52+Giants!D52+Rams!D52+'@Redskins'!D52+Saints!D52+'@Steelers'!D52+'@Eagles'!D52+Falcons!D52+'@Saints'!D52+Redskins!D52+Cardinals!D52+'@Colts'!D52+Eagles!D52+'@49ers'!D52</f>
        <v>22</v>
      </c>
      <c r="E52" s="8">
        <f>+D52/$B$2</f>
        <v>1.5714285714285714</v>
      </c>
      <c r="F52" s="21">
        <f>26/14</f>
        <v>1.8571428571428572</v>
      </c>
      <c r="H52" t="s">
        <v>33</v>
      </c>
      <c r="M52" s="2">
        <f>+'@Browns'!M52+Giants!M52+Rams!M52+'@Redskins'!M52+Saints!M52+'@Steelers'!M52+'@Eagles'!M52+Falcons!M52+'@Saints'!M52+Redskins!M52+Cardinals!M52+'@Colts'!M52+Eagles!M52+'@49ers'!M52</f>
        <v>29</v>
      </c>
      <c r="N52" s="8">
        <f>+M52/$B$2</f>
        <v>2.0714285714285716</v>
      </c>
      <c r="O52" s="21">
        <f>27/14</f>
        <v>1.9285714285714286</v>
      </c>
    </row>
    <row r="53" spans="1:15" ht="12.75">
      <c r="A53" t="s">
        <v>101</v>
      </c>
      <c r="D53" s="2">
        <f>+'@Browns'!D53+Giants!D53+Rams!D53+'@Redskins'!D53+Saints!D53+'@Steelers'!D53+'@Eagles'!D53+Falcons!D53+'@Saints'!D53+Redskins!D53+Cardinals!D53+'@Colts'!D53+Eagles!D53+'@49ers'!D53</f>
        <v>13</v>
      </c>
      <c r="E53" s="8">
        <f>+D53/$B$2</f>
        <v>0.9285714285714286</v>
      </c>
      <c r="F53" s="21">
        <f>14/14</f>
        <v>1</v>
      </c>
      <c r="H53" t="s">
        <v>101</v>
      </c>
      <c r="M53" s="2">
        <f>+'@Browns'!M53+Giants!M53+Rams!M53+'@Redskins'!M53+Saints!M53+'@Steelers'!M53+'@Eagles'!M53+Falcons!M53+'@Saints'!M53+Redskins!M53+Cardinals!M53+'@Colts'!M53+Eagles!M53+'@49ers'!M53</f>
        <v>18</v>
      </c>
      <c r="N53" s="8">
        <f>+M53/$B$2</f>
        <v>1.2857142857142858</v>
      </c>
      <c r="O53" s="21">
        <f>19/14</f>
        <v>1.3571428571428572</v>
      </c>
    </row>
    <row r="54" spans="5:15" ht="12.75">
      <c r="E54" s="8"/>
      <c r="F54" s="21"/>
      <c r="N54" s="8"/>
      <c r="O54" s="21"/>
    </row>
    <row r="55" spans="1:15" ht="12.75">
      <c r="A55" t="s">
        <v>34</v>
      </c>
      <c r="D55" s="2">
        <f>+'@Browns'!D55+Giants!D55+Rams!D55+'@Redskins'!D55+Saints!D55+'@Steelers'!D55+'@Eagles'!D55+Falcons!D55+'@Saints'!D55+Redskins!D55+Cardinals!D55+'@Colts'!D55+Eagles!D55+'@49ers'!D55</f>
        <v>355</v>
      </c>
      <c r="E55" s="8">
        <f aca="true" t="shared" si="0" ref="E55:E63">+D55/$B$2</f>
        <v>25.357142857142858</v>
      </c>
      <c r="F55" s="21">
        <f>342/14</f>
        <v>24.428571428571427</v>
      </c>
      <c r="H55" t="s">
        <v>34</v>
      </c>
      <c r="M55" s="2">
        <f>+'@Browns'!M55+Giants!M55+Rams!M55+'@Redskins'!M55+Saints!M55+'@Steelers'!M55+'@Eagles'!M55+Falcons!M55+'@Saints'!M55+Redskins!M55+Cardinals!M55+'@Colts'!M55+Eagles!M55+'@49ers'!M55</f>
        <v>187</v>
      </c>
      <c r="N55" s="8">
        <f aca="true" t="shared" si="1" ref="N55:N63">+M55/$B$2</f>
        <v>13.357142857142858</v>
      </c>
      <c r="O55" s="21">
        <f>268/14</f>
        <v>19.142857142857142</v>
      </c>
    </row>
    <row r="56" spans="1:15" ht="12.75">
      <c r="A56" t="s">
        <v>35</v>
      </c>
      <c r="D56" s="2">
        <f>+'@Browns'!D56+Giants!D56+Rams!D56+'@Redskins'!D56+Saints!D56+'@Steelers'!D56+'@Eagles'!D56+Falcons!D56+'@Saints'!D56+Redskins!D56+Cardinals!D56+'@Colts'!D56+Eagles!D56+'@49ers'!D56</f>
        <v>44</v>
      </c>
      <c r="E56" s="8">
        <f t="shared" si="0"/>
        <v>3.142857142857143</v>
      </c>
      <c r="F56" s="21">
        <f>45/14</f>
        <v>3.2142857142857144</v>
      </c>
      <c r="H56" t="s">
        <v>35</v>
      </c>
      <c r="M56" s="2">
        <f>+'@Browns'!M56+Giants!M56+Rams!M56+'@Redskins'!M56+Saints!M56+'@Steelers'!M56+'@Eagles'!M56+Falcons!M56+'@Saints'!M56+Redskins!M56+Cardinals!M56+'@Colts'!M56+Eagles!M56+'@49ers'!M56</f>
        <v>22</v>
      </c>
      <c r="N56" s="8">
        <f t="shared" si="1"/>
        <v>1.5714285714285714</v>
      </c>
      <c r="O56" s="21">
        <f>35/14</f>
        <v>2.5</v>
      </c>
    </row>
    <row r="57" spans="1:15" ht="12.75">
      <c r="A57" t="s">
        <v>36</v>
      </c>
      <c r="D57" s="2">
        <f>+'@Browns'!D57+Giants!D57+Rams!D57+'@Redskins'!D57+Saints!D57+'@Steelers'!D57+'@Eagles'!D57+Falcons!D57+'@Saints'!D57+Redskins!D57+Cardinals!D57+'@Colts'!D57+Eagles!D57+'@49ers'!D57</f>
        <v>17</v>
      </c>
      <c r="E57" s="8">
        <f t="shared" si="0"/>
        <v>1.2142857142857142</v>
      </c>
      <c r="F57" s="21">
        <f>13/14</f>
        <v>0.9285714285714286</v>
      </c>
      <c r="H57" t="s">
        <v>36</v>
      </c>
      <c r="M57" s="2">
        <f>+'@Browns'!M57+Giants!M57+Rams!M57+'@Redskins'!M57+Saints!M57+'@Steelers'!M57+'@Eagles'!M57+Falcons!M57+'@Saints'!M57+Redskins!M57+Cardinals!M57+'@Colts'!M57+Eagles!M57+'@49ers'!M57+Eagles!M57+'@49ers'!M57</f>
        <v>1</v>
      </c>
      <c r="N57" s="8">
        <f t="shared" si="1"/>
        <v>0.07142857142857142</v>
      </c>
      <c r="O57" s="21">
        <f>11/14</f>
        <v>0.7857142857142857</v>
      </c>
    </row>
    <row r="58" spans="1:15" ht="12.75">
      <c r="A58" t="s">
        <v>37</v>
      </c>
      <c r="D58" s="2">
        <f>+'@Browns'!D58+Giants!D58+Rams!D58+'@Redskins'!D58+Saints!D58+'@Steelers'!D58+'@Eagles'!D58+Falcons!D58+'@Saints'!D58+Redskins!D58+Cardinals!D58+'@Colts'!D58+Eagles!D58+'@49ers'!D58</f>
        <v>25</v>
      </c>
      <c r="E58" s="8">
        <f t="shared" si="0"/>
        <v>1.7857142857142858</v>
      </c>
      <c r="F58" s="21">
        <f>28/14</f>
        <v>2</v>
      </c>
      <c r="H58" t="s">
        <v>37</v>
      </c>
      <c r="M58" s="2">
        <f>+'@Browns'!M58+Giants!M58+Rams!M58+'@Redskins'!M58+Saints!M58+'@Steelers'!M58+'@Eagles'!M58+Falcons!M58+'@Saints'!M58+Redskins!M58+Cardinals!M58+'@Colts'!M58+Eagles!M58+'@49ers'!M58</f>
        <v>19</v>
      </c>
      <c r="N58" s="8">
        <f t="shared" si="1"/>
        <v>1.3571428571428572</v>
      </c>
      <c r="O58" s="21">
        <f>21/14</f>
        <v>1.5</v>
      </c>
    </row>
    <row r="59" spans="1:15" ht="12.75">
      <c r="A59" t="s">
        <v>38</v>
      </c>
      <c r="D59" s="2">
        <f>+'@Browns'!D59+Giants!D59+Rams!D59+'@Redskins'!D59+Saints!D59+'@Steelers'!D59+'@Eagles'!D59+Falcons!D59+'@Saints'!D59+Redskins!D59+Cardinals!D59+'@Colts'!D59+Eagles!D59+'@49ers'!D59</f>
        <v>2</v>
      </c>
      <c r="E59" s="8">
        <f t="shared" si="0"/>
        <v>0.14285714285714285</v>
      </c>
      <c r="F59" s="21">
        <f>4/14</f>
        <v>0.2857142857142857</v>
      </c>
      <c r="H59" t="s">
        <v>38</v>
      </c>
      <c r="M59" s="2">
        <f>+'@Browns'!M59+Giants!M59+Rams!M59+'@Redskins'!M59+Saints!M59+'@Steelers'!M59+'@Eagles'!M59+Falcons!M59+'@Saints'!M59+Redskins!M59+Cardinals!M59+'@Colts'!M59+Eagles!M59+'@49ers'!M59</f>
        <v>2</v>
      </c>
      <c r="N59" s="8">
        <f t="shared" si="1"/>
        <v>0.14285714285714285</v>
      </c>
      <c r="O59" s="21">
        <f>3/14</f>
        <v>0.21428571428571427</v>
      </c>
    </row>
    <row r="60" spans="1:15" ht="12.75">
      <c r="A60" t="s">
        <v>39</v>
      </c>
      <c r="D60" s="2">
        <f>+'@Browns'!D60+Giants!D60+Rams!D60+'@Redskins'!D60+Saints!D60+'@Steelers'!D60+'@Eagles'!D60+Falcons!D60+'@Saints'!D60+Redskins!D60+Cardinals!D60+'@Colts'!D60+Eagles!D60+'@49ers'!D60</f>
        <v>41</v>
      </c>
      <c r="E60" s="8">
        <f t="shared" si="0"/>
        <v>2.9285714285714284</v>
      </c>
      <c r="F60" s="21">
        <f>41/14</f>
        <v>2.9285714285714284</v>
      </c>
      <c r="H60" t="s">
        <v>39</v>
      </c>
      <c r="M60" s="2">
        <f>+'@Browns'!M60+Giants!M60+Rams!M60+'@Redskins'!M60+Saints!M60+'@Steelers'!M60+'@Eagles'!M60+Falcons!M60+'@Saints'!M60+Redskins!M60+Cardinals!M60+'@Colts'!M60+Eagles!M60+'@49ers'!M60</f>
        <v>20</v>
      </c>
      <c r="N60" s="8">
        <f t="shared" si="1"/>
        <v>1.4285714285714286</v>
      </c>
      <c r="O60" s="21">
        <f>34/14</f>
        <v>2.4285714285714284</v>
      </c>
    </row>
    <row r="61" spans="1:15" ht="12.75">
      <c r="A61" t="s">
        <v>40</v>
      </c>
      <c r="D61" s="2">
        <f>+'@Browns'!D61+Giants!D61+Rams!D61+'@Redskins'!D61+Saints!D61+'@Steelers'!D61+'@Eagles'!D61+Falcons!D61+'@Saints'!D61+Redskins!D61+Cardinals!D61+'@Colts'!D61+Eagles!D61+'@49ers'!D61</f>
        <v>1</v>
      </c>
      <c r="E61" s="8">
        <f t="shared" si="0"/>
        <v>0.07142857142857142</v>
      </c>
      <c r="F61" s="21">
        <f>2/14</f>
        <v>0.14285714285714285</v>
      </c>
      <c r="H61" t="s">
        <v>40</v>
      </c>
      <c r="M61" s="2">
        <f>+'@Browns'!M61+Giants!M61+Rams!M61+'@Redskins'!M61+Saints!M61+'@Steelers'!M61+'@Eagles'!M61+Falcons!M61+'@Saints'!M61+Redskins!M61+Cardinals!M61+'@Colts'!M61+Eagles!M61+'@49ers'!M61</f>
        <v>0</v>
      </c>
      <c r="N61" s="8">
        <f t="shared" si="1"/>
        <v>0</v>
      </c>
      <c r="O61" s="21">
        <f>0/14</f>
        <v>0</v>
      </c>
    </row>
    <row r="62" spans="1:15" ht="12.75">
      <c r="A62" t="s">
        <v>41</v>
      </c>
      <c r="D62" s="2">
        <f>+'@Browns'!D62+Giants!D62+Rams!D62+'@Redskins'!D62+Saints!D62+'@Steelers'!D62+'@Eagles'!D62+Falcons!D62+'@Saints'!D62+Redskins!D62+Cardinals!D62+'@Colts'!D62+Eagles!D62+'@49ers'!D62</f>
        <v>16</v>
      </c>
      <c r="E62" s="8">
        <f t="shared" si="0"/>
        <v>1.1428571428571428</v>
      </c>
      <c r="F62" s="21">
        <f>9/14</f>
        <v>0.6428571428571429</v>
      </c>
      <c r="H62" t="s">
        <v>41</v>
      </c>
      <c r="M62" s="2">
        <f>+'@Browns'!M62+Giants!M62+Rams!M62+'@Redskins'!M62+Saints!M62+'@Steelers'!M62+'@Eagles'!M62+Falcons!M62+'@Saints'!M62+Redskins!M62+Cardinals!M62+'@Colts'!M62+Eagles!M62+'@49ers'!M62</f>
        <v>10</v>
      </c>
      <c r="N62" s="8">
        <f t="shared" si="1"/>
        <v>0.7142857142857143</v>
      </c>
      <c r="O62" s="21">
        <f>8/14</f>
        <v>0.5714285714285714</v>
      </c>
    </row>
    <row r="63" spans="1:15" ht="12.75">
      <c r="A63" t="s">
        <v>42</v>
      </c>
      <c r="D63" s="2">
        <f>+'@Browns'!D63+Giants!D63+Rams!D63+'@Redskins'!D63+Saints!D63+'@Steelers'!D63+'@Eagles'!D63+Falcons!D63+'@Saints'!D63+Redskins!D63+Cardinals!D63+'@Colts'!D63+Eagles!D63+'@49ers'!D63</f>
        <v>27</v>
      </c>
      <c r="E63" s="8">
        <f t="shared" si="0"/>
        <v>1.9285714285714286</v>
      </c>
      <c r="F63" s="21">
        <f>23/14</f>
        <v>1.6428571428571428</v>
      </c>
      <c r="H63" t="s">
        <v>42</v>
      </c>
      <c r="M63" s="2">
        <f>+'@Browns'!M63+Giants!M63+Rams!M63+'@Redskins'!M63+Saints!M63+'@Steelers'!M63+'@Eagles'!M63+Falcons!M63+'@Saints'!M63+Redskins!M63+Cardinals!M63+'@Colts'!M63+Eagles!M63+'@49ers'!M63</f>
        <v>17</v>
      </c>
      <c r="N63" s="8">
        <f t="shared" si="1"/>
        <v>1.2142857142857142</v>
      </c>
      <c r="O63" s="21">
        <f>23/14</f>
        <v>1.6428571428571428</v>
      </c>
    </row>
    <row r="64" spans="1:15" ht="12.75">
      <c r="A64" t="s">
        <v>43</v>
      </c>
      <c r="D64" s="8">
        <f>+D62/D63*100</f>
        <v>59.25925925925925</v>
      </c>
      <c r="E64" s="8"/>
      <c r="F64" s="21">
        <f>F62/F63*100</f>
        <v>39.130434782608695</v>
      </c>
      <c r="G64" s="7"/>
      <c r="H64" s="7" t="s">
        <v>43</v>
      </c>
      <c r="I64" s="7"/>
      <c r="J64" s="7"/>
      <c r="K64" s="7"/>
      <c r="L64" s="7"/>
      <c r="M64" s="8">
        <f>+M62/M63*100</f>
        <v>58.82352941176471</v>
      </c>
      <c r="N64" s="8"/>
      <c r="O64" s="21">
        <f>O62/O63*100</f>
        <v>34.78260869565217</v>
      </c>
    </row>
    <row r="65" spans="1:15" ht="12.75">
      <c r="A65" t="s">
        <v>88</v>
      </c>
      <c r="D65" s="10" t="str">
        <f>IF(V20&lt;10,V24,V23)</f>
        <v>32:21</v>
      </c>
      <c r="E65" s="8"/>
      <c r="F65" s="23">
        <v>30.4</v>
      </c>
      <c r="H65" t="s">
        <v>88</v>
      </c>
      <c r="M65" s="10" t="str">
        <f>IF(W20&lt;10,W24,W23)</f>
        <v>27:39</v>
      </c>
      <c r="N65" s="8"/>
      <c r="O65" s="23">
        <v>29.1</v>
      </c>
    </row>
    <row r="66" spans="1:13" ht="12.75">
      <c r="A66" t="s">
        <v>102</v>
      </c>
      <c r="D66" s="8">
        <f>'@Browns'!D66+Giants!D66+Rams!D66+'@Redskins'!D66+Saints!D66+'@Steelers'!D66+'@Eagles'!D66+Falcons!D66+'@Saints'!D66+Redskins!D66+Cardinals!D66+'@Colts'!D66+Eagles!D66+'@49ers'!D66</f>
        <v>513.4447183363592</v>
      </c>
      <c r="F66" s="24"/>
      <c r="H66" t="s">
        <v>102</v>
      </c>
      <c r="M66" s="8">
        <f>'@Browns'!M66+Giants!M66+Rams!M66+'@Redskins'!M66+Saints!M66+'@Steelers'!M66+'@Eagles'!M66+Falcons!M66+'@Saints'!M66+Redskins!M66+Cardinals!M66+'@Colts'!M66+Eagles!M66+'@49ers'!M66</f>
        <v>381.4612700680812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2" t="s">
        <v>80</v>
      </c>
    </row>
    <row r="70" spans="1:8" ht="12.75">
      <c r="A70" t="s">
        <v>109</v>
      </c>
      <c r="C70">
        <f>+'@Browns'!C70+Giants!C70+Rams!C70+'@Redskins'!C70+Saints!C70+'@Steelers'!C70+'@Eagles'!C70+Falcons!C70+'@Saints'!C70+Redskins!C70+Cardinals!C70+'@Colts'!C70+Eagles!C70+'@49ers'!C70</f>
        <v>217</v>
      </c>
      <c r="D70">
        <f>+'@Browns'!D70+Giants!D70+Rams!D70+'@Redskins'!D70+Saints!D70+'@Steelers'!D70+'@Eagles'!D70+Falcons!D70+'@Saints'!D70+Redskins!D70+Cardinals!D70+'@Colts'!D70+Eagles!D70+'@49ers'!D70</f>
        <v>1064</v>
      </c>
      <c r="E70" s="12">
        <f>D70/C70</f>
        <v>4.903225806451613</v>
      </c>
      <c r="F70">
        <f>MAX(+'@Browns'!F70,Giants!F70,Rams!F70,'@Redskins'!F70,Saints!F70,'@Steelers'!F70,'@Eagles'!F70,Falcons!F70,'@Saints'!F70,Redskins!F70,Cardinals!F70,'@Colts'!F70,Eagles!F70,'@49ers'!F70)</f>
        <v>60</v>
      </c>
      <c r="G70">
        <f>+'@Browns'!G70+Giants!G70+Rams!G70+'@Redskins'!G70+Saints!G70+'@Steelers'!G70+'@Eagles'!G70+Falcons!G70+'@Saints'!G70+Redskins!G70+Cardinals!G70+'@Colts'!G70+Eagles!G70+'@49ers'!G70</f>
        <v>9</v>
      </c>
      <c r="H70">
        <f>+'@Browns'!H70+Giants!H70+Rams!H70+'@Redskins'!H70+Saints!H70+'@Steelers'!H70+'@Eagles'!H70+Falcons!H70+'@Saints'!H70+Redskins!H70+Cardinals!H70+'@Colts'!H70+Eagles!H70+'@49ers'!H70</f>
        <v>2</v>
      </c>
    </row>
    <row r="71" spans="1:8" ht="12.75">
      <c r="A71" t="s">
        <v>108</v>
      </c>
      <c r="C71">
        <f>+'@Browns'!C71+Giants!C71+Rams!C71+'@Redskins'!C71+Saints!C71+'@Steelers'!C71+'@Eagles'!C71+Falcons!C71+'@Saints'!C71+Redskins!C71+Cardinals!C71+'@Colts'!C71+Eagles!C71+'@49ers'!C71</f>
        <v>189</v>
      </c>
      <c r="D71">
        <f>+'@Browns'!D71+Giants!D71+Rams!D71+'@Redskins'!D71+Saints!D71+'@Steelers'!D71+'@Eagles'!D71+Falcons!D71+'@Saints'!D71+Redskins!D71+Cardinals!D71+'@Colts'!D71+Eagles!D71+'@49ers'!D71</f>
        <v>690</v>
      </c>
      <c r="E71" s="12">
        <f aca="true" t="shared" si="2" ref="E71:E80">D71/C71</f>
        <v>3.6507936507936507</v>
      </c>
      <c r="F71">
        <f>MAX(+'@Browns'!F71,Giants!F71,Rams!F71,'@Redskins'!F71,Saints!F71,'@Steelers'!F71,'@Eagles'!F71,Falcons!F71,'@Saints'!F71,Redskins!F71,Cardinals!F71,'@Colts'!F71,Eagles!F71,'@49ers'!F71)</f>
        <v>44</v>
      </c>
      <c r="G71">
        <f>+'@Browns'!G71+Giants!G71+Rams!G71+'@Redskins'!G71+Saints!G71+'@Steelers'!G71+'@Eagles'!G71+Falcons!G71+'@Saints'!G71+Redskins!G71+Cardinals!G71+'@Colts'!G71+Eagles!G71+'@49ers'!G71</f>
        <v>3</v>
      </c>
      <c r="H71">
        <f>+'@Browns'!H71+Giants!H71+Rams!H71+'@Redskins'!H71+Saints!H71+'@Steelers'!H71+'@Eagles'!H71+Falcons!H71+'@Saints'!H71+Redskins!H71+Cardinals!H71+'@Colts'!H71+Eagles!H71+'@49ers'!H71</f>
        <v>5</v>
      </c>
    </row>
    <row r="72" spans="1:8" ht="12.75">
      <c r="A72" t="s">
        <v>110</v>
      </c>
      <c r="C72">
        <f>+'@Browns'!C72+Giants!C72+Rams!C72+'@Redskins'!C72+Saints!C72+'@Steelers'!C72+'@Eagles'!C72+Falcons!C72+'@Saints'!C72+Redskins!C72+Cardinals!C72+'@Colts'!C72+Eagles!C72+'@49ers'!C72</f>
        <v>25</v>
      </c>
      <c r="D72">
        <f>+'@Browns'!D72+Giants!D72+Rams!D72+'@Redskins'!D72+Saints!D72+'@Steelers'!D72+'@Eagles'!D72+Falcons!D72+'@Saints'!D72+Redskins!D72+Cardinals!D72+'@Colts'!D72+Eagles!D72+'@49ers'!D72</f>
        <v>73</v>
      </c>
      <c r="E72" s="12">
        <f t="shared" si="2"/>
        <v>2.92</v>
      </c>
      <c r="F72">
        <f>MAX(+'@Browns'!F72,Giants!F72,Rams!F72,'@Redskins'!F72,Saints!F72,'@Steelers'!F72,'@Eagles'!F72,Falcons!F72,'@Saints'!F72,Redskins!F72,Cardinals!F72,'@Colts'!F72,Eagles!F72,'@49ers'!F72)</f>
        <v>16</v>
      </c>
      <c r="G72">
        <f>+'@Browns'!G72+Giants!G72+Rams!G72+'@Redskins'!G72+Saints!G72+'@Steelers'!G72+'@Eagles'!G72+Falcons!G72+'@Saints'!G72+Redskins!G72+Cardinals!G72+'@Colts'!G72+Eagles!G72+'@49ers'!G72</f>
        <v>0</v>
      </c>
      <c r="H72">
        <f>+'@Browns'!H72+Giants!H72+Rams!H72+'@Redskins'!H72+Saints!H72+'@Steelers'!H72+'@Eagles'!H72+Falcons!H72+'@Saints'!H72+Redskins!H72+Cardinals!H72+'@Colts'!H72+Eagles!H72+'@49ers'!H72</f>
        <v>1</v>
      </c>
    </row>
    <row r="73" spans="1:8" ht="12.75">
      <c r="A73" t="s">
        <v>111</v>
      </c>
      <c r="C73">
        <f>+'@Browns'!C73+Giants!C73+Rams!C73+'@Redskins'!C73+Saints!C73+'@Steelers'!C73+'@Eagles'!C73+Falcons!C73+'@Saints'!C73+Redskins!C73+Cardinals!C73+'@Colts'!C73+Eagles!C73+'@49ers'!C73</f>
        <v>29</v>
      </c>
      <c r="D73">
        <f>+'@Browns'!D73+Giants!D73+Rams!D73+'@Redskins'!D73+Saints!D73+'@Steelers'!D73+'@Eagles'!D73+Falcons!D73+'@Saints'!D73+Redskins!D73+Cardinals!D73+'@Colts'!D73+Eagles!D73+'@49ers'!D73</f>
        <v>199</v>
      </c>
      <c r="E73" s="12">
        <f t="shared" si="2"/>
        <v>6.862068965517241</v>
      </c>
      <c r="F73">
        <f>MAX(+'@Browns'!F73,Giants!F73,Rams!F73,'@Redskins'!F73,Saints!F73,'@Steelers'!F73,'@Eagles'!F73,Falcons!F73,'@Saints'!F73,Redskins!F73,Cardinals!F73,'@Colts'!F73,Eagles!F73,'@49ers'!F73)</f>
        <v>22</v>
      </c>
      <c r="G73">
        <f>+'@Browns'!G73+Giants!G73+Rams!G73+'@Redskins'!G73+Saints!G73+'@Steelers'!G73+'@Eagles'!G73+Falcons!G73+'@Saints'!G73+Redskins!G73+Cardinals!G73+'@Colts'!G73+Eagles!G73+'@49ers'!G73</f>
        <v>4</v>
      </c>
      <c r="H73">
        <f>+'@Browns'!H73+Giants!H73+Rams!H73+'@Redskins'!H73+Saints!H73+'@Steelers'!H73+'@Eagles'!H73+Falcons!H73+'@Saints'!H73+Redskins!H73+Cardinals!H73+'@Colts'!H73+Eagles!H73+'@49ers'!H73</f>
        <v>0</v>
      </c>
    </row>
    <row r="74" spans="1:8" ht="12.75">
      <c r="A74" t="s">
        <v>112</v>
      </c>
      <c r="C74">
        <f>+'@Browns'!C74+Giants!C74+Rams!C74+'@Redskins'!C74+Saints!C74+'@Steelers'!C74+'@Eagles'!C74+Falcons!C74+'@Saints'!C74+Redskins!C74+Cardinals!C74+'@Colts'!C74+Eagles!C74+'@49ers'!C74</f>
        <v>17</v>
      </c>
      <c r="D74">
        <f>+'@Browns'!D74+Giants!D74+Rams!D74+'@Redskins'!D74+Saints!D74+'@Steelers'!D74+'@Eagles'!D74+Falcons!D74+'@Saints'!D74+Redskins!D74+Cardinals!D74+'@Colts'!D74+Eagles!D74+'@49ers'!D74</f>
        <v>47</v>
      </c>
      <c r="E74" s="12">
        <f t="shared" si="2"/>
        <v>2.764705882352941</v>
      </c>
      <c r="F74">
        <f>MAX(+'@Browns'!F74,Giants!F74,Rams!F74,'@Redskins'!F74,Saints!F74,'@Steelers'!F74,'@Eagles'!F74,Falcons!F74,'@Saints'!F74,Redskins!F74,Cardinals!F74,'@Colts'!F74,Eagles!F74,'@49ers'!F74)</f>
        <v>14</v>
      </c>
      <c r="G74">
        <f>+'@Browns'!G74+Giants!G74+Rams!G74+'@Redskins'!G74+Saints!G74+'@Steelers'!G74+'@Eagles'!G74+Falcons!G74+'@Saints'!G74+Redskins!G74+Cardinals!G74+'@Colts'!G74+Eagles!G74+'@49ers'!G74</f>
        <v>0</v>
      </c>
      <c r="H74">
        <f>+'@Browns'!H74+Giants!H74+Rams!H74+'@Redskins'!H74+Saints!H74+'@Steelers'!H74+'@Eagles'!H74+Falcons!H74+'@Saints'!H74+Redskins!H74+Cardinals!H74+'@Colts'!H74+Eagles!H74+'@49ers'!H74</f>
        <v>0</v>
      </c>
    </row>
    <row r="75" spans="1:8" ht="12.75">
      <c r="A75" t="s">
        <v>106</v>
      </c>
      <c r="C75">
        <f>+'@Browns'!C75+Giants!C75+Rams!C75+'@Redskins'!C75+Saints!C75+'@Steelers'!C75+'@Eagles'!C75+Falcons!C75+'@Saints'!C75+Redskins!C75+Cardinals!C75+'@Colts'!C75+Eagles!C75+'@49ers'!C75</f>
        <v>15</v>
      </c>
      <c r="D75">
        <f>+'@Browns'!D75+Giants!D75+Rams!D75+'@Redskins'!D75+Saints!D75+'@Steelers'!D75+'@Eagles'!D75+Falcons!D75+'@Saints'!D75+Redskins!D75+Cardinals!D75+'@Colts'!D75+Eagles!D75+'@49ers'!D75</f>
        <v>62</v>
      </c>
      <c r="E75" s="12">
        <f t="shared" si="2"/>
        <v>4.133333333333334</v>
      </c>
      <c r="F75">
        <f>MAX(+'@Browns'!F75,Giants!F75,Rams!F75,'@Redskins'!F75,Saints!F75,'@Steelers'!F75,'@Eagles'!F75,Falcons!F75,'@Saints'!F75,Redskins!F75,Cardinals!F75,'@Colts'!F75,Eagles!F75,'@49ers'!F75)</f>
        <v>21</v>
      </c>
      <c r="G75">
        <f>+'@Browns'!G75+Giants!G75+Rams!G75+'@Redskins'!G75+Saints!G75+'@Steelers'!G75+'@Eagles'!G75+Falcons!G75+'@Saints'!G75+Redskins!G75+Cardinals!G75+'@Colts'!G75+Eagles!G75+'@49ers'!G75</f>
        <v>0</v>
      </c>
      <c r="H75">
        <f>+'@Browns'!H75+Giants!H75+Rams!H75+'@Redskins'!H75+Saints!H75+'@Steelers'!H75+'@Eagles'!H75+Falcons!H75+'@Saints'!H75+Redskins!H75+Cardinals!H75+'@Colts'!H75+Eagles!H75+'@49ers'!H75</f>
        <v>0</v>
      </c>
    </row>
    <row r="76" spans="1:8" ht="12.75">
      <c r="A76" t="s">
        <v>113</v>
      </c>
      <c r="C76">
        <f>+'@Browns'!C76+Giants!C76+Rams!C76+'@Redskins'!C76+Saints!C76+'@Steelers'!C76+'@Eagles'!C76+Falcons!C76+'@Saints'!C76+Redskins!C76+Cardinals!C76+'@Colts'!C76+Eagles!C76+'@49ers'!C76</f>
        <v>9</v>
      </c>
      <c r="D76">
        <f>+'@Browns'!D76+Giants!D76+Rams!D76+'@Redskins'!D76+Saints!D76+'@Steelers'!D76+'@Eagles'!D76+Falcons!D76+'@Saints'!D76+Redskins!D76+Cardinals!D76+'@Colts'!D76+Eagles!D76+'@49ers'!D76</f>
        <v>125</v>
      </c>
      <c r="E76" s="12">
        <f t="shared" si="2"/>
        <v>13.88888888888889</v>
      </c>
      <c r="F76">
        <f>MAX(+'@Browns'!F76,Giants!F76,Rams!F76,'@Redskins'!F76,Saints!F76,'@Steelers'!F76,'@Eagles'!F76,Falcons!F76,'@Saints'!F76,Redskins!F76,Cardinals!F76,'@Colts'!F76,Eagles!F76,'@49ers'!F76)</f>
        <v>27</v>
      </c>
      <c r="G76">
        <f>+'@Browns'!G76+Giants!G76+Rams!G76+'@Redskins'!G76+Saints!G76+'@Steelers'!G76+'@Eagles'!G76+Falcons!G76+'@Saints'!G76+Redskins!G76+Cardinals!G76+'@Colts'!G76+Eagles!G76+'@49ers'!G76</f>
        <v>1</v>
      </c>
      <c r="H76">
        <f>+'@Browns'!H76+Giants!H76+Rams!H76+'@Redskins'!H76+Saints!H76+'@Steelers'!H76+'@Eagles'!H76+Falcons!H76+'@Saints'!H76+Redskins!H76+Cardinals!H76+'@Colts'!H76+Eagles!H76+'@49ers'!H76</f>
        <v>1</v>
      </c>
    </row>
    <row r="77" spans="1:8" ht="12.75">
      <c r="A77" t="s">
        <v>114</v>
      </c>
      <c r="C77">
        <f>+'@Browns'!C77+Giants!C77+Rams!C77+'@Redskins'!C77+Saints!C77+'@Steelers'!C77+'@Eagles'!C77+Falcons!C77+'@Saints'!C77+Redskins!C77+Cardinals!C77+'@Colts'!C77+Eagles!C77+'@49ers'!C77</f>
        <v>4</v>
      </c>
      <c r="D77">
        <f>+'@Browns'!D77+Giants!D77+Rams!D77+'@Redskins'!D77+Saints!D77+'@Steelers'!D77+'@Eagles'!D77+Falcons!D77+'@Saints'!D77+Redskins!D77+Cardinals!D77+'@Colts'!D77+Eagles!D77+'@49ers'!D77</f>
        <v>47</v>
      </c>
      <c r="E77" s="12">
        <f t="shared" si="2"/>
        <v>11.75</v>
      </c>
      <c r="F77">
        <f>MAX(+'@Browns'!F77,Giants!F77,Rams!F77,'@Redskins'!F77,Saints!F77,'@Steelers'!F77,'@Eagles'!F77,Falcons!F77,'@Saints'!F77,Redskins!F77,Cardinals!F77,'@Colts'!F77,Eagles!F77,'@49ers'!F77)</f>
        <v>29</v>
      </c>
      <c r="G77">
        <f>+'@Browns'!G77+Giants!G77+Rams!G77+'@Redskins'!G77+Saints!G77+'@Steelers'!G77+'@Eagles'!G77+Falcons!G77+'@Saints'!G77+Redskins!G77+Cardinals!G77+'@Colts'!G77+Eagles!G77+'@49ers'!G77</f>
        <v>0</v>
      </c>
      <c r="H77">
        <f>+'@Browns'!H77+Giants!H77+Rams!H77+'@Redskins'!H77+Saints!H77+'@Steelers'!H77+'@Eagles'!H77+Falcons!H77+'@Saints'!H77+Redskins!H77+Cardinals!H77+'@Colts'!H77+Eagles!H77+'@49ers'!H77</f>
        <v>0</v>
      </c>
    </row>
    <row r="78" spans="1:8" ht="12.75">
      <c r="A78" t="s">
        <v>115</v>
      </c>
      <c r="C78">
        <f>+'@Browns'!C78+Giants!C78+Rams!C78+'@Redskins'!C78+Saints!C78+'@Steelers'!C78+'@Eagles'!C78+Falcons!C78+'@Saints'!C78+Redskins!C78+Cardinals!C78+'@Colts'!C78+Eagles!C78+'@49ers'!C78</f>
        <v>1</v>
      </c>
      <c r="D78">
        <f>+'@Browns'!D78+Giants!D78+Rams!D78+'@Redskins'!D78+Saints!D78+'@Steelers'!D78+'@Eagles'!D78+Falcons!D78+'@Saints'!D78+Redskins!D78+Cardinals!D78+'@Colts'!D78+Eagles!D78+'@49ers'!D78</f>
        <v>0</v>
      </c>
      <c r="E78" s="12">
        <f t="shared" si="2"/>
        <v>0</v>
      </c>
      <c r="F78">
        <f>MAX(+'@Browns'!F78,Giants!F78,Rams!F78,'@Redskins'!F78,Saints!F78,'@Steelers'!F78,'@Eagles'!F78,Falcons!F78,'@Saints'!F78,Redskins!F78,Cardinals!F78,'@Colts'!F78,Eagles!F78,'@49ers'!F78)</f>
        <v>0</v>
      </c>
      <c r="G78">
        <f>+'@Browns'!G78+Giants!G78+Rams!G78+'@Redskins'!G78+Saints!G78+'@Steelers'!G78+'@Eagles'!G78+Falcons!G78+'@Saints'!G78+Redskins!G78+Cardinals!G78+'@Colts'!G78+Eagles!G78+'@49ers'!G78</f>
        <v>0</v>
      </c>
      <c r="H78">
        <f>+'@Browns'!H78+Giants!H78+Rams!H78+'@Redskins'!H78+Saints!H78+'@Steelers'!H78+'@Eagles'!H78+Falcons!H78+'@Saints'!H78+Redskins!H78+Cardinals!H78+'@Colts'!H78+Eagles!H78+'@49ers'!H78</f>
        <v>0</v>
      </c>
    </row>
    <row r="79" spans="1:8" ht="12.75">
      <c r="A79" t="s">
        <v>107</v>
      </c>
      <c r="C79">
        <f>+'@Browns'!C79+Giants!C79+Rams!C79+'@Redskins'!C79+Saints!C79+'@Steelers'!C79+'@Eagles'!C79+Falcons!C79+'@Saints'!C79+Redskins!C79+Cardinals!C79+'@Colts'!C79+Eagles!C79+'@49ers'!C79</f>
        <v>1</v>
      </c>
      <c r="D79">
        <f>+'@Browns'!D79+Giants!D79+Rams!D79+'@Redskins'!D79+Saints!D79+'@Steelers'!D79+'@Eagles'!D79+Falcons!D79+'@Saints'!D79+Redskins!D79+Cardinals!D79+'@Colts'!D79+Eagles!D79+'@49ers'!D79</f>
        <v>0</v>
      </c>
      <c r="E79" s="12">
        <f t="shared" si="2"/>
        <v>0</v>
      </c>
      <c r="F79">
        <f>MAX(+'@Browns'!F79,Giants!F79,Rams!F79,'@Redskins'!F79,Saints!F79,'@Steelers'!F79,'@Eagles'!F79,Falcons!F79,'@Saints'!F79,Redskins!F79,Cardinals!F79,'@Colts'!F79,Eagles!F79,'@49ers'!F79)</f>
        <v>0</v>
      </c>
      <c r="G79">
        <f>+'@Browns'!G79+Giants!G79+Rams!G79+'@Redskins'!G79+Saints!G79+'@Steelers'!G79+'@Eagles'!G79+Falcons!G79+'@Saints'!G79+Redskins!G79+Cardinals!G79+'@Colts'!G79+Eagles!G79+'@49ers'!G79</f>
        <v>0</v>
      </c>
      <c r="H79">
        <f>+'@Browns'!H79+Giants!H79+Rams!H79+'@Redskins'!H79+Saints!H79+'@Steelers'!H79+'@Eagles'!H79+Falcons!H79+'@Saints'!H79+Redskins!H79+Cardinals!H79+'@Colts'!H79+Eagles!H79+'@49ers'!H79</f>
        <v>0</v>
      </c>
    </row>
    <row r="80" spans="1:8" ht="12.75">
      <c r="A80" t="s">
        <v>116</v>
      </c>
      <c r="C80">
        <f>+'@Browns'!C80+Giants!C80+Rams!C80+'@Redskins'!C80+Saints!C80+'@Steelers'!C80+'@Eagles'!C80+Falcons!C80+'@Saints'!C80+Redskins!C80+Cardinals!C80+'@Colts'!C80+Eagles!C80+'@49ers'!C80</f>
        <v>0</v>
      </c>
      <c r="D80">
        <f>+'@Browns'!D80+Giants!D80+Rams!D80+'@Redskins'!D80+Saints!D80+'@Steelers'!D80+'@Eagles'!D80+Falcons!D80+'@Saints'!D80+Redskins!D80+Cardinals!D80+'@Colts'!D80+Eagles!D80+'@49ers'!D80</f>
        <v>0</v>
      </c>
      <c r="E80" s="12" t="e">
        <f t="shared" si="2"/>
        <v>#DIV/0!</v>
      </c>
      <c r="F80">
        <f>MAX(+'@Browns'!F80,Giants!F80,Rams!F80,'@Redskins'!F80,Saints!F80,'@Steelers'!F80,'@Eagles'!F80,Falcons!F80,'@Saints'!F80,Redskins!F80,Cardinals!F80,'@Colts'!F80,Eagles!F80,'@49ers'!F80)</f>
        <v>0</v>
      </c>
      <c r="G80">
        <f>+'@Browns'!G80+Giants!G80+Rams!G80+'@Redskins'!G80+Saints!G80+'@Steelers'!G80+'@Eagles'!G80+Falcons!G80+'@Saints'!G80+Redskins!G80+Cardinals!G80+'@Colts'!G80+Eagles!G80+'@49ers'!G80</f>
        <v>0</v>
      </c>
      <c r="H80">
        <f>+'@Browns'!H80+Giants!H80+Rams!H80+'@Redskins'!H80+Saints!H80+'@Steelers'!H80+'@Eagles'!H80+Falcons!H80+'@Saints'!H80+Redskins!H80+Cardinals!H80+'@Colts'!H80+Eagles!H80+'@49ers'!H80</f>
        <v>0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f>+'@Browns'!C83+Giants!C83+Rams!C83+'@Redskins'!C83+Saints!C83+'@Steelers'!C83+'@Eagles'!C83+Falcons!C83+'@Saints'!C83+Redskins!C83+Cardinals!C83+'@Colts'!C83+Eagles!C83+'@49ers'!C83</f>
        <v>68</v>
      </c>
      <c r="D83">
        <f>+'@Browns'!D83+Giants!D83+Rams!D83+'@Redskins'!D83+Saints!D83+'@Steelers'!D83+'@Eagles'!D83+Falcons!D83+'@Saints'!D83+Redskins!D83+Cardinals!D83+'@Colts'!D83+Eagles!D83+'@49ers'!D83</f>
        <v>1015</v>
      </c>
      <c r="E83" s="12">
        <f>D83/C83</f>
        <v>14.926470588235293</v>
      </c>
      <c r="F83">
        <f>MAX(+'@Browns'!F83,Giants!F83,Rams!F83,'@Redskins'!F83,Saints!F83,'@Steelers'!F83,'@Eagles'!F83,Falcons!F83,'@Saints'!F83,Redskins!F83,Cardinals!F83,'@Colts'!F83,Eagles!F83,'@49ers'!F83)</f>
        <v>74</v>
      </c>
      <c r="G83">
        <f>+'@Browns'!G83+Giants!G83+Rams!G83+'@Redskins'!G83+Saints!G83+'@Steelers'!G83+'@Eagles'!G83+Falcons!G83+'@Saints'!G83+Redskins!G83+Cardinals!G83+'@Colts'!G83+Eagles!G83+'@49ers'!G83</f>
        <v>6</v>
      </c>
      <c r="H83">
        <f>+'@Browns'!H83+Giants!H83+Rams!H83+'@Redskins'!H83+Saints!H83+'@Steelers'!H83+'@Eagles'!H83+Falcons!H83+'@Saints'!H83+Redskins!H83+Cardinals!H83+'@Colts'!H83+Eagles!H83+'@49ers'!H83</f>
        <v>3</v>
      </c>
    </row>
    <row r="84" spans="1:8" ht="12.75">
      <c r="A84" t="s">
        <v>118</v>
      </c>
      <c r="C84">
        <f>+'@Browns'!C84+Giants!C84+Rams!C84+'@Redskins'!C84+Saints!C84+'@Steelers'!C84+'@Eagles'!C84+Falcons!C84+'@Saints'!C84+Redskins!C84+Cardinals!C84+'@Colts'!C84+Eagles!C84+'@49ers'!C84</f>
        <v>57</v>
      </c>
      <c r="D84">
        <f>+'@Browns'!D84+Giants!D84+Rams!D84+'@Redskins'!D84+Saints!D84+'@Steelers'!D84+'@Eagles'!D84+Falcons!D84+'@Saints'!D84+Redskins!D84+Cardinals!D84+'@Colts'!D84+Eagles!D84+'@49ers'!D84</f>
        <v>1121</v>
      </c>
      <c r="E84" s="12">
        <f aca="true" t="shared" si="3" ref="E84:E92">D84/C84</f>
        <v>19.666666666666668</v>
      </c>
      <c r="F84">
        <f>MAX(+'@Browns'!F84,Giants!F84,Rams!F84,'@Redskins'!F84,Saints!F84,'@Steelers'!F84,'@Eagles'!F84,Falcons!F84,'@Saints'!F84,Redskins!F84,Cardinals!F84,'@Colts'!F84,Eagles!F84,'@49ers'!F84)</f>
        <v>52</v>
      </c>
      <c r="G84">
        <f>+'@Browns'!G84+Giants!G84+Rams!G84+'@Redskins'!G84+Saints!G84+'@Steelers'!G84+'@Eagles'!G84+Falcons!G84+'@Saints'!G84+Redskins!G84+Cardinals!G84+'@Colts'!G84+Eagles!G84+'@49ers'!G84</f>
        <v>11</v>
      </c>
      <c r="H84">
        <f>+'@Browns'!H84+Giants!H84+Rams!H84+'@Redskins'!H84+Saints!H84+'@Steelers'!H84+'@Eagles'!H84+Falcons!H84+'@Saints'!H84+Redskins!H84+Cardinals!H84+'@Colts'!H84+Eagles!H84+'@49ers'!H84</f>
        <v>2</v>
      </c>
    </row>
    <row r="85" spans="1:8" ht="12.75">
      <c r="A85" t="s">
        <v>108</v>
      </c>
      <c r="C85">
        <f>+'@Browns'!C85+Giants!C85+Rams!C85+'@Redskins'!C85+Saints!C85+'@Steelers'!C85+'@Eagles'!C85+Falcons!C85+'@Saints'!C85+Redskins!C85+Cardinals!C85+'@Colts'!C85+Eagles!C85+'@49ers'!C85</f>
        <v>39</v>
      </c>
      <c r="D85">
        <f>+'@Browns'!D85+Giants!D85+Rams!D85+'@Redskins'!D85+Saints!D85+'@Steelers'!D85+'@Eagles'!D85+Falcons!D85+'@Saints'!D85+Redskins!D85+Cardinals!D85+'@Colts'!D85+Eagles!D85+'@49ers'!D85</f>
        <v>491</v>
      </c>
      <c r="E85" s="12">
        <f t="shared" si="3"/>
        <v>12.58974358974359</v>
      </c>
      <c r="F85">
        <f>MAX(+'@Browns'!F85,Giants!F85,Rams!F85,'@Redskins'!F85,Saints!F85,'@Steelers'!F85,'@Eagles'!F85,Falcons!F85,'@Saints'!F85,Redskins!F85,Cardinals!F85,'@Colts'!F85,Eagles!F85,'@49ers'!F85)</f>
        <v>50</v>
      </c>
      <c r="G85">
        <f>+'@Browns'!G85+Giants!G85+Rams!G85+'@Redskins'!G85+Saints!G85+'@Steelers'!G85+'@Eagles'!G85+Falcons!G85+'@Saints'!G85+Redskins!G85+Cardinals!G85+'@Colts'!G85+Eagles!G85+'@49ers'!G85</f>
        <v>2</v>
      </c>
      <c r="H85">
        <f>+'@Browns'!H85+Giants!H85+Rams!H85+'@Redskins'!H85+Saints!H85+'@Steelers'!H85+'@Eagles'!H85+Falcons!H85+'@Saints'!H85+Redskins!H85+Cardinals!H85+'@Colts'!H85+Eagles!H85+'@49ers'!H85</f>
        <v>0</v>
      </c>
    </row>
    <row r="86" spans="1:8" ht="12.75">
      <c r="A86" t="s">
        <v>113</v>
      </c>
      <c r="C86">
        <f>+'@Browns'!C86+Giants!C86+Rams!C86+'@Redskins'!C86+Saints!C86+'@Steelers'!C86+'@Eagles'!C86+Falcons!C86+'@Saints'!C86+Redskins!C86+Cardinals!C86+'@Colts'!C86+Eagles!C86+'@49ers'!C86</f>
        <v>19</v>
      </c>
      <c r="D86">
        <f>+'@Browns'!D86+Giants!D86+Rams!D86+'@Redskins'!D86+Saints!D86+'@Steelers'!D86+'@Eagles'!D86+Falcons!D86+'@Saints'!D86+Redskins!D86+Cardinals!D86+'@Colts'!D86+Eagles!D86+'@49ers'!D86</f>
        <v>260</v>
      </c>
      <c r="E86" s="12">
        <f t="shared" si="3"/>
        <v>13.68421052631579</v>
      </c>
      <c r="F86">
        <f>MAX(+'@Browns'!F86,Giants!F86,Rams!F86,'@Redskins'!F86,Saints!F86,'@Steelers'!F86,'@Eagles'!F86,Falcons!F86,'@Saints'!F86,Redskins!F86,Cardinals!F86,'@Colts'!F86,Eagles!F86,'@49ers'!F86)</f>
        <v>63</v>
      </c>
      <c r="G86">
        <f>+'@Browns'!G86+Giants!G86+Rams!G86+'@Redskins'!G86+Saints!G86+'@Steelers'!G86+'@Eagles'!G86+Falcons!G86+'@Saints'!G86+Redskins!G86+Cardinals!G86+'@Colts'!G86+Eagles!G86+'@49ers'!G86</f>
        <v>3</v>
      </c>
      <c r="H86">
        <f>+'@Browns'!H86+Giants!H86+Rams!H86+'@Redskins'!H86+Saints!H86+'@Steelers'!H86+'@Eagles'!H86+Falcons!H86+'@Saints'!H86+Redskins!H86+Cardinals!H86+'@Colts'!H86+Eagles!H86+'@49ers'!H86</f>
        <v>0</v>
      </c>
    </row>
    <row r="87" spans="1:8" ht="12.75">
      <c r="A87" t="s">
        <v>109</v>
      </c>
      <c r="C87">
        <f>+'@Browns'!C87+Giants!C87+Rams!C87+'@Redskins'!C87+Saints!C87+'@Steelers'!C87+'@Eagles'!C87+Falcons!C87+'@Saints'!C87+Redskins!C87+Cardinals!C87+'@Colts'!C87+Eagles!C87+'@49ers'!C87</f>
        <v>14</v>
      </c>
      <c r="D87">
        <f>+'@Browns'!D87+Giants!D87+Rams!D87+'@Redskins'!D87+Saints!D87+'@Steelers'!D87+'@Eagles'!D87+Falcons!D87+'@Saints'!D87+Redskins!D87+Cardinals!D87+'@Colts'!D87+Eagles!D87+'@49ers'!D87</f>
        <v>122</v>
      </c>
      <c r="E87" s="12">
        <f t="shared" si="3"/>
        <v>8.714285714285714</v>
      </c>
      <c r="F87">
        <f>MAX(+'@Browns'!F87,Giants!F87,Rams!F87,'@Redskins'!F87,Saints!F87,'@Steelers'!F87,'@Eagles'!F87,Falcons!F87,'@Saints'!F87,Redskins!F87,Cardinals!F87,'@Colts'!F87,Eagles!F87,'@49ers'!F87)</f>
        <v>45</v>
      </c>
      <c r="G87">
        <f>+'@Browns'!G87+Giants!G87+Rams!G87+'@Redskins'!G87+Saints!G87+'@Steelers'!G87+'@Eagles'!G87+Falcons!G87+'@Saints'!G87+Redskins!G87+Cardinals!G87+'@Colts'!G87+Eagles!G87+'@49ers'!G87</f>
        <v>1</v>
      </c>
      <c r="H87">
        <f>+'@Browns'!H87+Giants!H87+Rams!H87+'@Redskins'!H87+Saints!H87+'@Steelers'!H87+'@Eagles'!H87+Falcons!H87+'@Saints'!H87+Redskins!H87+Cardinals!H87+'@Colts'!H87+Eagles!H87+'@49ers'!H87</f>
        <v>1</v>
      </c>
    </row>
    <row r="88" spans="1:8" ht="12.75">
      <c r="A88" t="s">
        <v>114</v>
      </c>
      <c r="C88">
        <f>+'@Browns'!C88+Giants!C88+Rams!C88+'@Redskins'!C88+Saints!C88+'@Steelers'!C88+'@Eagles'!C88+Falcons!C88+'@Saints'!C88+Redskins!C88+Cardinals!C88+'@Colts'!C88+Eagles!C88+'@49ers'!C88</f>
        <v>5</v>
      </c>
      <c r="D88">
        <f>+'@Browns'!D88+Giants!D88+Rams!D88+'@Redskins'!D88+Saints!D88+'@Steelers'!D88+'@Eagles'!D88+Falcons!D88+'@Saints'!D88+Redskins!D88+Cardinals!D88+'@Colts'!D88+Eagles!D88+'@49ers'!D88</f>
        <v>76</v>
      </c>
      <c r="E88" s="12">
        <f t="shared" si="3"/>
        <v>15.2</v>
      </c>
      <c r="F88">
        <f>MAX(+'@Browns'!F88,Giants!F88,Rams!F88,'@Redskins'!F88,Saints!F88,'@Steelers'!F88,'@Eagles'!F88,Falcons!F88,'@Saints'!F88,Redskins!F88,Cardinals!F88,'@Colts'!F88,Eagles!F88,'@49ers'!F88)</f>
        <v>25</v>
      </c>
      <c r="G88">
        <f>+'@Browns'!G88+Giants!G88+Rams!G88+'@Redskins'!G88+Saints!G88+'@Steelers'!G88+'@Eagles'!G88+Falcons!G88+'@Saints'!G88+Redskins!G88+Cardinals!G88+'@Colts'!G88+Eagles!G88+'@49ers'!G88</f>
        <v>19</v>
      </c>
      <c r="H88">
        <f>+'@Browns'!H88+Giants!H88+Rams!H88+'@Redskins'!H88+Saints!H88+'@Steelers'!H88+'@Eagles'!H88+Falcons!H88+'@Saints'!H88+Redskins!H88+Cardinals!H88+'@Colts'!H88+Eagles!H88+'@49ers'!H88</f>
        <v>0</v>
      </c>
    </row>
    <row r="89" spans="1:8" ht="12.75">
      <c r="A89" t="s">
        <v>119</v>
      </c>
      <c r="C89">
        <f>+'@Browns'!C89+Giants!C89+Rams!C89+'@Redskins'!C89+Saints!C89+'@Steelers'!C89+'@Eagles'!C89+Falcons!C89+'@Saints'!C89+Redskins!C89+Cardinals!C89+'@Colts'!C89+Eagles!C89+'@49ers'!C89</f>
        <v>9</v>
      </c>
      <c r="D89">
        <f>+'@Browns'!D89+Giants!D89+Rams!D89+'@Redskins'!D89+Saints!D89+'@Steelers'!D89+'@Eagles'!D89+Falcons!D89+'@Saints'!D89+Redskins!D89+Cardinals!D89+'@Colts'!D89+Eagles!D89+'@49ers'!D89</f>
        <v>45</v>
      </c>
      <c r="E89" s="12">
        <f t="shared" si="3"/>
        <v>5</v>
      </c>
      <c r="F89">
        <f>MAX(+'@Browns'!F89,Giants!F89,Rams!F89,'@Redskins'!F89,Saints!F89,'@Steelers'!F89,'@Eagles'!F89,Falcons!F89,'@Saints'!F89,Redskins!F89,Cardinals!F89,'@Colts'!F89,Eagles!F89,'@49ers'!F89)</f>
        <v>13</v>
      </c>
      <c r="G89">
        <f>+'@Browns'!G89+Giants!G89+Rams!G89+'@Redskins'!G89+Saints!G89+'@Steelers'!G89+'@Eagles'!G89+Falcons!G89+'@Saints'!G89+Redskins!G89+Cardinals!G89+'@Colts'!G89+Eagles!G89+'@49ers'!G89</f>
        <v>0</v>
      </c>
      <c r="H89">
        <f>+'@Browns'!H89+Giants!H89+Rams!H89+'@Redskins'!H89+Saints!H89+'@Steelers'!H89+'@Eagles'!H89+Falcons!H89+'@Saints'!H89+Redskins!H89+Cardinals!H89+'@Colts'!H89+Eagles!H89+'@49ers'!H89</f>
        <v>0</v>
      </c>
    </row>
    <row r="90" spans="1:8" ht="12.75">
      <c r="A90" t="s">
        <v>112</v>
      </c>
      <c r="C90">
        <f>+'@Browns'!C90+Giants!C90+Rams!C90+'@Redskins'!C90+Saints!C90+'@Steelers'!C90+'@Eagles'!C90+Falcons!C90+'@Saints'!C90+Redskins!C90+Cardinals!C90+'@Colts'!C90+Eagles!C90+'@49ers'!C90</f>
        <v>4</v>
      </c>
      <c r="D90">
        <f>+'@Browns'!D90+Giants!D90+Rams!D90+'@Redskins'!D90+Saints!D90+'@Steelers'!D90+'@Eagles'!D90+Falcons!D90+'@Saints'!D90+Redskins!D90+Cardinals!D90+'@Colts'!D90+Eagles!D90+'@49ers'!D90</f>
        <v>44</v>
      </c>
      <c r="E90" s="12">
        <f t="shared" si="3"/>
        <v>11</v>
      </c>
      <c r="F90">
        <f>MAX(+'@Browns'!F90,Giants!F90,Rams!F90,'@Redskins'!F90,Saints!F90,'@Steelers'!F90,'@Eagles'!F90,Falcons!F90,'@Saints'!F90,Redskins!F90,Cardinals!F90,'@Colts'!F90,Eagles!F90,'@49ers'!F90)</f>
        <v>18</v>
      </c>
      <c r="G90">
        <f>+'@Browns'!G90+Giants!G90+Rams!G90+'@Redskins'!G90+Saints!G90+'@Steelers'!G90+'@Eagles'!G90+Falcons!G90+'@Saints'!G90+Redskins!G90+Cardinals!G90+'@Colts'!G90+Eagles!G90+'@49ers'!G90</f>
        <v>1</v>
      </c>
      <c r="H90">
        <f>+'@Browns'!H90+Giants!H90+Rams!H90+'@Redskins'!H90+Saints!H90+'@Steelers'!H90+'@Eagles'!H90+Falcons!H90+'@Saints'!H90+Redskins!H90+Cardinals!H90+'@Colts'!H90+Eagles!H90+'@49ers'!H90</f>
        <v>0</v>
      </c>
    </row>
    <row r="91" spans="1:8" ht="12.75">
      <c r="A91" t="s">
        <v>115</v>
      </c>
      <c r="C91">
        <f>+'@Browns'!C91+Giants!C91+Rams!C91+'@Redskins'!C91+Saints!C91+'@Steelers'!C91+'@Eagles'!C91+Falcons!C91+'@Saints'!C91+Redskins!C91+Cardinals!C91+'@Colts'!C91+Eagles!C91+'@49ers'!C91</f>
        <v>4</v>
      </c>
      <c r="D91">
        <f>+'@Browns'!D91+Giants!D91+Rams!D91+'@Redskins'!D91+Saints!D91+'@Steelers'!D91+'@Eagles'!D91+Falcons!D91+'@Saints'!D91+Redskins!D91+Cardinals!D91+'@Colts'!D91+Eagles!D91+'@49ers'!D91</f>
        <v>28</v>
      </c>
      <c r="E91" s="12">
        <f t="shared" si="3"/>
        <v>7</v>
      </c>
      <c r="F91">
        <f>MAX(+'@Browns'!F91,Giants!F91,Rams!F91,'@Redskins'!F91,Saints!F91,'@Steelers'!F91,'@Eagles'!F91,Falcons!F91,'@Saints'!F91,Redskins!F91,Cardinals!F91,'@Colts'!F91,Eagles!F91,'@49ers'!F91)</f>
        <v>18</v>
      </c>
      <c r="G91">
        <f>+'@Browns'!G91+Giants!G91+Rams!G91+'@Redskins'!G91+Saints!G91+'@Steelers'!G91+'@Eagles'!G91+Falcons!G91+'@Saints'!G91+Redskins!G91+Cardinals!G91+'@Colts'!G91+Eagles!G91+'@49ers'!G91</f>
        <v>0</v>
      </c>
      <c r="H91">
        <f>+'@Browns'!H91+Giants!H91+Rams!H91+'@Redskins'!H91+Saints!H91+'@Steelers'!H91+'@Eagles'!H91+Falcons!H91+'@Saints'!H91+Redskins!H91+Cardinals!H91+'@Colts'!H91+Eagles!H91+'@49ers'!H91</f>
        <v>0</v>
      </c>
    </row>
    <row r="92" spans="1:8" ht="12.75">
      <c r="A92" t="s">
        <v>111</v>
      </c>
      <c r="C92">
        <f>+'@Browns'!C92+Giants!C92+Rams!C92+'@Redskins'!C92+Saints!C92+'@Steelers'!C92+'@Eagles'!C92+Falcons!C92+'@Saints'!C92+Redskins!C92+Cardinals!C92+'@Colts'!C92+Eagles!C92+'@49ers'!C92</f>
        <v>0</v>
      </c>
      <c r="D92">
        <f>+'@Browns'!D92+Giants!D92+Rams!D92+'@Redskins'!D92+Saints!D92+'@Steelers'!D92+'@Eagles'!D92+Falcons!D92+'@Saints'!D92+Redskins!D92+Cardinals!D92+'@Colts'!D92+Eagles!D92+'@49ers'!D92</f>
        <v>0</v>
      </c>
      <c r="E92" s="12" t="e">
        <f t="shared" si="3"/>
        <v>#DIV/0!</v>
      </c>
      <c r="F92">
        <f>MAX(+'@Browns'!F92,Giants!F92,Rams!F92,'@Redskins'!F92,Saints!F92,'@Steelers'!F92,'@Eagles'!F92,Falcons!F92,'@Saints'!F92,Redskins!F92,Cardinals!F92,'@Colts'!F92,Eagles!F92,'@49ers'!F92)</f>
        <v>0</v>
      </c>
      <c r="G92">
        <f>+'@Browns'!G92+Giants!G92+Rams!G92+'@Redskins'!G92+Saints!G92+'@Steelers'!G92+'@Eagles'!G92+Falcons!G92+'@Saints'!G92+Redskins!G92+Cardinals!G92+'@Colts'!G92+Eagles!G92+'@49ers'!G92</f>
        <v>0</v>
      </c>
      <c r="H92">
        <f>+'@Browns'!H92+Giants!H92+Rams!H92+'@Redskins'!H92+Saints!H92+'@Steelers'!H92+'@Eagles'!H92+Falcons!H92+'@Saints'!H92+Redskins!H92+Cardinals!H92+'@Colts'!H92+Eagles!H92+'@49ers'!H92</f>
        <v>0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f>+'@Browns'!C96+Giants!C96+Rams!C96+'@Redskins'!C96+Saints!C96+'@Steelers'!C96+'@Eagles'!C96+Falcons!C96+'@Saints'!C96+Redskins!C96+Cardinals!C96+'@Colts'!C96+Eagles!C96+'@49ers'!C96</f>
        <v>264</v>
      </c>
      <c r="D96">
        <f>+'@Browns'!D96+Giants!D96+Rams!D96+'@Redskins'!D96+Saints!D96+'@Steelers'!D96+'@Eagles'!D96+Falcons!D96+'@Saints'!D96+Redskins!D96+Cardinals!D96+'@Colts'!D96+Eagles!D96+'@49ers'!D96</f>
        <v>145</v>
      </c>
      <c r="E96" s="12">
        <f>+D96/C96*100</f>
        <v>54.92424242424242</v>
      </c>
      <c r="F96">
        <f>+'@Browns'!F96+Giants!F96+Rams!F96+'@Redskins'!F96+Saints!F96+'@Steelers'!F96+'@Eagles'!F96+Falcons!F96+'@Saints'!F96+Redskins!F96+Cardinals!F96+'@Colts'!F96+Eagles!F96+'@49ers'!F96</f>
        <v>2112</v>
      </c>
      <c r="G96">
        <f>+'@Browns'!G96+Giants!G96+Rams!G96+'@Redskins'!G96+Saints!G96+'@Steelers'!G96+'@Eagles'!G96+Falcons!G96+'@Saints'!G96+Redskins!G96+Cardinals!G96+'@Colts'!G96+Eagles!G96+'@49ers'!G96</f>
        <v>14</v>
      </c>
      <c r="H96">
        <f>MAX(+'@Browns'!H96,Giants!H96,Rams!H96,'@Redskins'!H96,Saints!H96,'@Steelers'!H96,'@Eagles'!H96,Falcons!H96,'@Saints'!H96,Redskins!H96,Cardinals!H96,'@Colts'!H96,Eagles!H96,'@49ers'!H96)</f>
        <v>74</v>
      </c>
      <c r="I96">
        <f>+'@Browns'!I96+Giants!I96+Rams!I96+'@Redskins'!I96+Saints!I96+'@Steelers'!I96+'@Eagles'!I96+Falcons!I96+'@Saints'!I96+Redskins!I96+Cardinals!I96+'@Colts'!I96+Eagles!I96+'@49ers'!I96</f>
        <v>15</v>
      </c>
      <c r="J96" s="8">
        <f>+G96/C96*100</f>
        <v>5.303030303030303</v>
      </c>
      <c r="K96" s="12">
        <f>+I96/C96*100</f>
        <v>5.681818181818182</v>
      </c>
      <c r="L96" s="12">
        <f>+F96/C96</f>
        <v>8</v>
      </c>
      <c r="M96" s="12">
        <f>100*(S96+U96+W96+Y96)/6</f>
        <v>75.18939393939395</v>
      </c>
      <c r="N96">
        <f>'@Browns'!N96+Giants!N96+Rams!N96+'@Redskins'!N96+Saints!N96+'@Steelers'!N96+'@Eagles'!N96+Falcons!N96+'@Saints'!N96+Redskins!N96+Cardinals!N96+'@Colts'!N96+Eagles!N96+'@49ers'!N96</f>
        <v>1</v>
      </c>
      <c r="R96">
        <f>+(E96-30)/20</f>
        <v>1.246212121212121</v>
      </c>
      <c r="S96" s="2">
        <f>IF(R96&lt;0,0,R96)</f>
        <v>1.246212121212121</v>
      </c>
      <c r="T96" s="6">
        <f>+(L96-3)/4</f>
        <v>1.25</v>
      </c>
      <c r="U96" s="2">
        <f>IF(T96&lt;0,0,T96)</f>
        <v>1.25</v>
      </c>
      <c r="V96">
        <f>+J96/5</f>
        <v>1.0606060606060606</v>
      </c>
      <c r="W96" s="2">
        <f>IF(V96&lt;0,0,V96)</f>
        <v>1.0606060606060606</v>
      </c>
      <c r="X96">
        <f>(9.5-K96)/4</f>
        <v>0.9545454545454546</v>
      </c>
      <c r="Y96" s="2">
        <f>IF(X96&lt;0,0,X96)</f>
        <v>0.9545454545454546</v>
      </c>
    </row>
    <row r="97" spans="1:25" ht="12.75">
      <c r="A97" t="s">
        <v>106</v>
      </c>
      <c r="C97">
        <f>+'@Browns'!C97+Giants!C97+Rams!C97+'@Redskins'!C97+Saints!C97+'@Steelers'!C97+'@Eagles'!C97+Falcons!C97+'@Saints'!C97+Redskins!C97+Cardinals!C97+'@Colts'!C97+Eagles!C97+'@49ers'!C97</f>
        <v>118</v>
      </c>
      <c r="D97">
        <f>+'@Browns'!D97+Giants!D97+Rams!D97+'@Redskins'!D97+Saints!D97+'@Steelers'!D97+'@Eagles'!D97+Falcons!D97+'@Saints'!D97+Redskins!D97+Cardinals!D97+'@Colts'!D97+Eagles!D97+'@49ers'!D97</f>
        <v>66</v>
      </c>
      <c r="E97" s="12">
        <f>+D97/C97*100</f>
        <v>55.932203389830505</v>
      </c>
      <c r="F97">
        <f>+'@Browns'!F97+Giants!F97+Rams!F97+'@Redskins'!F97+Saints!F97+'@Steelers'!F97+'@Eagles'!F97+Falcons!F97+'@Saints'!F97+Redskins!F97+Cardinals!F97+'@Colts'!F97+Eagles!F97+'@49ers'!F97</f>
        <v>933</v>
      </c>
      <c r="G97">
        <f>+'@Browns'!G97+Giants!G97+Rams!G97+'@Redskins'!G97+Saints!G97+'@Steelers'!G97+'@Eagles'!G97+Falcons!G97+'@Saints'!G97+Redskins!G97+Cardinals!G97+'@Colts'!G97+Eagles!G97+'@49ers'!G97</f>
        <v>8</v>
      </c>
      <c r="H97">
        <f>MAX(+'@Browns'!H97,Giants!H97,Rams!H97,'@Redskins'!H97,Saints!H97,'@Steelers'!H97,'@Eagles'!H97,Falcons!H97,'@Saints'!H97,Redskins!H97,Cardinals!H97,'@Colts'!H97,Eagles!H97,'@49ers'!H97)</f>
        <v>39</v>
      </c>
      <c r="I97">
        <f>+'@Browns'!I97+Giants!I97+Rams!I97+'@Redskins'!I97+Saints!I97+'@Steelers'!I97+'@Eagles'!I97+Falcons!I97+'@Saints'!I97+Redskins!I97+Cardinals!I97+'@Colts'!I97+Eagles!I97+'@49ers'!I97</f>
        <v>6</v>
      </c>
      <c r="J97" s="8">
        <f>+G97/C97*100</f>
        <v>6.779661016949152</v>
      </c>
      <c r="K97" s="12">
        <f>+I97/C97*100</f>
        <v>5.084745762711865</v>
      </c>
      <c r="L97" s="12">
        <f>+F97/C97</f>
        <v>7.906779661016949</v>
      </c>
      <c r="M97" s="12">
        <f>100*(S97+U97+W97+Y97)/6</f>
        <v>83.05084745762711</v>
      </c>
      <c r="N97">
        <f>'@Browns'!N97+Giants!N97+Rams!N97+'@Redskins'!N97+Saints!N97+'@Steelers'!N97+'@Eagles'!N97+Falcons!N97+'@Saints'!N97+Redskins!N97+Cardinals!N97+'@Colts'!N97+Eagles!N97+'@49ers'!N97</f>
        <v>1</v>
      </c>
      <c r="R97">
        <f>+(E97-30)/20</f>
        <v>1.2966101694915253</v>
      </c>
      <c r="S97" s="2">
        <f>IF(R97&lt;0,0,R97)</f>
        <v>1.2966101694915253</v>
      </c>
      <c r="T97" s="6">
        <f>+(L97-3)/4</f>
        <v>1.2266949152542372</v>
      </c>
      <c r="U97" s="2">
        <f>IF(T97&lt;0,0,T97)</f>
        <v>1.2266949152542372</v>
      </c>
      <c r="V97">
        <f>+J97/5</f>
        <v>1.3559322033898304</v>
      </c>
      <c r="W97" s="2">
        <f>IF(V97&lt;0,0,V97)</f>
        <v>1.3559322033898304</v>
      </c>
      <c r="X97">
        <f>(9.5-K97)/4</f>
        <v>1.1038135593220337</v>
      </c>
      <c r="Y97" s="2">
        <f>IF(X97&lt;0,0,X97)</f>
        <v>1.1038135593220337</v>
      </c>
    </row>
    <row r="98" spans="1:25" ht="12.75">
      <c r="A98" t="s">
        <v>107</v>
      </c>
      <c r="C98">
        <f>+'@Browns'!C98+Giants!C98+Rams!C98+'@Redskins'!C98+Saints!C98+'@Steelers'!C98+'@Eagles'!C98+Falcons!C98+'@Saints'!C98+Redskins!C98+Cardinals!C98+'@Colts'!C98+Eagles!C98+'@49ers'!C98</f>
        <v>11</v>
      </c>
      <c r="D98">
        <f>+'@Browns'!D98+Giants!D98+Rams!D98+'@Redskins'!D98+Saints!D98+'@Steelers'!D98+'@Eagles'!D98+Falcons!D98+'@Saints'!D98+Redskins!D98+Cardinals!D98+'@Colts'!D98+Eagles!D98+'@49ers'!D98</f>
        <v>6</v>
      </c>
      <c r="E98" s="12">
        <f>+D98/C98*100</f>
        <v>54.54545454545454</v>
      </c>
      <c r="F98">
        <f>+'@Browns'!F98+Giants!F98+Rams!F98+'@Redskins'!F98+Saints!F98+'@Steelers'!F98+'@Eagles'!F98+Falcons!F98+'@Saints'!F98+Redskins!F98+Cardinals!F98+'@Colts'!F98+Eagles!F98+'@49ers'!F98</f>
        <v>68</v>
      </c>
      <c r="G98">
        <f>+'@Browns'!G98+Giants!G98+Rams!G98+'@Redskins'!G98+Saints!G98+'@Steelers'!G98+'@Eagles'!G98+Falcons!G98+'@Saints'!G98+Redskins!G98+Cardinals!G98+'@Colts'!G98+Eagles!G98+'@49ers'!G98</f>
        <v>0</v>
      </c>
      <c r="H98">
        <f>MAX(+'@Browns'!H98,Giants!H98,Rams!H98,'@Redskins'!H98,Saints!H98,'@Steelers'!H98,'@Eagles'!H98,Falcons!H98,'@Saints'!H98,Redskins!H98,Cardinals!H98,'@Colts'!H98,Eagles!H98,'@49ers'!H98)</f>
        <v>22</v>
      </c>
      <c r="I98">
        <f>+'@Browns'!I98+Giants!I98+Rams!I98+'@Redskins'!I98+Saints!I98+'@Steelers'!I98+'@Eagles'!I98+Falcons!I98+'@Saints'!I98+Redskins!I98+Cardinals!I98+'@Colts'!I98+Eagles!I98+'@49ers'!I98</f>
        <v>1</v>
      </c>
      <c r="J98" s="8">
        <f>+G98/C98*100</f>
        <v>0</v>
      </c>
      <c r="K98" s="12">
        <f>+I98/C98*100</f>
        <v>9.090909090909092</v>
      </c>
      <c r="L98" s="12">
        <f>+F98/C98</f>
        <v>6.181818181818182</v>
      </c>
      <c r="M98" s="12">
        <f>100*(S98+U98+W98+Y98)/6</f>
        <v>35.41666666666666</v>
      </c>
      <c r="N98">
        <f>'@Browns'!N98+Giants!N98+Rams!N98+'@Redskins'!N98+Saints!N98+'@Steelers'!N98+'@Eagles'!N98+Falcons!N98+'@Saints'!N98+Redskins!N98+Cardinals!N98+'@Colts'!N98+Eagles!N98+'@49ers'!N98</f>
        <v>1</v>
      </c>
      <c r="R98">
        <f>+(E98-30)/20</f>
        <v>1.227272727272727</v>
      </c>
      <c r="S98" s="2">
        <f>IF(R98&lt;0,0,R98)</f>
        <v>1.227272727272727</v>
      </c>
      <c r="T98" s="6">
        <f>+(L98-3)/4</f>
        <v>0.7954545454545454</v>
      </c>
      <c r="U98" s="2">
        <f>IF(T98&lt;0,0,T98)</f>
        <v>0.7954545454545454</v>
      </c>
      <c r="V98">
        <f>+J98/5</f>
        <v>0</v>
      </c>
      <c r="W98" s="2">
        <f>IF(V98&lt;0,0,V98)</f>
        <v>0</v>
      </c>
      <c r="X98">
        <f>(9.5-K98)/4</f>
        <v>0.10227272727272707</v>
      </c>
      <c r="Y98" s="2">
        <f>IF(X98&lt;0,0,X98)</f>
        <v>0.10227272727272707</v>
      </c>
    </row>
    <row r="99" spans="1:14" ht="12.75">
      <c r="A99" t="s">
        <v>108</v>
      </c>
      <c r="C99">
        <f>+'@Browns'!C99+Giants!C99+Rams!C99+'@Redskins'!C99+Saints!C99+'@Steelers'!C99+'@Eagles'!C99+Falcons!C99+'@Saints'!C99+Redskins!C99+Cardinals!C99+'@Colts'!C99+Eagles!C99+'@49ers'!C99</f>
        <v>4</v>
      </c>
      <c r="D99">
        <f>+'@Browns'!D99+Giants!D99+Rams!D99+'@Redskins'!D99+Saints!D99+'@Steelers'!D99+'@Eagles'!D99+Falcons!D99+'@Saints'!D99+Redskins!D99+Cardinals!D99+'@Colts'!D99+Eagles!D99+'@49ers'!D99</f>
        <v>3</v>
      </c>
      <c r="E99" s="12">
        <f>+D99/C99*100</f>
        <v>75</v>
      </c>
      <c r="F99">
        <f>+'@Browns'!F99+Giants!F99+Rams!F99+'@Redskins'!F99+Saints!F99+'@Steelers'!F99+'@Eagles'!F99+Falcons!F99+'@Saints'!F99+Redskins!F99+Cardinals!F99+'@Colts'!F99+Eagles!F99+'@49ers'!F99</f>
        <v>104</v>
      </c>
      <c r="G99">
        <f>+'@Browns'!G99+Giants!G99+Rams!G99+'@Redskins'!G99+Saints!G99+'@Steelers'!G99+'@Eagles'!G99+Falcons!G99+'@Saints'!G99+Redskins!G99+Cardinals!G99+'@Colts'!G99+Eagles!G99+'@49ers'!G99</f>
        <v>3</v>
      </c>
      <c r="H99">
        <f>MAX(+'@Browns'!H99,Giants!H99,Rams!H99,'@Redskins'!H99,Saints!H99,'@Steelers'!H99,'@Eagles'!H99,Falcons!H99,'@Saints'!H99,Redskins!H99,Cardinals!H99,'@Colts'!H99,Eagles!H99,'@49ers'!H99)</f>
        <v>52</v>
      </c>
      <c r="I99">
        <f>+'@Browns'!I99+Giants!I99+Rams!I99+'@Redskins'!I99+Saints!I99+'@Steelers'!I99+'@Eagles'!I99+Falcons!I99+'@Saints'!I99+Redskins!I99+Cardinals!I99+'@Colts'!I99+Eagles!I99+'@49ers'!I99</f>
        <v>0</v>
      </c>
      <c r="J99" s="8">
        <f>+G99/C99*100</f>
        <v>75</v>
      </c>
      <c r="K99" s="12">
        <f>+I99/C99*100</f>
        <v>0</v>
      </c>
      <c r="L99" s="12">
        <f>+F99/C99</f>
        <v>26</v>
      </c>
      <c r="M99" s="12">
        <f>100*(S99+U99+W99+Y99)/6</f>
        <v>0</v>
      </c>
      <c r="N99">
        <f>'@Browns'!N99+Giants!N99+Rams!N99+'@Redskins'!N99+Saints!N99+'@Steelers'!N99+'@Eagles'!N99+Falcons!N99+'@Saints'!N99+Redskins!N99+Cardinals!N99+'@Colts'!N99+Eagles!N99+'@49ers'!N99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9" ht="12.75">
      <c r="A102" t="s">
        <v>118</v>
      </c>
      <c r="C102">
        <f>+'@Browns'!C102+Giants!C102+Rams!C102+'@Redskins'!C102+Saints!C102+'@Steelers'!C102+'@Eagles'!C102+Falcons!C102+'@Saints'!C102+Redskins!C102+Cardinals!C102+'@Colts'!C102+Eagles!C102+'@49ers'!C102</f>
        <v>40</v>
      </c>
      <c r="D102">
        <f>+'@Browns'!D102+Giants!D102+Rams!D102+'@Redskins'!D102+Saints!D102+'@Steelers'!D102+'@Eagles'!D102+Falcons!D102+'@Saints'!D102+Redskins!D102+Cardinals!D102+'@Colts'!D102+Eagles!D102+'@49ers'!D102</f>
        <v>11</v>
      </c>
      <c r="E102">
        <f>+'@Browns'!E102+Giants!E102+Rams!E102+'@Redskins'!E102+Saints!E102+'@Steelers'!E102+'@Eagles'!E102+Falcons!E102+'@Saints'!E102+Redskins!E102+Cardinals!E102+'@Colts'!E102+Eagles!E102+'@49ers'!E102</f>
        <v>412</v>
      </c>
      <c r="F102" s="12">
        <f>+E102/C102</f>
        <v>10.3</v>
      </c>
      <c r="G102">
        <f>MAX('@Browns'!G102,Giants!G102,Rams!G102,'@Redskins'!G102,Saints!G102,'@Steelers'!G102,'@Eagles'!G102,'@Saints'!G102,Redskins!G102,Cardinals!G102,'@Colts'!G102,Eagles!G102,'@49ers'!G102)</f>
        <v>38</v>
      </c>
      <c r="H102">
        <f>MAX('@Browns'!H102,Giants!H102,Rams!H102,'@Redskins'!H102,Saints!H102,'@Steelers'!H102,'@Eagles'!H102,'@Saints'!H102,Redskins!H102,Cardinals!H102,'@Colts'!H102,Eagles!H102,'@49ers'!H102)</f>
        <v>0</v>
      </c>
      <c r="I102">
        <f>MAX('@Browns'!I102,Giants!I102,Rams!I102,'@Redskins'!I102,Saints!I102,'@Steelers'!I102,'@Eagles'!I102,'@Saints'!I102,Redskins!I102,Cardinals!I102,'@Colts'!I102,Eagles!I102,'@49ers'!I102)</f>
        <v>0</v>
      </c>
    </row>
    <row r="103" spans="1:9" ht="12.75">
      <c r="A103" t="s">
        <v>117</v>
      </c>
      <c r="C103">
        <f>+'@Browns'!C103+Giants!C103+Rams!C103+'@Redskins'!C103+Saints!C103+'@Steelers'!C103+'@Eagles'!C103+Falcons!C103+'@Saints'!C103+Redskins!C103+Cardinals!C103+'@Colts'!C103+Eagles!C103+'@49ers'!C103</f>
        <v>4</v>
      </c>
      <c r="D103">
        <f>+'@Browns'!D103+Giants!D103+Rams!D103+'@Redskins'!D103+Saints!D103+'@Steelers'!D103+'@Eagles'!D103+Falcons!D103+'@Saints'!D103+Redskins!D103+Cardinals!D103+'@Colts'!D103+Eagles!D103+'@49ers'!D103</f>
        <v>5</v>
      </c>
      <c r="E103">
        <f>+'@Browns'!E103+Giants!E103+Rams!E103+'@Redskins'!E103+Saints!E103+'@Steelers'!E103+'@Eagles'!E103+Falcons!E103+'@Saints'!E103+Redskins!E103+Cardinals!E103+'@Colts'!E103+Eagles!E103+'@49ers'!E103</f>
        <v>54</v>
      </c>
      <c r="F103" s="12">
        <f>+E103/C103</f>
        <v>13.5</v>
      </c>
      <c r="G103">
        <f>MAX('@Browns'!G103,Giants!G103,Rams!G103,'@Redskins'!G103,Saints!G103,'@Steelers'!G103,'@Eagles'!G103,'@Saints'!G103,Redskins!G103,Cardinals!G103,'@Colts'!G103,Eagles!G103,'@49ers'!G103)</f>
        <v>24</v>
      </c>
      <c r="H103">
        <f>MAX('@Browns'!H103,Giants!H103,Rams!H103,'@Redskins'!H103,Saints!H103,'@Steelers'!H103,'@Eagles'!H103,'@Saints'!H103,Redskins!H103,Cardinals!H103,'@Colts'!H103,Eagles!H103,'@49ers'!H103)</f>
        <v>0</v>
      </c>
      <c r="I103">
        <f>MAX('@Browns'!I103,Giants!I103,Rams!I103,'@Redskins'!I103,Saints!I103,'@Steelers'!I103,'@Eagles'!I103,'@Saints'!I103,Redskins!I103,Cardinals!I103,'@Colts'!I103,Eagles!I103,'@49ers'!I103)</f>
        <v>0</v>
      </c>
    </row>
    <row r="104" spans="1:9" ht="12.75">
      <c r="A104" t="s">
        <v>121</v>
      </c>
      <c r="C104">
        <f>+'@Browns'!C104+Giants!C104+Rams!C104+'@Redskins'!C104+Saints!C104+'@Steelers'!C104+'@Eagles'!C104+Falcons!C104+'@Saints'!C104+Redskins!C104+Cardinals!C104+'@Colts'!C104+Eagles!C104+'@49ers'!C104</f>
        <v>3</v>
      </c>
      <c r="D104">
        <f>+'@Browns'!D104+Giants!D104+Rams!D104+'@Redskins'!D104+Saints!D104+'@Steelers'!D104+'@Eagles'!D104+Falcons!D104+'@Saints'!D104+Redskins!D104+Cardinals!D104+'@Colts'!D104+Eagles!D104+'@49ers'!D104</f>
        <v>3</v>
      </c>
      <c r="E104">
        <f>+'@Browns'!E104+Giants!E104+Rams!E104+'@Redskins'!E104+Saints!E104+'@Steelers'!E104+'@Eagles'!E104+Falcons!E104+'@Saints'!E104+Redskins!E104+Cardinals!E104+'@Colts'!E104+Eagles!E104+'@49ers'!E104</f>
        <v>-1</v>
      </c>
      <c r="F104" s="12">
        <f>+E104/C104</f>
        <v>-0.3333333333333333</v>
      </c>
      <c r="G104">
        <f>MAX('@Browns'!G104,Giants!G104,Rams!G104,'@Redskins'!G104,Saints!G104,'@Steelers'!G104,'@Eagles'!G104,'@Saints'!G104,Redskins!G104,Cardinals!G104,'@Colts'!G104,Eagles!G104,'@49ers'!G104)</f>
        <v>5</v>
      </c>
      <c r="H104">
        <f>MAX('@Browns'!H104,Giants!H104,Rams!H104,'@Redskins'!H104,Saints!H104,'@Steelers'!H104,'@Eagles'!H104,'@Saints'!H104,Redskins!H104,Cardinals!H104,'@Colts'!H104,Eagles!H104,'@49ers'!H104)</f>
        <v>0</v>
      </c>
      <c r="I104">
        <f>MAX('@Browns'!I104,Giants!I104,Rams!I104,'@Redskins'!I104,Saints!I104,'@Steelers'!I104,'@Eagles'!I104,'@Saints'!I104,Redskins!I104,Cardinals!I104,'@Colts'!I104,Eagles!I104,'@49ers'!I104)</f>
        <v>0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8" ht="12.75">
      <c r="A107" t="s">
        <v>111</v>
      </c>
      <c r="C107">
        <f>+'@Browns'!C107+Giants!C107+Rams!C107+'@Redskins'!C107+Saints!C107+'@Steelers'!C107+'@Eagles'!C107+Falcons!C107+'@Saints'!C107+Redskins!C107+Cardinals!C107+'@Colts'!C107+Eagles!C107+'@49ers'!C107</f>
        <v>16</v>
      </c>
      <c r="D107">
        <f>+'@Browns'!D107+Giants!D107+Rams!D107+'@Redskins'!D107+Saints!D107+'@Steelers'!D107+'@Eagles'!D107+Falcons!D107+'@Saints'!D107+Redskins!D107+Cardinals!D107+'@Colts'!D107+Eagles!D107+'@49ers'!D107</f>
        <v>295</v>
      </c>
      <c r="E107" s="12">
        <f aca="true" t="shared" si="4" ref="E107:E113">+D107/C107</f>
        <v>18.4375</v>
      </c>
      <c r="F107">
        <f>MAX('@Browns'!F107,Giants!F107,Rams!F107,'@Redskins'!F107,Saints!F107,'@Steelers'!F107,'@Eagles'!F107,'@Saints'!F107,Redskins!F107,Cardinals!F107,'@Colts'!F107,Eagles!F107,'@49ers'!F107)</f>
        <v>33</v>
      </c>
      <c r="G107">
        <f>MAX('@Browns'!G107,Giants!G107,Rams!G107,'@Redskins'!G107,Saints!G107,'@Steelers'!G107,'@Eagles'!G107,'@Saints'!G107,Redskins!G107,Cardinals!G107,'@Colts'!G107,Eagles!G107,'@49ers'!G107)</f>
        <v>0</v>
      </c>
      <c r="H107">
        <f>MAX('@Browns'!H107,Giants!H107,Rams!H107,'@Redskins'!H107,Saints!H107,'@Steelers'!H107,'@Eagles'!H107,'@Saints'!H107,Redskins!H107,Cardinals!H107,'@Colts'!H107,Eagles!H107,'@49ers'!H107)</f>
        <v>0</v>
      </c>
    </row>
    <row r="108" spans="1:8" ht="12.75">
      <c r="A108" t="s">
        <v>115</v>
      </c>
      <c r="C108">
        <f>+'@Browns'!C108+Giants!C108+Rams!C108+'@Redskins'!C108+Saints!C108+'@Steelers'!C108+'@Eagles'!C108+Falcons!C108+'@Saints'!C108+Redskins!C108+Cardinals!C108+'@Colts'!C108+Eagles!C108+'@49ers'!C108</f>
        <v>10</v>
      </c>
      <c r="D108">
        <f>+'@Browns'!D108+Giants!D108+Rams!D108+'@Redskins'!D108+Saints!D108+'@Steelers'!D108+'@Eagles'!D108+Falcons!D108+'@Saints'!D108+Redskins!D108+Cardinals!D108+'@Colts'!D108+Eagles!D108+'@49ers'!D108</f>
        <v>258</v>
      </c>
      <c r="E108" s="12">
        <f t="shared" si="4"/>
        <v>25.8</v>
      </c>
      <c r="F108">
        <f>MAX('@Browns'!F108,Giants!F108,Rams!F108,'@Redskins'!F108,Saints!F108,'@Steelers'!F108,'@Eagles'!F108,'@Saints'!F108,Redskins!F108,Cardinals!F108,'@Colts'!F108,Eagles!F108,'@49ers'!F108)</f>
        <v>36</v>
      </c>
      <c r="G108">
        <f>MAX('@Browns'!G108,Giants!G108,Rams!G108,'@Redskins'!G108,Saints!G108,'@Steelers'!G108,'@Eagles'!G108,'@Saints'!G108,Redskins!G108,Cardinals!G108,'@Colts'!G108,Eagles!G108,'@49ers'!G108)</f>
        <v>0</v>
      </c>
      <c r="H108">
        <f>MAX('@Browns'!H108,Giants!H108,Rams!H108,'@Redskins'!H108,Saints!H108,'@Steelers'!H108,'@Eagles'!H108,'@Saints'!H108,Redskins!H108,Cardinals!H108,'@Colts'!H108,Eagles!H108,'@49ers'!H108)</f>
        <v>0</v>
      </c>
    </row>
    <row r="109" spans="1:8" ht="12.75">
      <c r="A109" t="s">
        <v>121</v>
      </c>
      <c r="C109">
        <f>+'@Browns'!C109+Giants!C109+Rams!C109+'@Redskins'!C109+Saints!C109+'@Steelers'!C109+'@Eagles'!C109+Falcons!C109+'@Saints'!C109+Redskins!C109+Cardinals!C109+'@Colts'!C109+Eagles!C109+'@49ers'!C109</f>
        <v>2</v>
      </c>
      <c r="D109">
        <f>+'@Browns'!D109+Giants!D109+Rams!D109+'@Redskins'!D109+Saints!D109+'@Steelers'!D109+'@Eagles'!D109+Falcons!D109+'@Saints'!D109+Redskins!D109+Cardinals!D109+'@Colts'!D109+Eagles!D109+'@49ers'!D109</f>
        <v>34</v>
      </c>
      <c r="E109" s="12">
        <f t="shared" si="4"/>
        <v>17</v>
      </c>
      <c r="F109">
        <f>MAX('@Browns'!F109,Giants!F109,Rams!F109,'@Redskins'!F109,Saints!F109,'@Steelers'!F109,'@Eagles'!F109,'@Saints'!F109,Redskins!F109,Cardinals!F109,'@Colts'!F109,Eagles!F109,'@49ers'!F109)</f>
        <v>19</v>
      </c>
      <c r="G109">
        <f>MAX('@Browns'!G109,Giants!G109,Rams!G109,'@Redskins'!G109,Saints!G109,'@Steelers'!G109,'@Eagles'!G109,'@Saints'!G109,Redskins!G109,Cardinals!G109,'@Colts'!G109,Eagles!G109,'@49ers'!G109)</f>
        <v>0</v>
      </c>
      <c r="H109">
        <f>MAX('@Browns'!H109,Giants!H109,Rams!H109,'@Redskins'!H109,Saints!H109,'@Steelers'!H109,'@Eagles'!H109,'@Saints'!H109,Redskins!H109,Cardinals!H109,'@Colts'!H109,Eagles!H109,'@49ers'!H109)</f>
        <v>0</v>
      </c>
    </row>
    <row r="110" spans="1:8" ht="12.75">
      <c r="A110" t="s">
        <v>112</v>
      </c>
      <c r="C110">
        <f>+'@Browns'!C110+Giants!C110+Rams!C110+'@Redskins'!C110+Saints!C110+'@Steelers'!C110+'@Eagles'!C110+Falcons!C110+'@Saints'!C110+Redskins!C110+Cardinals!C110+'@Colts'!C110+Eagles!C110+'@49ers'!C110</f>
        <v>2</v>
      </c>
      <c r="D110">
        <f>+'@Browns'!D110+Giants!D110+Rams!D110+'@Redskins'!D110+Saints!D110+'@Steelers'!D110+'@Eagles'!D110+Falcons!D110+'@Saints'!D110+Redskins!D110+Cardinals!D110+'@Colts'!D110+Eagles!D110+'@49ers'!D110</f>
        <v>19</v>
      </c>
      <c r="E110" s="12">
        <f t="shared" si="4"/>
        <v>9.5</v>
      </c>
      <c r="F110">
        <f>MAX('@Browns'!F110,Giants!F110,Rams!F110,'@Redskins'!F110,Saints!F110,'@Steelers'!F110,'@Eagles'!F110,'@Saints'!F110,Redskins!F110,Cardinals!F110,'@Colts'!F110,Eagles!F110,'@49ers'!F110)</f>
        <v>19</v>
      </c>
      <c r="G110">
        <f>MAX('@Browns'!G110,Giants!G110,Rams!G110,'@Redskins'!G110,Saints!G110,'@Steelers'!G110,'@Eagles'!G110,'@Saints'!G110,Redskins!G110,Cardinals!G110,'@Colts'!G110,Eagles!G110,'@49ers'!G110)</f>
        <v>0</v>
      </c>
      <c r="H110">
        <f>MAX('@Browns'!H110,Giants!H110,Rams!H110,'@Redskins'!H110,Saints!H110,'@Steelers'!H110,'@Eagles'!H110,'@Saints'!H110,Redskins!H110,Cardinals!H110,'@Colts'!H110,Eagles!H110,'@49ers'!H110)</f>
        <v>0</v>
      </c>
    </row>
    <row r="111" spans="1:8" ht="12.75">
      <c r="A111" t="s">
        <v>122</v>
      </c>
      <c r="C111">
        <f>+'@Browns'!C111+Giants!C111+Rams!C111+'@Redskins'!C111+Saints!C111+'@Steelers'!C111+'@Eagles'!C111+Falcons!C111+'@Saints'!C111+Redskins!C111+Cardinals!C111+'@Colts'!C111+Eagles!C111+'@49ers'!C111</f>
        <v>0</v>
      </c>
      <c r="D111">
        <f>+'@Browns'!D111+Giants!D111+Rams!D111+'@Redskins'!D111+Saints!D111+'@Steelers'!D111+'@Eagles'!D111+Falcons!D111+'@Saints'!D111+Redskins!D111+Cardinals!D111+'@Colts'!D111+Eagles!D111+'@49ers'!D111</f>
        <v>0</v>
      </c>
      <c r="E111" s="12" t="e">
        <f t="shared" si="4"/>
        <v>#DIV/0!</v>
      </c>
      <c r="F111">
        <f>MAX('@Browns'!F111,Giants!F111,Rams!F111,'@Redskins'!F111,Saints!F111,'@Steelers'!F111,'@Eagles'!F111,'@Saints'!F111,Redskins!F111,Cardinals!F111,'@Colts'!F111,Eagles!F111,'@49ers'!F111)</f>
        <v>0</v>
      </c>
      <c r="G111">
        <f>MAX('@Browns'!G111,Giants!G111,Rams!G111,'@Redskins'!G111,Saints!G111,'@Steelers'!G111,'@Eagles'!G111,'@Saints'!G111,Redskins!G111,Cardinals!G111,'@Colts'!G111,Eagles!G111,'@49ers'!G111)</f>
        <v>0</v>
      </c>
      <c r="H111">
        <f>MAX('@Browns'!H111,Giants!H111,Rams!H111,'@Redskins'!H111,Saints!H111,'@Steelers'!H111,'@Eagles'!H111,'@Saints'!H111,Redskins!H111,Cardinals!H111,'@Colts'!H111,Eagles!H111,'@49ers'!H111)</f>
        <v>0</v>
      </c>
    </row>
    <row r="112" spans="1:8" ht="12.75">
      <c r="A112" t="s">
        <v>118</v>
      </c>
      <c r="C112">
        <f>+'@Browns'!C112+Giants!C112+Rams!C112+'@Redskins'!C112+Saints!C112+'@Steelers'!C112+'@Eagles'!C112+Falcons!C112+'@Saints'!C112+Redskins!C112+Cardinals!C112+'@Colts'!C112+Eagles!C112+'@49ers'!C112</f>
        <v>1</v>
      </c>
      <c r="D112">
        <f>+'@Browns'!D112+Giants!D112+Rams!D112+'@Redskins'!D112+Saints!D112+'@Steelers'!D112+'@Eagles'!D112+Falcons!D112+'@Saints'!D112+Redskins!D112+Cardinals!D112+'@Colts'!D112+Eagles!D112+'@49ers'!D112</f>
        <v>24</v>
      </c>
      <c r="E112" s="12">
        <f t="shared" si="4"/>
        <v>24</v>
      </c>
      <c r="F112">
        <f>MAX('@Browns'!F112,Giants!F112,Rams!F112,'@Redskins'!F112,Saints!F112,'@Steelers'!F112,'@Eagles'!F112,'@Saints'!F112,Redskins!F112,Cardinals!F112,'@Colts'!F112,Eagles!F112,'@49ers'!F112)</f>
        <v>24</v>
      </c>
      <c r="G112">
        <f>MAX('@Browns'!G112,Giants!G112,Rams!G112,'@Redskins'!G112,Saints!G112,'@Steelers'!G112,'@Eagles'!G112,'@Saints'!G112,Redskins!G112,Cardinals!G112,'@Colts'!G112,Eagles!G112,'@49ers'!G112)</f>
        <v>0</v>
      </c>
      <c r="H112">
        <f>MAX('@Browns'!H112,Giants!H112,Rams!H112,'@Redskins'!H112,Saints!H112,'@Steelers'!H112,'@Eagles'!H112,'@Saints'!H112,Redskins!H112,Cardinals!H112,'@Colts'!H112,Eagles!H112,'@49ers'!H112)</f>
        <v>0</v>
      </c>
    </row>
    <row r="113" spans="1:8" ht="12.75">
      <c r="A113" t="s">
        <v>123</v>
      </c>
      <c r="C113">
        <f>+'@Browns'!C113+Giants!C113+Rams!C113+'@Redskins'!C113+Saints!C113+'@Steelers'!C113+'@Eagles'!C113+Falcons!C113+'@Saints'!C113+Redskins!C113+Cardinals!C113+'@Colts'!C113+Eagles!C113+'@49ers'!C113</f>
        <v>0</v>
      </c>
      <c r="D113">
        <f>+'@Browns'!D113+Giants!D113+Rams!D113+'@Redskins'!D113+Saints!D113+'@Steelers'!D113+'@Eagles'!D113+Falcons!D113+'@Saints'!D113+Redskins!D113+Cardinals!D113+'@Colts'!D113+Eagles!D113+'@49ers'!D113</f>
        <v>0</v>
      </c>
      <c r="E113" s="12" t="e">
        <f t="shared" si="4"/>
        <v>#DIV/0!</v>
      </c>
      <c r="F113">
        <f>MAX('@Browns'!F113,Giants!F113,Rams!F113,'@Redskins'!F113,Saints!F113,'@Steelers'!F113,'@Eagles'!F113,'@Saints'!F113,Redskins!F113,Cardinals!F113,'@Colts'!F113,Eagles!F113,'@49ers'!F113)</f>
        <v>0</v>
      </c>
      <c r="G113">
        <f>MAX('@Browns'!G113,Giants!G113,Rams!G113,'@Redskins'!G113,Saints!G113,'@Steelers'!G113,'@Eagles'!G113,'@Saints'!G113,Redskins!G113,Cardinals!G113,'@Colts'!G113,Eagles!G113,'@49ers'!G113)</f>
        <v>0</v>
      </c>
      <c r="H113">
        <f>MAX('@Browns'!H113,Giants!H113,Rams!H113,'@Redskins'!H113,Saints!H113,'@Steelers'!H113,'@Eagles'!H113,'@Saints'!H113,Redskins!H113,Cardinals!H113,'@Colts'!H113,Eagles!H113,'@49ers'!H113)</f>
        <v>0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f>+'@Browns'!C116+Giants!C116+Rams!C116+'@Redskins'!C116+Saints!C116+'@Steelers'!C116+'@Eagles'!C116+Falcons!C116+'@Saints'!C116+Redskins!C116+Cardinals!C116+'@Colts'!C116+Eagles!C116+'@49ers'!C116</f>
        <v>79</v>
      </c>
      <c r="D116">
        <f>+'@Browns'!D116+Giants!D116+Rams!D116+'@Redskins'!D116+Saints!D116+'@Steelers'!D116+'@Eagles'!D116+Falcons!D116+'@Saints'!D116+Redskins!D116+Cardinals!D116+'@Colts'!D116+Eagles!D116+'@49ers'!D116</f>
        <v>2956</v>
      </c>
      <c r="E116" s="12">
        <f>+D116/C116</f>
        <v>37.41772151898734</v>
      </c>
      <c r="F116">
        <f>MAX('@Browns'!F116,Giants!F116,Rams!F116,'@Redskins'!F116,Saints!F116,'@Steelers'!F116,'@Eagles'!F116,'@Saints'!F116,Redskins!F116,Cardinals!F116,'@Colts'!F116,Eagles!F116,'@49ers'!F116)</f>
        <v>60</v>
      </c>
      <c r="G116">
        <f>MAX('@Browns'!G116,Giants!G116,Rams!G116,'@Redskins'!G116,Saints!G116,'@Steelers'!G116,'@Eagles'!G116,'@Saints'!G116,Redskins!G116,Cardinals!G116,'@Colts'!G116,Eagles!G116,'@49ers'!G116)</f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f>+'@Browns'!C119+Giants!C119+Rams!C119+'@Redskins'!C119+Saints!C119+'@Steelers'!C119+'@Eagles'!C119+Falcons!C119+'@Saints'!C119+Redskins!C119+Cardinals!C119+'@Colts'!C119+Eagles!C119+'@49ers'!C119</f>
        <v>64</v>
      </c>
      <c r="D119">
        <f>+'@Browns'!D119+Giants!D119+Rams!D119+'@Redskins'!D119+Saints!D119+'@Steelers'!D119+'@Eagles'!D119+Falcons!D119+'@Saints'!D119+Redskins!D119+Cardinals!D119+'@Colts'!D119+Eagles!D119+'@49ers'!D119</f>
        <v>13</v>
      </c>
      <c r="E119">
        <f>+'@Browns'!E119+Giants!E119+Rams!E119+'@Redskins'!E119+Saints!E119+'@Steelers'!E119+'@Eagles'!E119+Falcons!E119+'@Saints'!E119+Redskins!E119+Cardinals!E119+'@Colts'!E119+Eagles!E119+'@49ers'!E119</f>
        <v>39</v>
      </c>
      <c r="F119">
        <f>+'@Browns'!F119+Giants!F119+Rams!F119+'@Redskins'!F119+Saints!F119+'@Steelers'!F119+'@Eagles'!F119+Falcons!F119+'@Saints'!F119+Redskins!F119+Cardinals!F119+'@Colts'!F119+Eagles!F119+'@49ers'!F119</f>
        <v>38</v>
      </c>
      <c r="G119">
        <f>+'@Browns'!G119+Giants!G119+Rams!G119+'@Redskins'!G119+Saints!G119+'@Steelers'!G119+'@Eagles'!G119+Falcons!G119+'@Saints'!G119+Redskins!G119+Cardinals!G119+'@Colts'!G119+Eagles!G119+'@49ers'!G119</f>
        <v>23</v>
      </c>
      <c r="H119">
        <f>+'@Browns'!H119+Giants!H119+Rams!H119+'@Redskins'!H119+Saints!H119+'@Steelers'!H119+'@Eagles'!H119+Falcons!H119+'@Saints'!H119+Redskins!H119+Cardinals!H119+'@Colts'!H119+Eagles!H119+'@49ers'!H119</f>
        <v>14</v>
      </c>
      <c r="I119" s="12">
        <f>+H119/G119*100</f>
        <v>60.86956521739131</v>
      </c>
      <c r="J119">
        <f>MAX('@Browns'!J119,Giants!J119,Rams!J119,'@Redskins'!J119,Saints!J119,'@Steelers'!J119,'@Eagles'!J119,'@Saints'!J119,Redskins!J119,Cardinals!J119,'@Colts'!J119,Eagles!J119,'@49ers'!J119)</f>
        <v>35</v>
      </c>
    </row>
    <row r="120" spans="1:10" ht="12.75">
      <c r="A120" t="s">
        <v>120</v>
      </c>
      <c r="C120">
        <f>+'@Browns'!C120+Giants!C120+Rams!C120+'@Redskins'!C120+Saints!C120+'@Steelers'!C120+'@Eagles'!C120+Falcons!C120+'@Saints'!C120+Redskins!C120+Cardinals!C120+'@Colts'!C120+Eagles!C120+'@49ers'!C120</f>
        <v>10</v>
      </c>
      <c r="D120">
        <f>+'@Browns'!D120+Giants!D120+Rams!D120+'@Redskins'!D120+Saints!D120+'@Steelers'!D120+'@Eagles'!D120+Falcons!D120+'@Saints'!D120+Redskins!D120+Cardinals!D120+'@Colts'!D120+Eagles!D120+'@49ers'!D120</f>
        <v>6</v>
      </c>
      <c r="E120">
        <f>+'@Browns'!E120+Giants!E120+Rams!E120+'@Redskins'!E120+Saints!E120+'@Steelers'!E120+'@Eagles'!E120+Falcons!E120+'@Saints'!E120+Redskins!E120+Cardinals!E120+'@Colts'!E120+Eagles!E120+'@49ers'!E120</f>
        <v>5</v>
      </c>
      <c r="F120">
        <f>+'@Browns'!F120+Giants!F120+Rams!F120+'@Redskins'!F120+Saints!F120+'@Steelers'!F120+'@Eagles'!F120+Falcons!F120+'@Saints'!F120+Redskins!F120+Cardinals!F120+'@Colts'!F120+Eagles!F120+'@49ers'!F120</f>
        <v>3</v>
      </c>
      <c r="G120">
        <f>+'@Browns'!G120+Giants!G120+Rams!G120+'@Redskins'!G120+Saints!G120+'@Steelers'!G120+'@Eagles'!G120+Falcons!G120+'@Saints'!G120+Redskins!G120+Cardinals!G120+'@Colts'!G120+Eagles!G120+'@49ers'!G120</f>
        <v>4</v>
      </c>
      <c r="H120">
        <f>+'@Browns'!H120+Giants!H120+Rams!H120+'@Redskins'!H120+Saints!H120+'@Steelers'!H120+'@Eagles'!H120+Falcons!H120+'@Saints'!H120+Redskins!H120+Cardinals!H120+'@Colts'!H120+Eagles!H120+'@49ers'!H120</f>
        <v>2</v>
      </c>
      <c r="I120" s="12">
        <f>+H120/G120*100</f>
        <v>50</v>
      </c>
      <c r="J120">
        <f>MAX('@Browns'!J120,Giants!J120,Rams!J120,'@Redskins'!J120,Saints!J120,'@Steelers'!J120,'@Eagles'!J120,'@Saints'!J120,Redskins!J120,Cardinals!J120,'@Colts'!J120,Eagles!J120,'@49ers'!J120)</f>
        <v>23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8" ht="12.75">
      <c r="A123" t="s">
        <v>121</v>
      </c>
      <c r="C123">
        <f>+'@Browns'!C123+Giants!C123+Rams!C123+'@Redskins'!C123+Saints!C123+'@Steelers'!C123+'@Eagles'!C123+Falcons!C123+'@Saints'!C123+Redskins!C123+Cardinals!C123+'@Colts'!C123+Eagles!C123+'@49ers'!C123</f>
        <v>14</v>
      </c>
      <c r="D123">
        <f>+'@Browns'!D123+Giants!D123+Rams!D123+'@Redskins'!D123+Saints!D123+'@Steelers'!D123+'@Eagles'!D123+Falcons!D123+'@Saints'!D123+Redskins!D123+Cardinals!D123+'@Colts'!D123+Eagles!D123+'@49ers'!D123</f>
        <v>77</v>
      </c>
      <c r="E123" s="12">
        <f>+D123/C123</f>
        <v>5.5</v>
      </c>
      <c r="F123">
        <f>MAX('@Browns'!F123,Giants!F123,Rams!F123,'@Redskins'!F123,Saints!F123,'@Steelers'!F123,'@Eagles'!F123,'@Saints'!F123,Redskins!F123,Cardinals!F123,'@Colts'!F123,Eagles!F123,'@49ers'!F123)</f>
        <v>28</v>
      </c>
      <c r="G123">
        <f>MAX('@Browns'!G123,Giants!G123,Rams!G123,'@Redskins'!G123,Saints!G123,'@Steelers'!G123,'@Eagles'!G123,'@Saints'!G123,Redskins!G123,Cardinals!G123,'@Colts'!G123,Eagles!G123,'@49ers'!G123)</f>
        <v>0</v>
      </c>
      <c r="H123">
        <f>MAX('@Browns'!H123,Giants!H123,Rams!H123,'@Redskins'!H123,Saints!H123,'@Steelers'!H123,'@Eagles'!H123,'@Saints'!H123,Redskins!H123,Cardinals!H123,'@Colts'!H123,Eagles!H123,'@49ers'!H123)</f>
        <v>0</v>
      </c>
    </row>
    <row r="124" spans="1:8" ht="12.75">
      <c r="A124" t="s">
        <v>124</v>
      </c>
      <c r="C124">
        <f>+'@Browns'!C124+Giants!C124+Rams!C124+'@Redskins'!C124+Saints!C124+'@Steelers'!C124+'@Eagles'!C124+Falcons!C124+'@Saints'!C124+Redskins!C124+Cardinals!C124+'@Colts'!C124+Eagles!C124+'@49ers'!C124</f>
        <v>7</v>
      </c>
      <c r="D124">
        <f>+'@Browns'!D124+Giants!D124+Rams!D124+'@Redskins'!D124+Saints!D124+'@Steelers'!D124+'@Eagles'!D124+Falcons!D124+'@Saints'!D124+Redskins!D124+Cardinals!D124+'@Colts'!D124+Eagles!D124+'@49ers'!D124</f>
        <v>45</v>
      </c>
      <c r="E124" s="12">
        <f aca="true" t="shared" si="5" ref="E124:E130">+D124/C124</f>
        <v>6.428571428571429</v>
      </c>
      <c r="F124">
        <f>MAX('@Browns'!F124,Giants!F124,Rams!F124,'@Redskins'!F124,Saints!F124,'@Steelers'!F124,'@Eagles'!F124,'@Saints'!F124,Redskins!F124,Cardinals!F124,'@Colts'!F124,Eagles!F124,'@49ers'!F124)</f>
        <v>16</v>
      </c>
      <c r="G124">
        <f>MAX('@Browns'!G124,Giants!G124,Rams!G124,'@Redskins'!G124,Saints!G124,'@Steelers'!G124,'@Eagles'!G124,'@Saints'!G124,Redskins!G124,Cardinals!G124,'@Colts'!G124,Eagles!G124,'@49ers'!G124)</f>
        <v>0</v>
      </c>
      <c r="H124">
        <f>MAX('@Browns'!H124,Giants!H124,Rams!H124,'@Redskins'!H124,Saints!H124,'@Steelers'!H124,'@Eagles'!H124,'@Saints'!H124,Redskins!H124,Cardinals!H124,'@Colts'!H124,Eagles!H124,'@49ers'!H124)</f>
        <v>1</v>
      </c>
    </row>
    <row r="125" spans="1:8" ht="12.75">
      <c r="A125" t="s">
        <v>125</v>
      </c>
      <c r="C125">
        <f>+'@Browns'!C125+Giants!C125+Rams!C125+'@Redskins'!C125+Saints!C125+'@Steelers'!C125+'@Eagles'!C125+Falcons!C125+'@Saints'!C125+Redskins!C125+Cardinals!C125+'@Colts'!C125+Eagles!C125+'@49ers'!C125</f>
        <v>7</v>
      </c>
      <c r="D125">
        <f>+'@Browns'!D125+Giants!D125+Rams!D125+'@Redskins'!D125+Saints!D125+'@Steelers'!D125+'@Eagles'!D125+Falcons!D125+'@Saints'!D125+Redskins!D125+Cardinals!D125+'@Colts'!D125+Eagles!D125+'@49ers'!D125</f>
        <v>73</v>
      </c>
      <c r="E125" s="12">
        <f t="shared" si="5"/>
        <v>10.428571428571429</v>
      </c>
      <c r="F125">
        <f>MAX('@Browns'!F125,Giants!F125,Rams!F125,'@Redskins'!F125,Saints!F125,'@Steelers'!F125,'@Eagles'!F125,'@Saints'!F125,Redskins!F125,Cardinals!F125,'@Colts'!F125,Eagles!F125,'@49ers'!F125)</f>
        <v>21</v>
      </c>
      <c r="G125">
        <f>MAX('@Browns'!G125,Giants!G125,Rams!G125,'@Redskins'!G125,Saints!G125,'@Steelers'!G125,'@Eagles'!G125,'@Saints'!G125,Redskins!G125,Cardinals!G125,'@Colts'!G125,Eagles!G125,'@49ers'!G125)</f>
        <v>1</v>
      </c>
      <c r="H125">
        <f>MAX('@Browns'!H125,Giants!H125,Rams!H125,'@Redskins'!H125,Saints!H125,'@Steelers'!H125,'@Eagles'!H125,'@Saints'!H125,Redskins!H125,Cardinals!H125,'@Colts'!H125,Eagles!H125,'@49ers'!H125)</f>
        <v>0</v>
      </c>
    </row>
    <row r="126" spans="1:8" ht="12.75">
      <c r="A126" t="s">
        <v>126</v>
      </c>
      <c r="C126">
        <f>+'@Browns'!C126+Giants!C126+Rams!C126+'@Redskins'!C126+Saints!C126+'@Steelers'!C126+'@Eagles'!C126+Falcons!C126+'@Saints'!C126+Redskins!C126+Cardinals!C126+'@Colts'!C126+Eagles!C126+'@49ers'!C126</f>
        <v>2</v>
      </c>
      <c r="D126">
        <f>+'@Browns'!D126+Giants!D126+Rams!D126+'@Redskins'!D126+Saints!D126+'@Steelers'!D126+'@Eagles'!D126+Falcons!D126+'@Saints'!D126+Redskins!D126+Cardinals!D126+'@Colts'!D126+Eagles!D126+'@49ers'!D126</f>
        <v>80</v>
      </c>
      <c r="E126" s="12">
        <f t="shared" si="5"/>
        <v>40</v>
      </c>
      <c r="F126">
        <f>MAX('@Browns'!F126,Giants!F126,Rams!F126,'@Redskins'!F126,Saints!F126,'@Steelers'!F126,'@Eagles'!F126,'@Saints'!F126,Redskins!F126,Cardinals!F126,'@Colts'!F126,Eagles!F126,'@49ers'!F126)</f>
        <v>72</v>
      </c>
      <c r="G126">
        <f>MAX('@Browns'!G126,Giants!G126,Rams!G126,'@Redskins'!G126,Saints!G126,'@Steelers'!G126,'@Eagles'!G126,'@Saints'!G126,Redskins!G126,Cardinals!G126,'@Colts'!G126,Eagles!G126,'@49ers'!G126)</f>
        <v>1</v>
      </c>
      <c r="H126">
        <f>MAX('@Browns'!H126,Giants!H126,Rams!H126,'@Redskins'!H126,Saints!H126,'@Steelers'!H126,'@Eagles'!H126,'@Saints'!H126,Redskins!H126,Cardinals!H126,'@Colts'!H126,Eagles!H126,'@49ers'!H126)</f>
        <v>0</v>
      </c>
    </row>
    <row r="127" spans="1:8" ht="12.75">
      <c r="A127" t="s">
        <v>127</v>
      </c>
      <c r="C127">
        <f>+'@Browns'!C127+Giants!C127+Rams!C127+'@Redskins'!C127+Saints!C127+'@Steelers'!C127+'@Eagles'!C127+Falcons!C127+'@Saints'!C127+Redskins!C127+Cardinals!C127+'@Colts'!C127+Eagles!C127+'@49ers'!C127</f>
        <v>4</v>
      </c>
      <c r="D127">
        <f>+'@Browns'!D127+Giants!D127+Rams!D127+'@Redskins'!D127+Saints!D127+'@Steelers'!D127+'@Eagles'!D127+Falcons!D127+'@Saints'!D127+Redskins!D127+Cardinals!D127+'@Colts'!D127+Eagles!D127+'@49ers'!D127</f>
        <v>71</v>
      </c>
      <c r="E127" s="12">
        <f t="shared" si="5"/>
        <v>17.75</v>
      </c>
      <c r="F127">
        <f>MAX('@Browns'!F127,Giants!F127,Rams!F127,'@Redskins'!F127,Saints!F127,'@Steelers'!F127,'@Eagles'!F127,'@Saints'!F127,Redskins!F127,Cardinals!F127,'@Colts'!F127,Eagles!F127,'@49ers'!F127)</f>
        <v>25</v>
      </c>
      <c r="G127">
        <f>MAX('@Browns'!G127,Giants!G127,Rams!G127,'@Redskins'!G127,Saints!G127,'@Steelers'!G127,'@Eagles'!G127,'@Saints'!G127,Redskins!G127,Cardinals!G127,'@Colts'!G127,Eagles!G127,'@49ers'!G127)</f>
        <v>0</v>
      </c>
      <c r="H127">
        <f>MAX('@Browns'!H127,Giants!H127,Rams!H127,'@Redskins'!H127,Saints!H127,'@Steelers'!H127,'@Eagles'!H127,'@Saints'!H127,Redskins!H127,Cardinals!H127,'@Colts'!H127,Eagles!H127,'@49ers'!H127)</f>
        <v>0</v>
      </c>
    </row>
    <row r="128" spans="1:8" ht="12.75">
      <c r="A128" t="s">
        <v>128</v>
      </c>
      <c r="C128">
        <f>+'@Browns'!C128+Giants!C128+Rams!C128+'@Redskins'!C128+Saints!C128+'@Steelers'!C128+'@Eagles'!C128+Falcons!C128+'@Saints'!C128+Redskins!C128+Cardinals!C128+'@Colts'!C128+Eagles!C128+'@49ers'!C128</f>
        <v>4</v>
      </c>
      <c r="D128">
        <f>+'@Browns'!D128+Giants!D128+Rams!D128+'@Redskins'!D128+Saints!D128+'@Steelers'!D128+'@Eagles'!D128+Falcons!D128+'@Saints'!D128+Redskins!D128+Cardinals!D128+'@Colts'!D128+Eagles!D128+'@49ers'!D128</f>
        <v>-2</v>
      </c>
      <c r="E128" s="12">
        <f t="shared" si="5"/>
        <v>-0.5</v>
      </c>
      <c r="F128">
        <f>MAX('@Browns'!F128,Giants!F128,Rams!F128,'@Redskins'!F128,Saints!F128,'@Steelers'!F128,'@Eagles'!F128,'@Saints'!F128,Redskins!F128,Cardinals!F128,'@Colts'!F128,Eagles!F128,'@49ers'!F128)</f>
        <v>0</v>
      </c>
      <c r="G128">
        <f>MAX('@Browns'!G128,Giants!G128,Rams!G128,'@Redskins'!G128,Saints!G128,'@Steelers'!G128,'@Eagles'!G128,'@Saints'!G128,Redskins!G128,Cardinals!G128,'@Colts'!G128,Eagles!G128,'@49ers'!G128)</f>
        <v>0</v>
      </c>
      <c r="H128">
        <f>MAX('@Browns'!H128,Giants!H128,Rams!H128,'@Redskins'!H128,Saints!H128,'@Steelers'!H128,'@Eagles'!H128,'@Saints'!H128,Redskins!H128,Cardinals!H128,'@Colts'!H128,Eagles!H128,'@49ers'!H128)</f>
        <v>0</v>
      </c>
    </row>
    <row r="129" spans="1:8" ht="12.75">
      <c r="A129" t="s">
        <v>129</v>
      </c>
      <c r="C129">
        <f>+'@Browns'!C129+Giants!C129+Rams!C129+'@Redskins'!C129+Saints!C129+'@Steelers'!C129+'@Eagles'!C129+Falcons!C129+'@Saints'!C129+Redskins!C129+Cardinals!C129+'@Colts'!C129+Eagles!C129+'@49ers'!C129</f>
        <v>0</v>
      </c>
      <c r="D129">
        <f>+'@Browns'!D129+Giants!D129+Rams!D129+'@Redskins'!D129+Saints!D129+'@Steelers'!D129+'@Eagles'!D129+Falcons!D129+'@Saints'!D129+Redskins!D129+Cardinals!D129+'@Colts'!D129+Eagles!D129+'@49ers'!D129</f>
        <v>0</v>
      </c>
      <c r="E129" s="12" t="e">
        <f t="shared" si="5"/>
        <v>#DIV/0!</v>
      </c>
      <c r="F129">
        <f>MAX('@Browns'!F129,Giants!F129,Rams!F129,'@Redskins'!F129,Saints!F129,'@Steelers'!F129,'@Eagles'!F129,'@Saints'!F129,Redskins!F129,Cardinals!F129,'@Colts'!F129,Eagles!F129,'@49ers'!F129)</f>
        <v>0</v>
      </c>
      <c r="G129">
        <f>MAX('@Browns'!G129,Giants!G129,Rams!G129,'@Redskins'!G129,Saints!G129,'@Steelers'!G129,'@Eagles'!G129,'@Saints'!G129,Redskins!G129,Cardinals!G129,'@Colts'!G129,Eagles!G129,'@49ers'!G129)</f>
        <v>0</v>
      </c>
      <c r="H129">
        <f>MAX('@Browns'!H129,Giants!H129,Rams!H129,'@Redskins'!H129,Saints!H129,'@Steelers'!H129,'@Eagles'!H129,'@Saints'!H129,Redskins!H129,Cardinals!H129,'@Colts'!H129,Eagles!H129,'@49ers'!H129)</f>
        <v>0</v>
      </c>
    </row>
    <row r="130" spans="1:8" ht="12.75">
      <c r="A130" t="s">
        <v>131</v>
      </c>
      <c r="C130">
        <f>+'@Browns'!C130+Giants!C130+Rams!C130+'@Redskins'!C130+Saints!C130+'@Steelers'!C130+'@Eagles'!C130+Falcons!C130+'@Saints'!C130+Redskins!C130+Cardinals!C130+'@Colts'!C130+Eagles!C130+'@49ers'!C130</f>
        <v>0</v>
      </c>
      <c r="D130">
        <f>+'@Browns'!D130+Giants!D130+Rams!D130+'@Redskins'!D130+Saints!D130+'@Steelers'!D130+'@Eagles'!D130+Falcons!D130+'@Saints'!D130+Redskins!D130+Cardinals!D130+'@Colts'!D130+Eagles!D130+'@49ers'!D130</f>
        <v>0</v>
      </c>
      <c r="E130" s="12" t="e">
        <f t="shared" si="5"/>
        <v>#DIV/0!</v>
      </c>
      <c r="F130">
        <f>MAX('@Browns'!F130,Giants!F130,Rams!F130,'@Redskins'!F130,Saints!F130,'@Steelers'!F130,'@Eagles'!F130,'@Saints'!F130,Redskins!F130,Cardinals!F130,'@Colts'!F130,Eagles!F130,'@49ers'!F130)</f>
        <v>0</v>
      </c>
      <c r="G130">
        <f>MAX('@Browns'!G130,Giants!G130,Rams!G130,'@Redskins'!G130,Saints!G130,'@Steelers'!G130,'@Eagles'!G130,'@Saints'!G130,Redskins!G130,Cardinals!G130,'@Colts'!G130,Eagles!G130,'@49ers'!G130)</f>
        <v>0</v>
      </c>
      <c r="H130">
        <f>MAX('@Browns'!H130,Giants!H130,Rams!H130,'@Redskins'!H130,Saints!H130,'@Steelers'!H130,'@Eagles'!H130,'@Saints'!H130,Redskins!H130,Cardinals!H130,'@Colts'!H130,Eagles!H130,'@49ers'!H130)</f>
        <v>0</v>
      </c>
    </row>
    <row r="132" spans="1:4" ht="12.75">
      <c r="A132" s="2" t="s">
        <v>90</v>
      </c>
      <c r="C132" s="3" t="s">
        <v>68</v>
      </c>
      <c r="D132" s="3"/>
    </row>
    <row r="133" spans="1:3" ht="12.75">
      <c r="A133" t="s">
        <v>132</v>
      </c>
      <c r="C133">
        <f>'@Browns'!C133+Giants!C133+Rams!C133+'@Redskins'!C133+Saints!C133+'@Steelers'!C133+'@Eagles'!C133+Falcons!C133+'@Saints'!C133+Redskins!C133+Cardinals!C133+'@Colts'!C133+Eagles!C133+'@49ers'!C133</f>
        <v>10.5</v>
      </c>
    </row>
    <row r="134" spans="1:3" ht="12.75">
      <c r="A134" t="s">
        <v>123</v>
      </c>
      <c r="C134">
        <f>'@Browns'!C134+Giants!C134+Rams!C134+'@Redskins'!C134+Saints!C134+'@Steelers'!C134+'@Eagles'!C134+Falcons!C134+'@Saints'!C134+Redskins!C134+Cardinals!C134+'@Colts'!C134+Eagles!C134+'@49ers'!C134</f>
        <v>2.5</v>
      </c>
    </row>
    <row r="135" spans="1:3" ht="12.75">
      <c r="A135" t="s">
        <v>126</v>
      </c>
      <c r="C135">
        <f>'@Browns'!C135+Giants!C135+Rams!C135+'@Redskins'!C135+Saints!C135+'@Steelers'!C135+'@Eagles'!C135+Falcons!C135+'@Saints'!C135+Redskins!C135+Cardinals!C135+'@Colts'!C135+Eagles!C135+'@49ers'!C135</f>
        <v>2</v>
      </c>
    </row>
    <row r="136" spans="1:3" ht="12.75">
      <c r="A136" t="s">
        <v>128</v>
      </c>
      <c r="C136">
        <f>'@Browns'!C136+Giants!C136+Rams!C136+'@Redskins'!C136+Saints!C136+'@Steelers'!C136+'@Eagles'!C136+Falcons!C136+'@Saints'!C136+Redskins!C136+Cardinals!C136+'@Colts'!C136+Eagles!C136+'@49ers'!C136</f>
        <v>5.5</v>
      </c>
    </row>
    <row r="137" spans="1:3" ht="12.75">
      <c r="A137" t="s">
        <v>129</v>
      </c>
      <c r="C137">
        <f>'@Browns'!C137+Giants!C137+Rams!C137+'@Redskins'!C137+Saints!C137+'@Steelers'!C137+'@Eagles'!C137+Falcons!C137+'@Saints'!C137+Redskins!C137+Cardinals!C137+'@Colts'!C137+Eagles!C137+'@49ers'!C137</f>
        <v>1</v>
      </c>
    </row>
    <row r="138" spans="1:3" ht="12.75">
      <c r="A138" t="s">
        <v>125</v>
      </c>
      <c r="C138">
        <f>'@Browns'!C138+Giants!C138+Rams!C138+'@Redskins'!C138+Saints!C138+'@Steelers'!C138+'@Eagles'!C138+Falcons!C138+'@Saints'!C138+Redskins!C138+Cardinals!C138+'@Colts'!C138+Eagles!C138+'@49ers'!C138</f>
        <v>1</v>
      </c>
    </row>
    <row r="139" spans="1:3" ht="12.75">
      <c r="A139" t="s">
        <v>127</v>
      </c>
      <c r="C139">
        <f>'@Browns'!C139+Giants!C139+Rams!C139+'@Redskins'!C139+Saints!C139+'@Steelers'!C139+'@Eagles'!C139+Falcons!C139+'@Saints'!C139+Redskins!C139+Cardinals!C139+'@Colts'!C139+Eagles!C139+'@49ers'!C139</f>
        <v>1</v>
      </c>
    </row>
    <row r="140" spans="1:3" ht="12.75">
      <c r="A140" t="s">
        <v>133</v>
      </c>
      <c r="C140">
        <f>'@Browns'!C140+Giants!C140+Rams!C140+'@Redskins'!C140+Saints!C140+'@Steelers'!C140+'@Eagles'!C140+Falcons!C140+'@Saints'!C140+Redskins!C140+Cardinals!C140+'@Colts'!C140+Eagles!C140+'@49ers'!C140</f>
        <v>7.5</v>
      </c>
    </row>
    <row r="141" spans="1:3" ht="12.75">
      <c r="A141" t="s">
        <v>134</v>
      </c>
      <c r="C141">
        <f>'@Browns'!C141+Giants!C141+Rams!C141+'@Redskins'!C141+Saints!C141+'@Steelers'!C141+'@Eagles'!C141+Falcons!C141+'@Saints'!C141+Redskins!C141+Cardinals!C141+'@Colts'!C141+Eagles!C141+'@49ers'!C141</f>
        <v>6</v>
      </c>
    </row>
    <row r="142" spans="1:3" ht="12.75">
      <c r="A142" t="s">
        <v>135</v>
      </c>
      <c r="C142">
        <f>'@Browns'!C142+Giants!C142+Rams!C142+'@Redskins'!C142+Saints!C142+'@Steelers'!C142+'@Eagles'!C142+Falcons!C142+'@Saints'!C142+Redskins!C142+Cardinals!C142+'@Colts'!C142+Eagles!C142+'@49ers'!C142</f>
        <v>3</v>
      </c>
    </row>
    <row r="143" spans="1:3" ht="12.75">
      <c r="A143" t="s">
        <v>136</v>
      </c>
      <c r="C143">
        <f>'@Browns'!C143+Giants!C143+Rams!C143+'@Redskins'!C143+Saints!C143+'@Steelers'!C143+'@Eagles'!C143+Falcons!C143+'@Saints'!C143+Redskins!C143+Cardinals!C143+'@Colts'!C143+Eagles!C143+'@49ers'!C143</f>
        <v>11</v>
      </c>
    </row>
    <row r="144" ht="12.75">
      <c r="C144">
        <f>'@Browns'!C144+Giants!C144+Rams!C144+'@Redskins'!C144+Saints!C144+'@Steelers'!C144+'@Eagles'!C144+Falcons!C144+'@Saints'!C144+Redskins!C144+Cardinals!C144+'@Colts'!C144+Eagles!C144+'@49ers'!C144</f>
        <v>0</v>
      </c>
    </row>
    <row r="145" ht="12.75">
      <c r="C145">
        <f>'@Browns'!C145+Giants!C145+Rams!C145+'@Redskins'!C145+Saints!C145+'@Steelers'!C145+'@Eagles'!C145+Falcons!C145+'@Saints'!C145+Redskins!C145+Cardinals!C145+'@Colts'!C145+Eagles!C145+'@49ers'!C145</f>
        <v>0</v>
      </c>
    </row>
    <row r="147" spans="4:15" ht="12.75">
      <c r="D147" s="2" t="s">
        <v>84</v>
      </c>
      <c r="E147" s="2" t="s">
        <v>85</v>
      </c>
      <c r="N147" s="2" t="s">
        <v>84</v>
      </c>
      <c r="O147" s="2" t="s">
        <v>85</v>
      </c>
    </row>
    <row r="148" spans="1:15" ht="12.75">
      <c r="A148" t="s">
        <v>93</v>
      </c>
      <c r="C148">
        <f>'@Browns'!D148+Giants!D148+Rams!D148+'@Redskins'!D148+Saints!D148+'@Steelers'!D148+'@Eagles'!D148+Falcons!D148+'@Saints'!D148+Redskins!D148+Cardinals!D148+'@Colts'!D148+Eagles!D148+'@49ers'!D148</f>
        <v>204</v>
      </c>
      <c r="D148">
        <f>+C148/$B$2</f>
        <v>14.571428571428571</v>
      </c>
      <c r="E148" s="21">
        <f>213/16</f>
        <v>13.3125</v>
      </c>
      <c r="H148" t="s">
        <v>93</v>
      </c>
      <c r="M148">
        <f>'@Browns'!M148+Giants!M148+Rams!M148+'@Redskins'!M148+Saints!M148+'@Steelers'!M148+'@Eagles'!M148+Falcons!M148+'@Saints'!M148+Redskins!M148+Cardinals!M148+'@Colts'!M148+Eagles!M148+'@49ers'!M148</f>
        <v>196</v>
      </c>
      <c r="N148">
        <f>+M148/$B$2</f>
        <v>14</v>
      </c>
      <c r="O148" s="22">
        <f>211/16</f>
        <v>13.1875</v>
      </c>
    </row>
    <row r="149" spans="1:15" ht="12.75">
      <c r="A149" t="s">
        <v>94</v>
      </c>
      <c r="C149">
        <f>'@Browns'!D149+Giants!D149+Rams!D149+'@Redskins'!D149+Saints!D149+'@Steelers'!D149+'@Eagles'!D149+Falcons!D149+'@Saints'!D149+Redskins!D149+Cardinals!D149+'@Colts'!D149+Eagles!D149+'@49ers'!D149</f>
        <v>75</v>
      </c>
      <c r="D149">
        <f>+C149/$B$2</f>
        <v>5.357142857142857</v>
      </c>
      <c r="E149" s="21">
        <f>74/16</f>
        <v>4.625</v>
      </c>
      <c r="H149" t="s">
        <v>94</v>
      </c>
      <c r="M149">
        <f>'@Browns'!M149+Giants!M149+Rams!M149+'@Redskins'!M149+Saints!M149+'@Steelers'!M149+'@Eagles'!M149+Falcons!M149+'@Saints'!M149+Redskins!M149+Cardinals!M149+'@Colts'!M149+Eagles!M149+'@49ers'!M149</f>
        <v>57</v>
      </c>
      <c r="N149">
        <f>+M149/$B$2</f>
        <v>4.071428571428571</v>
      </c>
      <c r="O149" s="22">
        <f>69/16</f>
        <v>4.3125</v>
      </c>
    </row>
    <row r="150" spans="1:15" ht="12.75">
      <c r="A150" t="s">
        <v>95</v>
      </c>
      <c r="D150" s="8">
        <f>C149/C148*100</f>
        <v>36.76470588235294</v>
      </c>
      <c r="E150" s="21">
        <f>E149/E148*100</f>
        <v>34.74178403755869</v>
      </c>
      <c r="H150" t="s">
        <v>95</v>
      </c>
      <c r="M150" s="8"/>
      <c r="N150">
        <f>M149/M148*100</f>
        <v>29.081632653061224</v>
      </c>
      <c r="O150" s="21">
        <f>O149/O148*100</f>
        <v>32.70142180094787</v>
      </c>
    </row>
    <row r="152" spans="1:5" ht="12.75">
      <c r="A152" t="s">
        <v>98</v>
      </c>
      <c r="C152">
        <f>'@Browns'!M31+'@Browns'!M53+Giants!M31+Giants!M53+Rams!M31+Rams!M53+'@Redskins'!M31+'@Redskins'!M53+Saints!M31+Saints!M53+'@Steelers'!M53+'@Steelers'!M31+'@Eagles'!M31+'@Eagles'!M53+Falcons!M31+Falcons!M53+'@Saints'!M31+'@Saints'!M53+Redskins!M31+Redskins!M53+Cardinals!M31+Cardinals!M53+'@Colts'!M31+'@Colts'!M53+Eagles!M31+Eagles!M53+'@49ers'!M31+'@49ers'!M53</f>
        <v>55</v>
      </c>
      <c r="D152">
        <f>C152/$B$2</f>
        <v>3.9285714285714284</v>
      </c>
      <c r="E152">
        <v>31</v>
      </c>
    </row>
    <row r="153" spans="1:5" ht="12.75">
      <c r="A153" t="s">
        <v>99</v>
      </c>
      <c r="C153" t="e">
        <f>'@Browns'!D31+'@Browns'!#REF!+Giants!D31+Giants!#REF!+Rams!D31+Rams!#REF!+'@Redskins'!D31+'@Redskins'!#REF!+Saints!D31+Saints!#REF!+'@Steelers'!D31+'@Steelers'!#REF!+'@Eagles'!D31+'@Eagles'!#REF!+Falcons!D31+Falcons!#REF!+'@Saints'!D31+'@Saints'!#REF!+Redskins!D31+Redskins!#REF!+Cardinals!D31+Cardinals!#REF!+'@Colts'!D31+'@Colts'!#REF!+Eagles!D31+Eagles!#REF!+'@49ers'!D31+'@49ers'!#REF!</f>
        <v>#REF!</v>
      </c>
      <c r="D153" t="e">
        <f>C153/$B$2</f>
        <v>#REF!</v>
      </c>
      <c r="E153">
        <v>34</v>
      </c>
    </row>
    <row r="154" spans="1:5" ht="12.75">
      <c r="A154" t="s">
        <v>100</v>
      </c>
      <c r="C154" t="e">
        <f>C152-C153</f>
        <v>#REF!</v>
      </c>
      <c r="D154" t="e">
        <f>D152-D153</f>
        <v>#REF!</v>
      </c>
      <c r="E154">
        <f>E152-E153</f>
        <v>-3</v>
      </c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ht="12.75">
      <c r="B158" s="2"/>
    </row>
    <row r="159" spans="1:7" ht="12.75">
      <c r="A159" s="2"/>
      <c r="B159" s="3"/>
      <c r="C159" s="3"/>
      <c r="D159" s="3"/>
      <c r="E159" s="2"/>
      <c r="F159" s="3"/>
      <c r="G159" s="3"/>
    </row>
    <row r="160" spans="4:7" ht="12.75">
      <c r="D160" s="2"/>
      <c r="F160" s="12"/>
      <c r="G160" s="8"/>
    </row>
    <row r="161" spans="4:7" ht="12.75">
      <c r="D161" s="2"/>
      <c r="F161" s="12"/>
      <c r="G161" s="8"/>
    </row>
    <row r="162" spans="4:7" ht="12.75">
      <c r="D162" s="2"/>
      <c r="F162" s="12"/>
      <c r="G162" s="8"/>
    </row>
    <row r="163" spans="4:7" ht="12.75">
      <c r="D163" s="2"/>
      <c r="F163" s="12"/>
      <c r="G163" s="8"/>
    </row>
    <row r="164" spans="4:6" ht="12.75">
      <c r="D164" s="2"/>
      <c r="F164" s="12"/>
    </row>
    <row r="165" spans="1:7" ht="12.75">
      <c r="A165" s="2"/>
      <c r="B165" s="2"/>
      <c r="C165" s="2"/>
      <c r="D165" s="2"/>
      <c r="E165" s="2"/>
      <c r="F165" s="2"/>
      <c r="G165" s="2"/>
    </row>
    <row r="166" spans="3:6" ht="12.75">
      <c r="C166" s="2"/>
      <c r="E166" s="2"/>
      <c r="F166" s="8"/>
    </row>
    <row r="167" spans="3:6" ht="12.75">
      <c r="C167" s="2"/>
      <c r="E167" s="2"/>
      <c r="F167" s="8"/>
    </row>
    <row r="168" spans="3:6" ht="12.75">
      <c r="C168" s="2"/>
      <c r="E168" s="2"/>
      <c r="F168" s="8"/>
    </row>
    <row r="169" spans="3:6" ht="12.75">
      <c r="C169" s="2"/>
      <c r="E169" s="2"/>
      <c r="F169" s="8"/>
    </row>
    <row r="170" spans="3:6" ht="12.75">
      <c r="C170" s="2"/>
      <c r="E170" s="2"/>
      <c r="F170" s="8"/>
    </row>
    <row r="171" spans="3:6" ht="12.75">
      <c r="C171" s="2"/>
      <c r="E171" s="2"/>
      <c r="F171" s="8"/>
    </row>
    <row r="172" spans="3:6" ht="12.75">
      <c r="C172" s="2"/>
      <c r="E172" s="2"/>
      <c r="F172" s="8"/>
    </row>
    <row r="173" spans="3:6" ht="12.75">
      <c r="C173" s="2"/>
      <c r="E173" s="2"/>
      <c r="F173" s="8"/>
    </row>
    <row r="174" spans="3:6" ht="12.75">
      <c r="C174" s="2"/>
      <c r="E174" s="2"/>
      <c r="F174" s="8"/>
    </row>
    <row r="175" spans="3:5" ht="12.75">
      <c r="C175" s="2"/>
      <c r="E175" s="2"/>
    </row>
    <row r="180" spans="1:6" ht="12.75">
      <c r="A180" s="2"/>
      <c r="D180" s="2"/>
      <c r="F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5:13" ht="12.75">
      <c r="E182" s="12"/>
      <c r="G182" s="2"/>
      <c r="I182" s="2"/>
      <c r="K182" s="2"/>
      <c r="M182" s="12"/>
    </row>
    <row r="183" spans="5:13" ht="12.75">
      <c r="E183" s="12"/>
      <c r="G183" s="2"/>
      <c r="I183" s="2"/>
      <c r="K183" s="2"/>
      <c r="M183" s="12"/>
    </row>
    <row r="186" spans="1:11" ht="12.7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3:5" ht="12.75">
      <c r="C187" s="2"/>
      <c r="E187" s="12"/>
    </row>
    <row r="188" spans="3:5" ht="12.75">
      <c r="C188" s="2"/>
      <c r="E188" s="12"/>
    </row>
    <row r="189" spans="3:5" ht="12.75">
      <c r="C189" s="2"/>
      <c r="E189" s="12"/>
    </row>
    <row r="190" spans="3:5" ht="12.75">
      <c r="C190" s="2"/>
      <c r="E190" s="12"/>
    </row>
    <row r="191" spans="3:5" ht="12.75">
      <c r="C191" s="2"/>
      <c r="E191" s="12"/>
    </row>
    <row r="192" spans="3:5" ht="12.75">
      <c r="C192" s="2"/>
      <c r="E192" s="1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spans="1:11" ht="12.75">
      <c r="A198" s="2"/>
      <c r="B198" s="2"/>
      <c r="C198" s="2"/>
      <c r="D198" s="3"/>
      <c r="E198" s="3"/>
      <c r="F198" s="3"/>
      <c r="G198" s="3"/>
      <c r="H198" s="3"/>
      <c r="I198" s="3"/>
      <c r="J198" s="3"/>
      <c r="K198" s="3"/>
    </row>
    <row r="199" spans="3:4" ht="12.75">
      <c r="C199" s="2"/>
      <c r="D199" s="12"/>
    </row>
    <row r="200" spans="3:4" ht="12.75">
      <c r="C200" s="2"/>
      <c r="D200" s="12"/>
    </row>
    <row r="201" spans="3:4" ht="12.75">
      <c r="C201" s="2"/>
      <c r="D201" s="12"/>
    </row>
    <row r="202" spans="3:4" ht="12.75">
      <c r="C202" s="2"/>
      <c r="D202" s="12"/>
    </row>
    <row r="203" spans="3:4" ht="12.75">
      <c r="C203" s="2"/>
      <c r="D203" s="12"/>
    </row>
    <row r="204" spans="3:4" ht="12.75">
      <c r="C204" s="2"/>
      <c r="D204" s="12"/>
    </row>
    <row r="205" ht="12.75">
      <c r="C205" s="2"/>
    </row>
    <row r="206" ht="12.75">
      <c r="C206" s="2"/>
    </row>
    <row r="207" ht="12.75">
      <c r="C207" s="2"/>
    </row>
    <row r="208" spans="2:9" ht="12.75">
      <c r="B208" s="3"/>
      <c r="C208" s="2"/>
      <c r="D208" s="3"/>
      <c r="E208" s="3"/>
      <c r="F208" s="3"/>
      <c r="G208" s="3"/>
      <c r="H208" s="3"/>
      <c r="I208" s="3"/>
    </row>
    <row r="209" spans="3:4" ht="12.75">
      <c r="C209" s="2"/>
      <c r="D209" s="12"/>
    </row>
    <row r="210" ht="12.75">
      <c r="C210" s="2"/>
    </row>
    <row r="211" spans="3:8" ht="12.75">
      <c r="C211" s="2"/>
      <c r="H211" s="5"/>
    </row>
    <row r="212" spans="2:9" ht="12.75">
      <c r="B212" s="3"/>
      <c r="C212" s="3"/>
      <c r="D212" s="3"/>
      <c r="E212" s="3"/>
      <c r="F212" s="3"/>
      <c r="G212" s="3"/>
      <c r="H212" s="3"/>
      <c r="I212" s="3"/>
    </row>
    <row r="213" ht="12.75">
      <c r="H213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Y150"/>
  <sheetViews>
    <sheetView zoomScalePageLayoutView="0" workbookViewId="0" topLeftCell="A119">
      <selection activeCell="M150" sqref="M15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28</v>
      </c>
      <c r="H6" s="1" t="s">
        <v>29</v>
      </c>
      <c r="M6" s="2">
        <v>16</v>
      </c>
    </row>
    <row r="8" spans="1:23" ht="12.75">
      <c r="A8" t="s">
        <v>1</v>
      </c>
      <c r="D8" s="2">
        <v>44</v>
      </c>
      <c r="H8" t="s">
        <v>1</v>
      </c>
      <c r="M8" s="2">
        <v>19</v>
      </c>
      <c r="V8">
        <f>+D8</f>
        <v>44</v>
      </c>
      <c r="W8">
        <f>+M8</f>
        <v>19</v>
      </c>
    </row>
    <row r="9" spans="1:23" ht="12.75">
      <c r="A9" t="s">
        <v>2</v>
      </c>
      <c r="D9" s="2">
        <v>229</v>
      </c>
      <c r="H9" t="s">
        <v>2</v>
      </c>
      <c r="M9" s="2">
        <v>57</v>
      </c>
      <c r="U9" s="13"/>
      <c r="V9">
        <f>+D13</f>
        <v>15</v>
      </c>
      <c r="W9">
        <f>+M13</f>
        <v>14</v>
      </c>
    </row>
    <row r="10" spans="1:23" ht="12.75">
      <c r="A10" s="1" t="s">
        <v>3</v>
      </c>
      <c r="D10" s="8">
        <f>+D9/D8</f>
        <v>5.204545454545454</v>
      </c>
      <c r="H10" s="1" t="s">
        <v>3</v>
      </c>
      <c r="M10" s="8">
        <f>+M9/M8</f>
        <v>3</v>
      </c>
      <c r="V10">
        <f>+(D12-D13)/2</f>
        <v>6</v>
      </c>
      <c r="W10">
        <f>+(M12-M13)/2</f>
        <v>5</v>
      </c>
    </row>
    <row r="11" spans="22:23" ht="12.75">
      <c r="V11">
        <f>+D35/2</f>
        <v>1</v>
      </c>
      <c r="W11">
        <f>+M35/2</f>
        <v>1.5</v>
      </c>
    </row>
    <row r="12" spans="1:23" ht="12.75">
      <c r="A12" t="s">
        <v>4</v>
      </c>
      <c r="D12" s="2">
        <v>27</v>
      </c>
      <c r="H12" t="s">
        <v>4</v>
      </c>
      <c r="M12" s="2">
        <v>24</v>
      </c>
      <c r="V12">
        <f>+D39/2</f>
        <v>1</v>
      </c>
      <c r="W12">
        <f>+M39/2</f>
        <v>0</v>
      </c>
    </row>
    <row r="13" spans="1:23" ht="12.75">
      <c r="A13" t="s">
        <v>5</v>
      </c>
      <c r="D13" s="2">
        <v>15</v>
      </c>
      <c r="H13" t="s">
        <v>5</v>
      </c>
      <c r="M13" s="2">
        <v>14</v>
      </c>
      <c r="V13">
        <f>+D44/2</f>
        <v>2</v>
      </c>
      <c r="W13">
        <f>+M44/2</f>
        <v>2</v>
      </c>
    </row>
    <row r="14" spans="1:13" ht="12.75">
      <c r="A14" t="s">
        <v>6</v>
      </c>
      <c r="D14" s="8">
        <f>+D13/D12*100</f>
        <v>55.55555555555556</v>
      </c>
      <c r="H14" t="s">
        <v>6</v>
      </c>
      <c r="M14" s="8">
        <f>+M13/M12*100</f>
        <v>58.333333333333336</v>
      </c>
    </row>
    <row r="15" spans="1:24" ht="12.75">
      <c r="A15" t="s">
        <v>7</v>
      </c>
      <c r="D15" s="2">
        <v>291</v>
      </c>
      <c r="H15" t="s">
        <v>7</v>
      </c>
      <c r="M15" s="2">
        <v>193</v>
      </c>
      <c r="V15">
        <f>SUM(V8:V13)</f>
        <v>69</v>
      </c>
      <c r="W15">
        <f>SUM(W8:W13)</f>
        <v>41.5</v>
      </c>
      <c r="X15">
        <f>+W15+V15</f>
        <v>110.5</v>
      </c>
    </row>
    <row r="16" spans="1:23" ht="12.75">
      <c r="A16" t="s">
        <v>8</v>
      </c>
      <c r="D16" s="2"/>
      <c r="H16" t="s">
        <v>8</v>
      </c>
      <c r="M16" s="2">
        <v>4</v>
      </c>
      <c r="V16">
        <f>+V15/X15</f>
        <v>0.6244343891402715</v>
      </c>
      <c r="W16">
        <f>+W15/X15</f>
        <v>0.3755656108597285</v>
      </c>
    </row>
    <row r="17" spans="1:23" ht="12.75">
      <c r="A17" t="s">
        <v>9</v>
      </c>
      <c r="D17" s="2"/>
      <c r="H17" t="s">
        <v>9</v>
      </c>
      <c r="M17" s="2">
        <v>27</v>
      </c>
      <c r="V17">
        <f>+V16*60</f>
        <v>37.46606334841629</v>
      </c>
      <c r="W17">
        <f>+W16*60</f>
        <v>22.53393665158371</v>
      </c>
    </row>
    <row r="18" spans="1:23" ht="12.75">
      <c r="A18" t="s">
        <v>10</v>
      </c>
      <c r="D18">
        <f>+D15-D17</f>
        <v>291</v>
      </c>
      <c r="H18" t="s">
        <v>10</v>
      </c>
      <c r="M18">
        <f>+M15-M17</f>
        <v>166</v>
      </c>
      <c r="V18">
        <f>+V17-INT(V17)</f>
        <v>0.4660633484162915</v>
      </c>
      <c r="W18">
        <f>+W17-INT(W17)</f>
        <v>0.5339366515837085</v>
      </c>
    </row>
    <row r="19" spans="1:23" ht="12.75">
      <c r="A19" t="s">
        <v>11</v>
      </c>
      <c r="D19" s="7">
        <f>+D18/(D12+D16)</f>
        <v>10.777777777777779</v>
      </c>
      <c r="H19" t="s">
        <v>11</v>
      </c>
      <c r="M19" s="7">
        <f>+M18/(M12+M16)</f>
        <v>5.928571428571429</v>
      </c>
      <c r="V19">
        <f>+V18*60</f>
        <v>27.96380090497749</v>
      </c>
      <c r="W19">
        <f>+W18*60</f>
        <v>32.03619909502251</v>
      </c>
    </row>
    <row r="20" spans="1:23" ht="12.75">
      <c r="A20" t="s">
        <v>12</v>
      </c>
      <c r="D20" s="7">
        <f>+D15/D13</f>
        <v>19.4</v>
      </c>
      <c r="H20" t="s">
        <v>12</v>
      </c>
      <c r="M20" s="7">
        <f>+M15/M13</f>
        <v>13.785714285714286</v>
      </c>
      <c r="U20">
        <v>0</v>
      </c>
      <c r="V20" s="11">
        <f>ROUND(V19,0)</f>
        <v>28</v>
      </c>
      <c r="W20">
        <f>ROUND(W19,0)</f>
        <v>32</v>
      </c>
    </row>
    <row r="21" spans="22:23" ht="12.75">
      <c r="V21">
        <f>INT(V17)</f>
        <v>37</v>
      </c>
      <c r="W21">
        <f>INT(W17)</f>
        <v>22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520</v>
      </c>
      <c r="H23" t="s">
        <v>14</v>
      </c>
      <c r="M23">
        <f>+M18+M9</f>
        <v>223</v>
      </c>
      <c r="V23" s="14" t="str">
        <f>+V21&amp;V22&amp;V20</f>
        <v>37:28</v>
      </c>
      <c r="W23" s="9" t="str">
        <f>+W21&amp;W22&amp;W20</f>
        <v>22:32</v>
      </c>
    </row>
    <row r="24" spans="1:23" ht="12.75">
      <c r="A24" t="s">
        <v>15</v>
      </c>
      <c r="D24" s="7">
        <f>+D9/D23*100</f>
        <v>44.03846153846154</v>
      </c>
      <c r="H24" t="s">
        <v>15</v>
      </c>
      <c r="M24" s="7">
        <f>+M9/M23*100</f>
        <v>25.56053811659193</v>
      </c>
      <c r="V24" s="9" t="str">
        <f>IF(V20&lt;10,+V21&amp;V22&amp;$U$20&amp;V20,+V21&amp;V22&amp;V20)</f>
        <v>37:28</v>
      </c>
      <c r="W24" s="9" t="str">
        <f>IF(W20&lt;10,+W21&amp;W22&amp;$U$20&amp;W20,+W21&amp;W22&amp;W20)</f>
        <v>22:32</v>
      </c>
    </row>
    <row r="25" spans="1:13" ht="12.75">
      <c r="A25" s="1" t="s">
        <v>86</v>
      </c>
      <c r="D25" s="7">
        <f>+D18/D23*100</f>
        <v>55.96153846153846</v>
      </c>
      <c r="H25" s="1" t="s">
        <v>86</v>
      </c>
      <c r="M25" s="7">
        <f>+M18/M23*100</f>
        <v>74.43946188340807</v>
      </c>
    </row>
    <row r="27" spans="1:13" ht="12.75">
      <c r="A27" t="s">
        <v>16</v>
      </c>
      <c r="D27">
        <f>+D8+D12+D16</f>
        <v>71</v>
      </c>
      <c r="H27" t="s">
        <v>16</v>
      </c>
      <c r="M27">
        <f>+M8+M12+M16</f>
        <v>47</v>
      </c>
    </row>
    <row r="28" spans="1:13" ht="12.75">
      <c r="A28" t="s">
        <v>17</v>
      </c>
      <c r="D28" s="8">
        <f>+D23/D27</f>
        <v>7.323943661971831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4.74468085106383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2</v>
      </c>
      <c r="H31" t="s">
        <v>19</v>
      </c>
      <c r="M31" s="2">
        <v>3</v>
      </c>
    </row>
    <row r="32" spans="1:13" ht="12.75">
      <c r="A32" t="s">
        <v>20</v>
      </c>
      <c r="D32" s="2">
        <v>79</v>
      </c>
      <c r="H32" t="s">
        <v>20</v>
      </c>
      <c r="M32" s="2">
        <v>9</v>
      </c>
    </row>
    <row r="33" spans="1:13" ht="12.75">
      <c r="A33" t="s">
        <v>21</v>
      </c>
      <c r="D33" s="2">
        <v>1</v>
      </c>
      <c r="H33" t="s">
        <v>21</v>
      </c>
      <c r="M33" s="2"/>
    </row>
    <row r="35" spans="1:13" ht="12.75">
      <c r="A35" t="s">
        <v>22</v>
      </c>
      <c r="D35" s="2">
        <v>2</v>
      </c>
      <c r="H35" t="s">
        <v>22</v>
      </c>
      <c r="M35" s="2">
        <v>3</v>
      </c>
    </row>
    <row r="36" spans="1:13" ht="12.75">
      <c r="A36" t="s">
        <v>23</v>
      </c>
      <c r="D36" s="2">
        <v>55</v>
      </c>
      <c r="H36" t="s">
        <v>23</v>
      </c>
      <c r="M36" s="2">
        <v>120</v>
      </c>
    </row>
    <row r="37" spans="1:13" ht="12.75">
      <c r="A37" t="s">
        <v>24</v>
      </c>
      <c r="D37" s="8">
        <f>+D36/D35</f>
        <v>27.5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40</v>
      </c>
    </row>
    <row r="39" spans="1:13" ht="12.75">
      <c r="A39" t="s">
        <v>25</v>
      </c>
      <c r="D39" s="2">
        <v>2</v>
      </c>
      <c r="H39" t="s">
        <v>25</v>
      </c>
      <c r="M39" s="2"/>
    </row>
    <row r="40" spans="1:13" ht="12.75">
      <c r="A40" t="s">
        <v>26</v>
      </c>
      <c r="D40" s="2">
        <v>17</v>
      </c>
      <c r="H40" t="s">
        <v>26</v>
      </c>
      <c r="M40" s="2"/>
    </row>
    <row r="41" spans="1:13" ht="12.75">
      <c r="A41" t="s">
        <v>27</v>
      </c>
      <c r="D41" s="8">
        <f>+D40/D39</f>
        <v>8.5</v>
      </c>
      <c r="H41" t="s">
        <v>27</v>
      </c>
      <c r="M41" s="8" t="e">
        <f>+M40/M39</f>
        <v>#DIV/0!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4</v>
      </c>
      <c r="H44" t="s">
        <v>30</v>
      </c>
      <c r="M44" s="2">
        <v>4</v>
      </c>
    </row>
    <row r="45" spans="1:13" ht="12.75">
      <c r="A45" t="s">
        <v>26</v>
      </c>
      <c r="D45" s="2">
        <v>82</v>
      </c>
      <c r="H45" t="s">
        <v>26</v>
      </c>
      <c r="M45" s="2">
        <v>82</v>
      </c>
    </row>
    <row r="46" spans="1:13" ht="12.75">
      <c r="A46" t="s">
        <v>27</v>
      </c>
      <c r="D46" s="8">
        <f>+D45/D44</f>
        <v>20.5</v>
      </c>
      <c r="H46" t="s">
        <v>27</v>
      </c>
      <c r="M46" s="8">
        <f>+M45/M44</f>
        <v>20.5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11</v>
      </c>
      <c r="H49" t="s">
        <v>31</v>
      </c>
      <c r="M49" s="2">
        <v>4</v>
      </c>
    </row>
    <row r="50" spans="1:13" ht="12.75">
      <c r="A50" t="s">
        <v>32</v>
      </c>
      <c r="D50" s="2">
        <v>80</v>
      </c>
      <c r="H50" t="s">
        <v>32</v>
      </c>
      <c r="M50" s="2">
        <v>26</v>
      </c>
    </row>
    <row r="52" spans="1:13" ht="12.75">
      <c r="A52" t="s">
        <v>33</v>
      </c>
      <c r="D52" s="2">
        <v>1</v>
      </c>
      <c r="H52" t="s">
        <v>33</v>
      </c>
      <c r="M52" s="2">
        <v>2</v>
      </c>
    </row>
    <row r="53" spans="1:13" ht="12.75">
      <c r="A53" t="s">
        <v>101</v>
      </c>
      <c r="D53" s="2">
        <v>1</v>
      </c>
      <c r="H53" t="s">
        <v>101</v>
      </c>
      <c r="M53" s="2">
        <v>1</v>
      </c>
    </row>
    <row r="55" spans="1:13" ht="12.75">
      <c r="A55" t="s">
        <v>34</v>
      </c>
      <c r="D55" s="2">
        <v>31</v>
      </c>
      <c r="H55" t="s">
        <v>34</v>
      </c>
      <c r="M55" s="2">
        <v>24</v>
      </c>
    </row>
    <row r="56" spans="1:13" ht="12.75">
      <c r="A56" t="s">
        <v>35</v>
      </c>
      <c r="D56" s="2">
        <v>4</v>
      </c>
      <c r="H56" t="s">
        <v>35</v>
      </c>
      <c r="M56" s="2">
        <v>3</v>
      </c>
    </row>
    <row r="57" spans="1:13" ht="12.75">
      <c r="A57" t="s">
        <v>36</v>
      </c>
      <c r="D57" s="2">
        <v>1</v>
      </c>
      <c r="H57" t="s">
        <v>36</v>
      </c>
      <c r="M57" s="2"/>
    </row>
    <row r="58" spans="1:13" ht="12.75">
      <c r="A58" t="s">
        <v>37</v>
      </c>
      <c r="D58" s="2">
        <v>3</v>
      </c>
      <c r="H58" t="s">
        <v>37</v>
      </c>
      <c r="M58" s="2">
        <v>2</v>
      </c>
    </row>
    <row r="59" spans="1:13" ht="12.75">
      <c r="A59" t="s">
        <v>38</v>
      </c>
      <c r="D59" s="2"/>
      <c r="H59" t="s">
        <v>38</v>
      </c>
      <c r="M59" s="2">
        <v>1</v>
      </c>
    </row>
    <row r="60" spans="1:13" ht="12.75">
      <c r="A60" t="s">
        <v>39</v>
      </c>
      <c r="D60" s="2">
        <v>4</v>
      </c>
      <c r="H60" t="s">
        <v>39</v>
      </c>
      <c r="M60" s="2">
        <v>3</v>
      </c>
    </row>
    <row r="61" spans="1:13" ht="12.75">
      <c r="A61" t="s">
        <v>40</v>
      </c>
      <c r="D61" s="2"/>
      <c r="H61" t="s">
        <v>40</v>
      </c>
      <c r="M61" s="2"/>
    </row>
    <row r="62" spans="1:13" ht="12.75">
      <c r="A62" t="s">
        <v>41</v>
      </c>
      <c r="D62" s="2">
        <v>1</v>
      </c>
      <c r="H62" t="s">
        <v>41</v>
      </c>
      <c r="M62" s="2">
        <v>1</v>
      </c>
    </row>
    <row r="63" spans="1:13" ht="12.75">
      <c r="A63" t="s">
        <v>42</v>
      </c>
      <c r="D63" s="2">
        <v>2</v>
      </c>
      <c r="H63" t="s">
        <v>42</v>
      </c>
      <c r="M63" s="2">
        <v>1</v>
      </c>
    </row>
    <row r="64" spans="1:13" ht="12.75">
      <c r="A64" t="s">
        <v>43</v>
      </c>
      <c r="D64" s="8">
        <f>+D62/D63*100</f>
        <v>50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f>+M62/M63*100</f>
        <v>100</v>
      </c>
    </row>
    <row r="65" spans="1:13" ht="12.75">
      <c r="A65" t="s">
        <v>89</v>
      </c>
      <c r="D65" s="10" t="str">
        <f>IF(V20&lt;10,V24,V23)</f>
        <v>37:28</v>
      </c>
      <c r="E65" s="8"/>
      <c r="F65" s="8"/>
      <c r="H65" t="s">
        <v>89</v>
      </c>
      <c r="M65" s="10" t="str">
        <f>IF(W20&lt;10,W24,W23)</f>
        <v>22:32</v>
      </c>
    </row>
    <row r="66" spans="1:13" ht="12.75">
      <c r="A66" t="s">
        <v>102</v>
      </c>
      <c r="D66" s="8">
        <f>D150</f>
        <v>46.15384615384615</v>
      </c>
      <c r="H66" t="s">
        <v>102</v>
      </c>
      <c r="M66" s="8">
        <f>M150</f>
        <v>22.22222222222222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6" ht="12.75">
      <c r="A70" t="s">
        <v>109</v>
      </c>
      <c r="C70">
        <v>19</v>
      </c>
      <c r="D70">
        <v>155</v>
      </c>
      <c r="E70" s="12">
        <f aca="true" t="shared" si="0" ref="E70:E80">+D70/C70</f>
        <v>8.157894736842104</v>
      </c>
      <c r="F70">
        <v>20</v>
      </c>
    </row>
    <row r="71" spans="1:6" ht="12.75">
      <c r="A71" t="s">
        <v>108</v>
      </c>
      <c r="C71">
        <v>15</v>
      </c>
      <c r="D71">
        <v>23</v>
      </c>
      <c r="E71" s="12">
        <f t="shared" si="0"/>
        <v>1.5333333333333334</v>
      </c>
      <c r="F71">
        <v>9</v>
      </c>
    </row>
    <row r="72" spans="1:6" ht="12.75">
      <c r="A72" t="s">
        <v>110</v>
      </c>
      <c r="C72">
        <v>1</v>
      </c>
      <c r="D72">
        <v>-2</v>
      </c>
      <c r="E72" s="12">
        <f t="shared" si="0"/>
        <v>-2</v>
      </c>
      <c r="F72">
        <v>-2</v>
      </c>
    </row>
    <row r="73" spans="1:7" ht="12.75">
      <c r="A73" t="s">
        <v>111</v>
      </c>
      <c r="C73">
        <v>7</v>
      </c>
      <c r="D73">
        <v>39</v>
      </c>
      <c r="E73" s="12">
        <f t="shared" si="0"/>
        <v>5.571428571428571</v>
      </c>
      <c r="F73">
        <v>9</v>
      </c>
      <c r="G73">
        <v>1</v>
      </c>
    </row>
    <row r="74" spans="1:5" ht="12.75">
      <c r="A74" t="s">
        <v>112</v>
      </c>
      <c r="E74" s="12" t="e">
        <f t="shared" si="0"/>
        <v>#DIV/0!</v>
      </c>
    </row>
    <row r="75" spans="1:5" ht="12.75">
      <c r="A75" t="s">
        <v>106</v>
      </c>
      <c r="E75" s="12" t="e">
        <f t="shared" si="0"/>
        <v>#DIV/0!</v>
      </c>
    </row>
    <row r="76" spans="1:6" ht="12.75">
      <c r="A76" t="s">
        <v>113</v>
      </c>
      <c r="C76">
        <v>1</v>
      </c>
      <c r="D76">
        <v>-9</v>
      </c>
      <c r="E76" s="12">
        <f t="shared" si="0"/>
        <v>-9</v>
      </c>
      <c r="F76">
        <v>0</v>
      </c>
    </row>
    <row r="77" spans="1:6" ht="12.75">
      <c r="A77" t="s">
        <v>114</v>
      </c>
      <c r="C77">
        <v>1</v>
      </c>
      <c r="D77">
        <v>23</v>
      </c>
      <c r="E77" s="12">
        <f t="shared" si="0"/>
        <v>23</v>
      </c>
      <c r="F77">
        <v>23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7" ht="12.75">
      <c r="A83" t="s">
        <v>117</v>
      </c>
      <c r="C83">
        <v>7</v>
      </c>
      <c r="D83">
        <v>189</v>
      </c>
      <c r="E83" s="12">
        <f aca="true" t="shared" si="1" ref="E83:E92">+D83/C83</f>
        <v>27</v>
      </c>
      <c r="F83">
        <v>36</v>
      </c>
      <c r="G83">
        <v>1</v>
      </c>
    </row>
    <row r="84" spans="1:7" ht="12.75">
      <c r="A84" t="s">
        <v>118</v>
      </c>
      <c r="C84">
        <v>4</v>
      </c>
      <c r="D84">
        <v>49</v>
      </c>
      <c r="E84" s="12">
        <f t="shared" si="1"/>
        <v>12.25</v>
      </c>
      <c r="F84">
        <v>12</v>
      </c>
      <c r="G84">
        <v>1</v>
      </c>
    </row>
    <row r="85" spans="1:6" ht="12.75">
      <c r="A85" t="s">
        <v>108</v>
      </c>
      <c r="C85">
        <v>2</v>
      </c>
      <c r="D85">
        <v>14</v>
      </c>
      <c r="E85" s="12">
        <f t="shared" si="1"/>
        <v>7</v>
      </c>
      <c r="F85">
        <v>9</v>
      </c>
    </row>
    <row r="86" spans="1:6" ht="12.75">
      <c r="A86" t="s">
        <v>113</v>
      </c>
      <c r="C86">
        <v>1</v>
      </c>
      <c r="D86">
        <v>23</v>
      </c>
      <c r="E86" s="12">
        <f t="shared" si="1"/>
        <v>23</v>
      </c>
      <c r="F86">
        <v>23</v>
      </c>
    </row>
    <row r="87" spans="1:5" ht="12.75">
      <c r="A87" t="s">
        <v>109</v>
      </c>
      <c r="E87" s="12" t="e">
        <f t="shared" si="1"/>
        <v>#DIV/0!</v>
      </c>
    </row>
    <row r="88" spans="1:5" ht="12.75">
      <c r="A88" t="s">
        <v>114</v>
      </c>
      <c r="E88" s="12" t="e">
        <f t="shared" si="1"/>
        <v>#DIV/0!</v>
      </c>
    </row>
    <row r="89" spans="1:5" ht="12.75">
      <c r="A89" t="s">
        <v>119</v>
      </c>
      <c r="E89" s="12" t="e">
        <f t="shared" si="1"/>
        <v>#DIV/0!</v>
      </c>
    </row>
    <row r="90" spans="1:7" ht="12.75">
      <c r="A90" t="s">
        <v>112</v>
      </c>
      <c r="C90">
        <v>1</v>
      </c>
      <c r="D90">
        <v>16</v>
      </c>
      <c r="E90" s="12">
        <f t="shared" si="1"/>
        <v>16</v>
      </c>
      <c r="F90">
        <v>16</v>
      </c>
      <c r="G90">
        <v>1</v>
      </c>
    </row>
    <row r="91" spans="1:5" ht="12.75">
      <c r="A91" t="s">
        <v>115</v>
      </c>
      <c r="E91" s="12" t="e">
        <f t="shared" si="1"/>
        <v>#DIV/0!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27</v>
      </c>
      <c r="D96">
        <v>15</v>
      </c>
      <c r="E96" s="12">
        <f>+D96/C96*100</f>
        <v>55.55555555555556</v>
      </c>
      <c r="F96">
        <v>291</v>
      </c>
      <c r="G96">
        <v>3</v>
      </c>
      <c r="H96">
        <v>36</v>
      </c>
      <c r="I96">
        <v>2</v>
      </c>
      <c r="J96" s="8">
        <f>+G96/C96*100</f>
        <v>11.11111111111111</v>
      </c>
      <c r="K96" s="12">
        <f>+I96/C96*100</f>
        <v>7.4074074074074066</v>
      </c>
      <c r="L96" s="12">
        <f>+F96/C96</f>
        <v>10.777777777777779</v>
      </c>
      <c r="M96" s="12">
        <f>100*(S96+U96+W96+Y96)/6</f>
        <v>99.45987654320989</v>
      </c>
      <c r="R96">
        <f>+(E96-30)/20</f>
        <v>1.277777777777778</v>
      </c>
      <c r="S96" s="2">
        <f>IF(R96&lt;0,0,R96)</f>
        <v>1.277777777777778</v>
      </c>
      <c r="T96" s="6">
        <f>+(L96-3)/4</f>
        <v>1.9444444444444446</v>
      </c>
      <c r="U96" s="2">
        <f>IF(T96&lt;0,0,T96)</f>
        <v>1.9444444444444446</v>
      </c>
      <c r="V96">
        <f>+J96/5</f>
        <v>2.2222222222222223</v>
      </c>
      <c r="W96" s="2">
        <f>IF(V96&lt;0,0,V96)</f>
        <v>2.2222222222222223</v>
      </c>
      <c r="X96">
        <f>(9.5-K96)/4</f>
        <v>0.5231481481481484</v>
      </c>
      <c r="Y96" s="2">
        <f>IF(X96&lt;0,0,X96)</f>
        <v>0.5231481481481484</v>
      </c>
    </row>
    <row r="97" spans="1:25" ht="12.75">
      <c r="A97" t="s">
        <v>106</v>
      </c>
      <c r="E97" s="12" t="e">
        <f>+D97/C97*100</f>
        <v>#DIV/0!</v>
      </c>
      <c r="J97" s="8" t="e">
        <f>+G97/C97*100</f>
        <v>#DIV/0!</v>
      </c>
      <c r="K97" s="12" t="e">
        <f>+I97/C97*100</f>
        <v>#DIV/0!</v>
      </c>
      <c r="L97" s="12" t="e">
        <f>+F97/C97</f>
        <v>#DIV/0!</v>
      </c>
      <c r="M97" s="12" t="e">
        <f>100*(S97+U97+W97+Y97)/6</f>
        <v>#DIV/0!</v>
      </c>
      <c r="R97" t="e">
        <f>+(E97-30)/20</f>
        <v>#DIV/0!</v>
      </c>
      <c r="S97" s="2" t="e">
        <f>IF(R97&lt;0,0,R97)</f>
        <v>#DIV/0!</v>
      </c>
      <c r="T97" s="6" t="e">
        <f>+(L97-3)/4</f>
        <v>#DIV/0!</v>
      </c>
      <c r="U97" s="2" t="e">
        <f>IF(T97&lt;0,0,T97)</f>
        <v>#DIV/0!</v>
      </c>
      <c r="V97" t="e">
        <f>+J97/5</f>
        <v>#DIV/0!</v>
      </c>
      <c r="W97" s="2" t="e">
        <f>IF(V97&lt;0,0,V97)</f>
        <v>#DIV/0!</v>
      </c>
      <c r="X97" t="e">
        <f>(9.5-K97)/4</f>
        <v>#DIV/0!</v>
      </c>
      <c r="Y97" s="2" t="e">
        <f>IF(X97&lt;0,0,X97)</f>
        <v>#DIV/0!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E99" s="12" t="e">
        <f>+D99/C99*100</f>
        <v>#DIV/0!</v>
      </c>
      <c r="J99" s="8" t="e">
        <f>+G99/C99*100</f>
        <v>#DIV/0!</v>
      </c>
      <c r="K99" s="12" t="e">
        <f>+I99/C99*100</f>
        <v>#DIV/0!</v>
      </c>
      <c r="L99" s="12" t="e">
        <f>+F99/C99</f>
        <v>#DIV/0!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7" ht="12.75">
      <c r="A102" t="s">
        <v>118</v>
      </c>
      <c r="C102">
        <v>2</v>
      </c>
      <c r="E102">
        <v>17</v>
      </c>
      <c r="F102" s="12">
        <f>+E102/C102</f>
        <v>8.5</v>
      </c>
      <c r="G102">
        <v>12</v>
      </c>
    </row>
    <row r="103" spans="1:6" ht="12.75">
      <c r="A103" t="s">
        <v>117</v>
      </c>
      <c r="F103" s="12" t="e">
        <f>+E103/C103</f>
        <v>#DIV/0!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6" ht="12.75">
      <c r="A107" t="s">
        <v>111</v>
      </c>
      <c r="C107">
        <v>3</v>
      </c>
      <c r="D107">
        <v>64</v>
      </c>
      <c r="E107" s="12">
        <f aca="true" t="shared" si="2" ref="E107:E113">+D107/C107</f>
        <v>21.333333333333332</v>
      </c>
      <c r="F107">
        <v>33</v>
      </c>
    </row>
    <row r="108" spans="1:6" ht="12.75">
      <c r="A108" t="s">
        <v>115</v>
      </c>
      <c r="C108">
        <v>1</v>
      </c>
      <c r="D108">
        <v>18</v>
      </c>
      <c r="E108" s="12">
        <f t="shared" si="2"/>
        <v>18</v>
      </c>
      <c r="F108">
        <v>18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6" ht="12.75">
      <c r="A116" t="s">
        <v>116</v>
      </c>
      <c r="C116">
        <v>2</v>
      </c>
      <c r="D116">
        <v>55</v>
      </c>
      <c r="E116" s="12">
        <f>+D116/C116</f>
        <v>27.5</v>
      </c>
      <c r="F116">
        <v>32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6</v>
      </c>
      <c r="D119">
        <v>2</v>
      </c>
      <c r="E119">
        <v>4</v>
      </c>
      <c r="F119">
        <v>4</v>
      </c>
      <c r="G119">
        <v>2</v>
      </c>
      <c r="H119">
        <v>1</v>
      </c>
      <c r="I119" s="12">
        <f>+H119/G119*100</f>
        <v>50</v>
      </c>
      <c r="J119">
        <v>11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5" ht="12.75">
      <c r="A123" t="s">
        <v>121</v>
      </c>
      <c r="E123" s="12" t="e">
        <f>+D123/C123</f>
        <v>#DIV/0!</v>
      </c>
    </row>
    <row r="124" spans="1:6" ht="12.75">
      <c r="A124" t="s">
        <v>124</v>
      </c>
      <c r="C124">
        <v>2</v>
      </c>
      <c r="D124">
        <v>9</v>
      </c>
      <c r="E124" s="12">
        <f aca="true" t="shared" si="3" ref="E124:E130">+D124/C124</f>
        <v>4.5</v>
      </c>
      <c r="F124">
        <v>8</v>
      </c>
    </row>
    <row r="125" spans="1:5" ht="12.75">
      <c r="A125" t="s">
        <v>125</v>
      </c>
      <c r="E125" s="12" t="e">
        <f t="shared" si="3"/>
        <v>#DIV/0!</v>
      </c>
    </row>
    <row r="126" spans="1:5" ht="12.75">
      <c r="A126" t="s">
        <v>126</v>
      </c>
      <c r="E126" s="12" t="e">
        <f t="shared" si="3"/>
        <v>#DIV/0!</v>
      </c>
    </row>
    <row r="127" spans="1:5" ht="12.75">
      <c r="A127" t="s">
        <v>127</v>
      </c>
      <c r="E127" s="12" t="e">
        <f t="shared" si="3"/>
        <v>#DIV/0!</v>
      </c>
    </row>
    <row r="128" spans="1:5" ht="12.75">
      <c r="A128" t="s">
        <v>128</v>
      </c>
      <c r="C128">
        <v>1</v>
      </c>
      <c r="E128" s="12">
        <f t="shared" si="3"/>
        <v>0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spans="1:3" ht="12.75">
      <c r="A133" t="s">
        <v>132</v>
      </c>
      <c r="C133">
        <v>0.5</v>
      </c>
    </row>
    <row r="134" ht="12.75">
      <c r="A134" t="s">
        <v>123</v>
      </c>
    </row>
    <row r="135" ht="12.75">
      <c r="A135" t="s">
        <v>126</v>
      </c>
    </row>
    <row r="136" spans="1:3" ht="12.75">
      <c r="A136" t="s">
        <v>128</v>
      </c>
      <c r="C136">
        <v>0.5</v>
      </c>
    </row>
    <row r="137" ht="12.75">
      <c r="A137" t="s">
        <v>129</v>
      </c>
    </row>
    <row r="138" ht="12.75">
      <c r="A138" t="s">
        <v>125</v>
      </c>
    </row>
    <row r="139" ht="12.75">
      <c r="A139" t="s">
        <v>127</v>
      </c>
    </row>
    <row r="140" ht="12.75">
      <c r="A140" t="s">
        <v>133</v>
      </c>
    </row>
    <row r="141" spans="1:3" ht="12.75">
      <c r="A141" t="s">
        <v>134</v>
      </c>
      <c r="C141">
        <v>1.5</v>
      </c>
    </row>
    <row r="142" ht="12.75">
      <c r="A142" t="s">
        <v>135</v>
      </c>
    </row>
    <row r="143" spans="1:3" ht="12.75">
      <c r="A143" t="s">
        <v>136</v>
      </c>
      <c r="C143">
        <v>1.5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13</v>
      </c>
      <c r="H148" t="s">
        <v>93</v>
      </c>
      <c r="M148">
        <v>9</v>
      </c>
    </row>
    <row r="149" spans="1:13" ht="12.75">
      <c r="A149" t="s">
        <v>94</v>
      </c>
      <c r="D149">
        <v>6</v>
      </c>
      <c r="H149" t="s">
        <v>94</v>
      </c>
      <c r="M149">
        <v>2</v>
      </c>
    </row>
    <row r="150" spans="1:13" ht="12.75">
      <c r="A150" t="s">
        <v>95</v>
      </c>
      <c r="D150" s="8">
        <f>D149/D148*100</f>
        <v>46.15384615384615</v>
      </c>
      <c r="H150" t="s">
        <v>95</v>
      </c>
      <c r="M150" s="8">
        <f>+M149/M148*100</f>
        <v>22.22222222222222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3"/>
  </sheetPr>
  <dimension ref="A1:Y150"/>
  <sheetViews>
    <sheetView zoomScalePageLayoutView="0" workbookViewId="0" topLeftCell="A124">
      <selection activeCell="M150" sqref="M15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18</v>
      </c>
      <c r="H6" s="1" t="s">
        <v>29</v>
      </c>
      <c r="M6" s="2">
        <v>17</v>
      </c>
    </row>
    <row r="8" spans="1:23" ht="12.75">
      <c r="A8" t="s">
        <v>1</v>
      </c>
      <c r="D8" s="2">
        <v>26</v>
      </c>
      <c r="H8" t="s">
        <v>1</v>
      </c>
      <c r="M8" s="2">
        <v>26</v>
      </c>
      <c r="V8">
        <f>+D8</f>
        <v>26</v>
      </c>
      <c r="W8">
        <f>+M8</f>
        <v>26</v>
      </c>
    </row>
    <row r="9" spans="1:23" ht="12.75">
      <c r="A9" t="s">
        <v>2</v>
      </c>
      <c r="D9" s="2">
        <v>105</v>
      </c>
      <c r="H9" t="s">
        <v>2</v>
      </c>
      <c r="M9" s="2">
        <v>56</v>
      </c>
      <c r="U9" s="13"/>
      <c r="V9">
        <f>+D13</f>
        <v>17</v>
      </c>
      <c r="W9">
        <f>+M13</f>
        <v>25</v>
      </c>
    </row>
    <row r="10" spans="1:23" ht="12.75">
      <c r="A10" s="1" t="s">
        <v>3</v>
      </c>
      <c r="D10" s="8">
        <f>+D9/D8</f>
        <v>4.038461538461538</v>
      </c>
      <c r="H10" s="1" t="s">
        <v>3</v>
      </c>
      <c r="M10" s="8">
        <f>M9/M8</f>
        <v>2.1538461538461537</v>
      </c>
      <c r="V10">
        <f>+(D12-D13)/2</f>
        <v>7.5</v>
      </c>
      <c r="W10">
        <f>+(M12-M13)/2</f>
        <v>5</v>
      </c>
    </row>
    <row r="11" spans="22:23" ht="12.75">
      <c r="V11">
        <f>+D35/2</f>
        <v>1</v>
      </c>
      <c r="W11">
        <f>+M35/2</f>
        <v>2.5</v>
      </c>
    </row>
    <row r="12" spans="1:23" ht="12.75">
      <c r="A12" t="s">
        <v>4</v>
      </c>
      <c r="D12" s="2">
        <v>32</v>
      </c>
      <c r="H12" t="s">
        <v>4</v>
      </c>
      <c r="M12" s="2">
        <v>35</v>
      </c>
      <c r="V12">
        <f>+D39/2</f>
        <v>1.5</v>
      </c>
      <c r="W12">
        <f>+M39/2</f>
        <v>0</v>
      </c>
    </row>
    <row r="13" spans="1:23" ht="12.75">
      <c r="A13" t="s">
        <v>5</v>
      </c>
      <c r="D13" s="2">
        <v>17</v>
      </c>
      <c r="H13" t="s">
        <v>5</v>
      </c>
      <c r="M13" s="2">
        <v>25</v>
      </c>
      <c r="V13">
        <f>+D44/2</f>
        <v>1</v>
      </c>
      <c r="W13">
        <f>+M44/2</f>
        <v>2.5</v>
      </c>
    </row>
    <row r="14" spans="1:13" ht="12.75">
      <c r="A14" t="s">
        <v>6</v>
      </c>
      <c r="D14" s="8">
        <f>+D13/D12*100</f>
        <v>53.125</v>
      </c>
      <c r="H14" t="s">
        <v>6</v>
      </c>
      <c r="M14" s="8">
        <f>+M13/M12*100</f>
        <v>71.42857142857143</v>
      </c>
    </row>
    <row r="15" spans="1:24" ht="12.75">
      <c r="A15" t="s">
        <v>7</v>
      </c>
      <c r="D15" s="2">
        <v>327</v>
      </c>
      <c r="H15" t="s">
        <v>7</v>
      </c>
      <c r="M15" s="2">
        <v>268</v>
      </c>
      <c r="V15">
        <f>SUM(V8:V13)</f>
        <v>54</v>
      </c>
      <c r="W15">
        <f>SUM(W8:W13)</f>
        <v>61</v>
      </c>
      <c r="X15">
        <f>+W15+V15</f>
        <v>115</v>
      </c>
    </row>
    <row r="16" spans="1:23" ht="12.75">
      <c r="A16" t="s">
        <v>8</v>
      </c>
      <c r="D16" s="2">
        <v>3</v>
      </c>
      <c r="H16" t="s">
        <v>8</v>
      </c>
      <c r="M16" s="2"/>
      <c r="V16">
        <f>+V15/X15</f>
        <v>0.46956521739130436</v>
      </c>
      <c r="W16">
        <f>+W15/X15</f>
        <v>0.5304347826086957</v>
      </c>
    </row>
    <row r="17" spans="1:23" ht="12.75">
      <c r="A17" t="s">
        <v>9</v>
      </c>
      <c r="D17" s="2">
        <v>17</v>
      </c>
      <c r="H17" t="s">
        <v>9</v>
      </c>
      <c r="M17" s="2"/>
      <c r="V17">
        <f>+V16*60</f>
        <v>28.17391304347826</v>
      </c>
      <c r="W17">
        <f>+W16*60</f>
        <v>31.826086956521742</v>
      </c>
    </row>
    <row r="18" spans="1:23" ht="12.75">
      <c r="A18" t="s">
        <v>10</v>
      </c>
      <c r="D18">
        <f>+D15-D17</f>
        <v>310</v>
      </c>
      <c r="H18" t="s">
        <v>10</v>
      </c>
      <c r="M18">
        <f>+M15-M17</f>
        <v>268</v>
      </c>
      <c r="V18">
        <f>+V17-INT(V17)</f>
        <v>0.17391304347826164</v>
      </c>
      <c r="W18">
        <f>+W17-INT(W17)</f>
        <v>0.8260869565217419</v>
      </c>
    </row>
    <row r="19" spans="1:23" ht="12.75">
      <c r="A19" t="s">
        <v>11</v>
      </c>
      <c r="D19" s="7">
        <f>+D18/(D12+D16)</f>
        <v>8.857142857142858</v>
      </c>
      <c r="H19" t="s">
        <v>11</v>
      </c>
      <c r="M19" s="7">
        <f>+M18/(M12+M16)</f>
        <v>7.6571428571428575</v>
      </c>
      <c r="V19">
        <f>+V18*60</f>
        <v>10.434782608695699</v>
      </c>
      <c r="W19">
        <f>+W18*60</f>
        <v>49.565217391304515</v>
      </c>
    </row>
    <row r="20" spans="1:23" ht="12.75">
      <c r="A20" t="s">
        <v>12</v>
      </c>
      <c r="D20" s="7">
        <f>+D15/D13</f>
        <v>19.235294117647058</v>
      </c>
      <c r="H20" t="s">
        <v>12</v>
      </c>
      <c r="M20" s="7">
        <f>+M15/M13</f>
        <v>10.72</v>
      </c>
      <c r="U20">
        <v>0</v>
      </c>
      <c r="V20" s="11">
        <f>ROUND(V19,0)</f>
        <v>10</v>
      </c>
      <c r="W20">
        <f>ROUND(W19,0)</f>
        <v>50</v>
      </c>
    </row>
    <row r="21" spans="22:23" ht="12.75">
      <c r="V21">
        <f>INT(V17)</f>
        <v>28</v>
      </c>
      <c r="W21">
        <f>INT(W17)</f>
        <v>31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415</v>
      </c>
      <c r="H23" t="s">
        <v>14</v>
      </c>
      <c r="M23">
        <f>+M18+M9</f>
        <v>324</v>
      </c>
      <c r="V23" s="14" t="str">
        <f>+V21&amp;V22&amp;V20</f>
        <v>28:10</v>
      </c>
      <c r="W23" s="9" t="str">
        <f>+W21&amp;W22&amp;W20</f>
        <v>31:50</v>
      </c>
    </row>
    <row r="24" spans="1:23" ht="12.75">
      <c r="A24" t="s">
        <v>15</v>
      </c>
      <c r="D24" s="7">
        <f>+D9/D23*100</f>
        <v>25.301204819277107</v>
      </c>
      <c r="H24" t="s">
        <v>15</v>
      </c>
      <c r="M24" s="7">
        <f>+M9/M23*100</f>
        <v>17.28395061728395</v>
      </c>
      <c r="V24" s="9" t="str">
        <f>IF(V20&lt;10,+V21&amp;V22&amp;$U$20&amp;V20,+V21&amp;V22&amp;V20)</f>
        <v>28:10</v>
      </c>
      <c r="W24" s="9" t="str">
        <f>IF(W20&lt;10,+W21&amp;W22&amp;$U$20&amp;W20,+W21&amp;W22&amp;W20)</f>
        <v>31:50</v>
      </c>
    </row>
    <row r="25" spans="1:13" ht="12.75">
      <c r="A25" s="1" t="s">
        <v>86</v>
      </c>
      <c r="D25" s="7">
        <f>+D18/D23*100</f>
        <v>74.69879518072288</v>
      </c>
      <c r="H25" s="1" t="s">
        <v>86</v>
      </c>
      <c r="M25" s="7">
        <f>+M18/M23*100</f>
        <v>82.71604938271605</v>
      </c>
    </row>
    <row r="27" spans="1:13" ht="12.75">
      <c r="A27" t="s">
        <v>16</v>
      </c>
      <c r="D27">
        <f>+D8+D12+D16</f>
        <v>61</v>
      </c>
      <c r="H27" t="s">
        <v>16</v>
      </c>
      <c r="M27">
        <f>+M8+M12+M16</f>
        <v>61</v>
      </c>
    </row>
    <row r="28" spans="1:13" ht="12.75">
      <c r="A28" t="s">
        <v>17</v>
      </c>
      <c r="D28" s="8">
        <f>+D23/D27</f>
        <v>6.80327868852459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5.311475409836065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2</v>
      </c>
      <c r="H31" t="s">
        <v>19</v>
      </c>
      <c r="M31" s="2"/>
    </row>
    <row r="32" spans="1:13" ht="12.75">
      <c r="A32" t="s">
        <v>20</v>
      </c>
      <c r="D32" s="2">
        <v>-1</v>
      </c>
      <c r="H32" t="s">
        <v>20</v>
      </c>
      <c r="M32" s="2"/>
    </row>
    <row r="33" spans="1:13" ht="12.75">
      <c r="A33" t="s">
        <v>21</v>
      </c>
      <c r="D33" s="2"/>
      <c r="H33" t="s">
        <v>21</v>
      </c>
      <c r="M33" s="2"/>
    </row>
    <row r="35" spans="1:13" ht="12.75">
      <c r="A35" t="s">
        <v>22</v>
      </c>
      <c r="D35" s="2">
        <v>2</v>
      </c>
      <c r="H35" t="s">
        <v>22</v>
      </c>
      <c r="M35" s="2">
        <v>5</v>
      </c>
    </row>
    <row r="36" spans="1:13" ht="12.75">
      <c r="A36" t="s">
        <v>23</v>
      </c>
      <c r="D36" s="2">
        <v>89</v>
      </c>
      <c r="H36" t="s">
        <v>23</v>
      </c>
      <c r="M36" s="2">
        <v>225</v>
      </c>
    </row>
    <row r="37" spans="1:13" ht="12.75">
      <c r="A37" t="s">
        <v>24</v>
      </c>
      <c r="D37" s="8">
        <f>+D36/D35</f>
        <v>44.5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45</v>
      </c>
    </row>
    <row r="39" spans="1:13" ht="12.75">
      <c r="A39" t="s">
        <v>25</v>
      </c>
      <c r="D39" s="2">
        <v>3</v>
      </c>
      <c r="H39" t="s">
        <v>25</v>
      </c>
      <c r="M39" s="2"/>
    </row>
    <row r="40" spans="1:13" ht="12.75">
      <c r="A40" t="s">
        <v>26</v>
      </c>
      <c r="D40" s="2">
        <v>19</v>
      </c>
      <c r="H40" t="s">
        <v>26</v>
      </c>
      <c r="M40" s="2"/>
    </row>
    <row r="41" spans="1:13" ht="12.75">
      <c r="A41" t="s">
        <v>27</v>
      </c>
      <c r="D41" s="8">
        <f>+D40/D39</f>
        <v>6.333333333333333</v>
      </c>
      <c r="H41" t="s">
        <v>27</v>
      </c>
      <c r="M41" s="8" t="e">
        <f>+M40/M39</f>
        <v>#DIV/0!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2</v>
      </c>
      <c r="H44" t="s">
        <v>30</v>
      </c>
      <c r="M44" s="2">
        <v>5</v>
      </c>
    </row>
    <row r="45" spans="1:13" ht="12.75">
      <c r="A45" t="s">
        <v>26</v>
      </c>
      <c r="D45" s="2">
        <v>33</v>
      </c>
      <c r="H45" t="s">
        <v>26</v>
      </c>
      <c r="M45" s="2">
        <v>124</v>
      </c>
    </row>
    <row r="46" spans="1:13" ht="12.75">
      <c r="A46" t="s">
        <v>27</v>
      </c>
      <c r="D46" s="8">
        <f>+D45/D44</f>
        <v>16.5</v>
      </c>
      <c r="H46" t="s">
        <v>27</v>
      </c>
      <c r="M46" s="8">
        <f>+M45/M44</f>
        <v>24.8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3</v>
      </c>
      <c r="H49" t="s">
        <v>31</v>
      </c>
      <c r="M49" s="2">
        <v>3</v>
      </c>
    </row>
    <row r="50" spans="1:13" ht="12.75">
      <c r="A50" t="s">
        <v>32</v>
      </c>
      <c r="D50" s="2">
        <v>15</v>
      </c>
      <c r="H50" t="s">
        <v>32</v>
      </c>
      <c r="M50" s="2">
        <v>33</v>
      </c>
    </row>
    <row r="52" spans="1:13" ht="12.75">
      <c r="A52" t="s">
        <v>33</v>
      </c>
      <c r="D52" s="2">
        <v>1</v>
      </c>
      <c r="H52" t="s">
        <v>33</v>
      </c>
      <c r="M52" s="2">
        <v>2</v>
      </c>
    </row>
    <row r="53" spans="1:13" ht="12.75">
      <c r="A53" t="s">
        <v>101</v>
      </c>
      <c r="D53" s="2"/>
      <c r="H53" t="s">
        <v>101</v>
      </c>
      <c r="M53" s="2">
        <v>1</v>
      </c>
    </row>
    <row r="55" spans="1:13" ht="12.75">
      <c r="A55" t="s">
        <v>34</v>
      </c>
      <c r="D55" s="2">
        <v>27</v>
      </c>
      <c r="H55" t="s">
        <v>34</v>
      </c>
      <c r="M55" s="2">
        <v>23</v>
      </c>
    </row>
    <row r="56" spans="1:13" ht="12.75">
      <c r="A56" t="s">
        <v>35</v>
      </c>
      <c r="D56" s="2">
        <v>3</v>
      </c>
      <c r="H56" t="s">
        <v>35</v>
      </c>
      <c r="M56" s="2">
        <v>2</v>
      </c>
    </row>
    <row r="57" spans="1:13" ht="12.75">
      <c r="A57" t="s">
        <v>36</v>
      </c>
      <c r="D57" s="2"/>
      <c r="H57" t="s">
        <v>36</v>
      </c>
      <c r="M57" s="2"/>
    </row>
    <row r="58" spans="1:13" ht="12.75">
      <c r="A58" t="s">
        <v>37</v>
      </c>
      <c r="D58" s="2">
        <v>3</v>
      </c>
      <c r="H58" t="s">
        <v>37</v>
      </c>
      <c r="M58" s="2">
        <v>2</v>
      </c>
    </row>
    <row r="59" spans="1:13" ht="12.75">
      <c r="A59" t="s">
        <v>38</v>
      </c>
      <c r="D59" s="2"/>
      <c r="H59" t="s">
        <v>38</v>
      </c>
      <c r="M59" s="2"/>
    </row>
    <row r="60" spans="1:13" ht="12.75">
      <c r="A60" t="s">
        <v>39</v>
      </c>
      <c r="D60" s="2">
        <v>3</v>
      </c>
      <c r="H60" t="s">
        <v>39</v>
      </c>
      <c r="M60" s="2">
        <v>2</v>
      </c>
    </row>
    <row r="61" spans="1:13" ht="12.75">
      <c r="A61" t="s">
        <v>40</v>
      </c>
      <c r="D61" s="2"/>
      <c r="H61" t="s">
        <v>40</v>
      </c>
      <c r="M61" s="2"/>
    </row>
    <row r="62" spans="1:13" ht="12.75">
      <c r="A62" t="s">
        <v>41</v>
      </c>
      <c r="D62" s="2">
        <v>2</v>
      </c>
      <c r="H62" t="s">
        <v>41</v>
      </c>
      <c r="M62" s="2">
        <v>3</v>
      </c>
    </row>
    <row r="63" spans="1:13" ht="12.75">
      <c r="A63" t="s">
        <v>42</v>
      </c>
      <c r="D63" s="2">
        <v>3</v>
      </c>
      <c r="H63" t="s">
        <v>42</v>
      </c>
      <c r="M63" s="2">
        <v>4</v>
      </c>
    </row>
    <row r="64" spans="1:13" ht="12.75">
      <c r="A64" t="s">
        <v>43</v>
      </c>
      <c r="D64" s="8">
        <f>+D62/D63*100</f>
        <v>66.66666666666666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f>+M62/M63*100</f>
        <v>75</v>
      </c>
    </row>
    <row r="65" spans="1:13" ht="12.75">
      <c r="A65" t="s">
        <v>89</v>
      </c>
      <c r="D65" s="10" t="str">
        <f>IF(V20&lt;10,V24,V23)</f>
        <v>28:10</v>
      </c>
      <c r="E65" s="8"/>
      <c r="F65" s="8"/>
      <c r="H65" t="s">
        <v>89</v>
      </c>
      <c r="M65" s="10" t="str">
        <f>IF(W20&lt;10,W24,W23)</f>
        <v>31:50</v>
      </c>
    </row>
    <row r="66" spans="1:13" ht="12.75">
      <c r="A66" t="s">
        <v>102</v>
      </c>
      <c r="D66" s="8">
        <f>D150</f>
        <v>27.27272727272727</v>
      </c>
      <c r="H66" t="s">
        <v>102</v>
      </c>
      <c r="M66" s="8">
        <f>M150</f>
        <v>46.15384615384615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8" ht="12.75">
      <c r="A70" t="s">
        <v>109</v>
      </c>
      <c r="C70">
        <v>12</v>
      </c>
      <c r="D70">
        <v>56</v>
      </c>
      <c r="E70" s="12">
        <f aca="true" t="shared" si="0" ref="E70:E80">+D70/C70</f>
        <v>4.666666666666667</v>
      </c>
      <c r="F70">
        <v>13</v>
      </c>
      <c r="H70">
        <v>1</v>
      </c>
    </row>
    <row r="71" spans="1:6" ht="12.75">
      <c r="A71" t="s">
        <v>108</v>
      </c>
      <c r="C71">
        <v>11</v>
      </c>
      <c r="D71">
        <v>44</v>
      </c>
      <c r="E71" s="12">
        <f t="shared" si="0"/>
        <v>4</v>
      </c>
      <c r="F71">
        <v>11</v>
      </c>
    </row>
    <row r="72" spans="1:6" ht="12.75">
      <c r="A72" t="s">
        <v>110</v>
      </c>
      <c r="C72">
        <v>1</v>
      </c>
      <c r="D72">
        <v>1</v>
      </c>
      <c r="E72" s="12">
        <f t="shared" si="0"/>
        <v>1</v>
      </c>
      <c r="F72">
        <v>1</v>
      </c>
    </row>
    <row r="73" spans="1:6" ht="12.75">
      <c r="A73" t="s">
        <v>111</v>
      </c>
      <c r="C73">
        <v>1</v>
      </c>
      <c r="D73">
        <v>6</v>
      </c>
      <c r="E73" s="12">
        <f t="shared" si="0"/>
        <v>6</v>
      </c>
      <c r="F73">
        <v>6</v>
      </c>
    </row>
    <row r="74" spans="1:5" ht="12.75">
      <c r="A74" t="s">
        <v>112</v>
      </c>
      <c r="E74" s="12" t="e">
        <f t="shared" si="0"/>
        <v>#DIV/0!</v>
      </c>
    </row>
    <row r="75" spans="1:6" ht="12.75">
      <c r="A75" t="s">
        <v>106</v>
      </c>
      <c r="C75">
        <v>1</v>
      </c>
      <c r="D75">
        <v>-2</v>
      </c>
      <c r="E75" s="12">
        <f t="shared" si="0"/>
        <v>-2</v>
      </c>
      <c r="F75">
        <v>-2</v>
      </c>
    </row>
    <row r="76" spans="1:5" ht="12.75">
      <c r="A76" t="s">
        <v>113</v>
      </c>
      <c r="E76" s="12" t="e">
        <f t="shared" si="0"/>
        <v>#DIV/0!</v>
      </c>
    </row>
    <row r="77" spans="1:5" ht="12.75">
      <c r="A77" t="s">
        <v>114</v>
      </c>
      <c r="E77" s="12" t="e">
        <f t="shared" si="0"/>
        <v>#DIV/0!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7" ht="12.75">
      <c r="A83" t="s">
        <v>117</v>
      </c>
      <c r="C83">
        <v>7</v>
      </c>
      <c r="D83">
        <v>123</v>
      </c>
      <c r="E83" s="12">
        <f aca="true" t="shared" si="1" ref="E83:E92">+D83/C83</f>
        <v>17.571428571428573</v>
      </c>
      <c r="F83">
        <v>74</v>
      </c>
      <c r="G83">
        <v>1</v>
      </c>
    </row>
    <row r="84" spans="1:7" ht="12.75">
      <c r="A84" t="s">
        <v>118</v>
      </c>
      <c r="C84">
        <v>3</v>
      </c>
      <c r="D84">
        <v>116</v>
      </c>
      <c r="E84" s="12">
        <f t="shared" si="1"/>
        <v>38.666666666666664</v>
      </c>
      <c r="F84">
        <v>52</v>
      </c>
      <c r="G84">
        <v>1</v>
      </c>
    </row>
    <row r="85" spans="1:6" ht="12.75">
      <c r="A85" t="s">
        <v>108</v>
      </c>
      <c r="C85">
        <v>5</v>
      </c>
      <c r="D85">
        <v>76</v>
      </c>
      <c r="E85" s="12">
        <f t="shared" si="1"/>
        <v>15.2</v>
      </c>
      <c r="F85">
        <v>34</v>
      </c>
    </row>
    <row r="86" spans="1:7" ht="12.75">
      <c r="A86" t="s">
        <v>113</v>
      </c>
      <c r="C86">
        <v>1</v>
      </c>
      <c r="D86">
        <v>1</v>
      </c>
      <c r="E86" s="12">
        <f t="shared" si="1"/>
        <v>1</v>
      </c>
      <c r="F86">
        <v>10</v>
      </c>
      <c r="G86">
        <v>1</v>
      </c>
    </row>
    <row r="87" spans="1:5" ht="12.75">
      <c r="A87" t="s">
        <v>109</v>
      </c>
      <c r="E87" s="12" t="e">
        <f t="shared" si="1"/>
        <v>#DIV/0!</v>
      </c>
    </row>
    <row r="88" spans="1:5" ht="12.75">
      <c r="A88" t="s">
        <v>114</v>
      </c>
      <c r="E88" s="12" t="e">
        <f t="shared" si="1"/>
        <v>#DIV/0!</v>
      </c>
    </row>
    <row r="89" spans="1:6" ht="12.75">
      <c r="A89" t="s">
        <v>119</v>
      </c>
      <c r="C89">
        <v>1</v>
      </c>
      <c r="D89">
        <v>2</v>
      </c>
      <c r="E89" s="12">
        <f t="shared" si="1"/>
        <v>2</v>
      </c>
      <c r="F89">
        <v>2</v>
      </c>
    </row>
    <row r="90" spans="1:5" ht="12.75">
      <c r="A90" t="s">
        <v>112</v>
      </c>
      <c r="E90" s="12" t="e">
        <f t="shared" si="1"/>
        <v>#DIV/0!</v>
      </c>
    </row>
    <row r="91" spans="1:5" ht="12.75">
      <c r="A91" t="s">
        <v>115</v>
      </c>
      <c r="E91" s="12" t="e">
        <f t="shared" si="1"/>
        <v>#DIV/0!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29</v>
      </c>
      <c r="D96">
        <v>15</v>
      </c>
      <c r="E96" s="12">
        <f>+D96/C96*100</f>
        <v>51.724137931034484</v>
      </c>
      <c r="F96">
        <v>255</v>
      </c>
      <c r="G96">
        <v>1</v>
      </c>
      <c r="H96">
        <v>74</v>
      </c>
      <c r="I96">
        <v>2</v>
      </c>
      <c r="J96" s="8">
        <f>+G96/C96*100</f>
        <v>3.4482758620689653</v>
      </c>
      <c r="K96" s="12">
        <f>+I96/C96*100</f>
        <v>6.896551724137931</v>
      </c>
      <c r="L96" s="12">
        <f>+F96/C96</f>
        <v>8.793103448275861</v>
      </c>
      <c r="M96" s="12">
        <f>100*(S96+U96+W96+Y96)/6</f>
        <v>64.58333333333333</v>
      </c>
      <c r="R96">
        <f>+(E96-30)/20</f>
        <v>1.0862068965517242</v>
      </c>
      <c r="S96" s="2">
        <f>IF(R96&lt;0,0,R96)</f>
        <v>1.0862068965517242</v>
      </c>
      <c r="T96" s="6">
        <f>+(L96-3)/4</f>
        <v>1.4482758620689653</v>
      </c>
      <c r="U96" s="2">
        <f>IF(T96&lt;0,0,T96)</f>
        <v>1.4482758620689653</v>
      </c>
      <c r="V96">
        <f>+J96/5</f>
        <v>0.689655172413793</v>
      </c>
      <c r="W96" s="2">
        <f>IF(V96&lt;0,0,V96)</f>
        <v>0.689655172413793</v>
      </c>
      <c r="X96">
        <f>(9.5-K96)/4</f>
        <v>0.6508620689655173</v>
      </c>
      <c r="Y96" s="2">
        <f>IF(X96&lt;0,0,X96)</f>
        <v>0.6508620689655173</v>
      </c>
    </row>
    <row r="97" spans="1:25" ht="12.75">
      <c r="A97" t="s">
        <v>106</v>
      </c>
      <c r="C97">
        <v>2</v>
      </c>
      <c r="D97">
        <v>1</v>
      </c>
      <c r="E97" s="12">
        <f>+D97/C97*100</f>
        <v>50</v>
      </c>
      <c r="F97">
        <v>20</v>
      </c>
      <c r="G97">
        <v>1</v>
      </c>
      <c r="H97">
        <v>20</v>
      </c>
      <c r="J97" s="8">
        <f>+G97/C97*100</f>
        <v>50</v>
      </c>
      <c r="K97" s="12">
        <f>+I97/C97*100</f>
        <v>0</v>
      </c>
      <c r="L97" s="12">
        <f>+F97/C97</f>
        <v>10</v>
      </c>
      <c r="M97" s="12">
        <v>125</v>
      </c>
      <c r="R97">
        <f>+(E97-30)/20</f>
        <v>1</v>
      </c>
      <c r="S97" s="2">
        <f>IF(R97&lt;0,0,R97)</f>
        <v>1</v>
      </c>
      <c r="T97" s="6">
        <f>+(L97-3)/4</f>
        <v>1.75</v>
      </c>
      <c r="U97" s="2">
        <f>IF(T97&lt;0,0,T97)</f>
        <v>1.75</v>
      </c>
      <c r="V97">
        <f>+J97/5</f>
        <v>10</v>
      </c>
      <c r="W97" s="2">
        <f>IF(V97&lt;0,0,V97)</f>
        <v>10</v>
      </c>
      <c r="X97">
        <f>(9.5-K97)/4</f>
        <v>2.375</v>
      </c>
      <c r="Y97" s="2">
        <f>IF(X97&lt;0,0,X97)</f>
        <v>2.375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C99">
        <v>1</v>
      </c>
      <c r="D99">
        <v>1</v>
      </c>
      <c r="E99" s="12">
        <f>+D99/C99*100</f>
        <v>100</v>
      </c>
      <c r="F99">
        <v>52</v>
      </c>
      <c r="G99">
        <v>1</v>
      </c>
      <c r="H99">
        <v>52</v>
      </c>
      <c r="J99" s="8">
        <f>+G99/C99*100</f>
        <v>100</v>
      </c>
      <c r="K99" s="12">
        <f>+I99/C99*100</f>
        <v>0</v>
      </c>
      <c r="L99" s="12">
        <f>+F99/C99</f>
        <v>52</v>
      </c>
      <c r="M99" s="12">
        <v>158.3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7" ht="12.75">
      <c r="A102" t="s">
        <v>118</v>
      </c>
      <c r="C102">
        <v>3</v>
      </c>
      <c r="E102">
        <v>19</v>
      </c>
      <c r="F102" s="12">
        <f>+E102/C102</f>
        <v>6.333333333333333</v>
      </c>
      <c r="G102">
        <v>10</v>
      </c>
    </row>
    <row r="103" spans="1:6" ht="12.75">
      <c r="A103" t="s">
        <v>117</v>
      </c>
      <c r="F103" s="12" t="e">
        <f>+E103/C103</f>
        <v>#DIV/0!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6" ht="12.75">
      <c r="A107" t="s">
        <v>111</v>
      </c>
      <c r="C107">
        <v>2</v>
      </c>
      <c r="D107">
        <v>33</v>
      </c>
      <c r="E107" s="12">
        <f aca="true" t="shared" si="2" ref="E107:E113">+D107/C107</f>
        <v>16.5</v>
      </c>
      <c r="F107">
        <v>17</v>
      </c>
    </row>
    <row r="108" spans="1:5" ht="12.75">
      <c r="A108" t="s">
        <v>115</v>
      </c>
      <c r="E108" s="12" t="e">
        <f t="shared" si="2"/>
        <v>#DIV/0!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6" ht="12.75">
      <c r="A116" t="s">
        <v>116</v>
      </c>
      <c r="C116">
        <v>2</v>
      </c>
      <c r="D116">
        <v>89</v>
      </c>
      <c r="E116" s="12">
        <f>+D116/C116</f>
        <v>44.5</v>
      </c>
      <c r="F116">
        <v>54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6</v>
      </c>
      <c r="D119">
        <v>1</v>
      </c>
      <c r="E119">
        <v>3</v>
      </c>
      <c r="F119">
        <v>3</v>
      </c>
      <c r="G119">
        <v>3</v>
      </c>
      <c r="H119">
        <v>2</v>
      </c>
      <c r="I119" s="12">
        <f>+H119/G119*100</f>
        <v>66.66666666666666</v>
      </c>
      <c r="J119">
        <v>15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5" ht="12.75">
      <c r="A123" t="s">
        <v>121</v>
      </c>
      <c r="E123" s="12" t="e">
        <f>+D123/C123</f>
        <v>#DIV/0!</v>
      </c>
    </row>
    <row r="124" spans="1:5" ht="12.75">
      <c r="A124" t="s">
        <v>124</v>
      </c>
      <c r="E124" s="12" t="e">
        <f aca="true" t="shared" si="3" ref="E124:E130">+D124/C124</f>
        <v>#DIV/0!</v>
      </c>
    </row>
    <row r="125" spans="1:5" ht="12.75">
      <c r="A125" t="s">
        <v>125</v>
      </c>
      <c r="E125" s="12" t="e">
        <f t="shared" si="3"/>
        <v>#DIV/0!</v>
      </c>
    </row>
    <row r="126" spans="1:5" ht="12.75">
      <c r="A126" t="s">
        <v>126</v>
      </c>
      <c r="E126" s="12" t="e">
        <f t="shared" si="3"/>
        <v>#DIV/0!</v>
      </c>
    </row>
    <row r="127" spans="1:5" ht="12.75">
      <c r="A127" t="s">
        <v>127</v>
      </c>
      <c r="E127" s="12" t="e">
        <f t="shared" si="3"/>
        <v>#DIV/0!</v>
      </c>
    </row>
    <row r="128" spans="1:5" ht="12.75">
      <c r="A128" t="s">
        <v>128</v>
      </c>
      <c r="E128" s="12" t="e">
        <f t="shared" si="3"/>
        <v>#DIV/0!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ht="12.75">
      <c r="A133" t="s">
        <v>132</v>
      </c>
    </row>
    <row r="134" ht="12.75">
      <c r="A134" t="s">
        <v>123</v>
      </c>
    </row>
    <row r="135" ht="12.75">
      <c r="A135" t="s">
        <v>126</v>
      </c>
    </row>
    <row r="136" ht="12.75">
      <c r="A136" t="s">
        <v>128</v>
      </c>
    </row>
    <row r="137" ht="12.75">
      <c r="A137" t="s">
        <v>129</v>
      </c>
    </row>
    <row r="138" ht="12.75">
      <c r="A138" t="s">
        <v>125</v>
      </c>
    </row>
    <row r="139" ht="12.75">
      <c r="A139" t="s">
        <v>127</v>
      </c>
    </row>
    <row r="140" ht="12.75">
      <c r="A140" t="s">
        <v>133</v>
      </c>
    </row>
    <row r="141" ht="12.75">
      <c r="A141" t="s">
        <v>134</v>
      </c>
    </row>
    <row r="142" ht="12.75">
      <c r="A142" t="s">
        <v>135</v>
      </c>
    </row>
    <row r="143" ht="12.75">
      <c r="A143" t="s">
        <v>136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11</v>
      </c>
      <c r="H148" t="s">
        <v>93</v>
      </c>
      <c r="M148">
        <v>13</v>
      </c>
    </row>
    <row r="149" spans="1:13" ht="12.75">
      <c r="A149" t="s">
        <v>94</v>
      </c>
      <c r="D149">
        <v>3</v>
      </c>
      <c r="H149" t="s">
        <v>94</v>
      </c>
      <c r="M149">
        <v>6</v>
      </c>
    </row>
    <row r="150" spans="1:13" ht="12.75">
      <c r="A150" t="s">
        <v>95</v>
      </c>
      <c r="D150" s="8">
        <f>D149/D148*100</f>
        <v>27.27272727272727</v>
      </c>
      <c r="H150" t="s">
        <v>95</v>
      </c>
      <c r="M150" s="8">
        <f>+M149/M148*100</f>
        <v>46.15384615384615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Y150"/>
  <sheetViews>
    <sheetView zoomScalePageLayoutView="0" workbookViewId="0" topLeftCell="A1">
      <selection activeCell="D6" sqref="D6:D6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16</v>
      </c>
      <c r="H6" s="1" t="s">
        <v>29</v>
      </c>
      <c r="M6" s="2">
        <v>12</v>
      </c>
    </row>
    <row r="8" spans="1:23" ht="12.75">
      <c r="A8" t="s">
        <v>1</v>
      </c>
      <c r="D8" s="2">
        <v>33</v>
      </c>
      <c r="H8" t="s">
        <v>1</v>
      </c>
      <c r="M8" s="2">
        <v>37</v>
      </c>
      <c r="V8">
        <f>+D8</f>
        <v>33</v>
      </c>
      <c r="W8">
        <f>+M8</f>
        <v>37</v>
      </c>
    </row>
    <row r="9" spans="1:23" ht="12.75">
      <c r="A9" t="s">
        <v>2</v>
      </c>
      <c r="D9" s="2">
        <v>179</v>
      </c>
      <c r="H9" t="s">
        <v>2</v>
      </c>
      <c r="M9" s="2">
        <v>115</v>
      </c>
      <c r="U9" s="13"/>
      <c r="V9">
        <f>+D13</f>
        <v>13</v>
      </c>
      <c r="W9">
        <f>+M13</f>
        <v>8</v>
      </c>
    </row>
    <row r="10" spans="1:23" ht="12.75">
      <c r="A10" s="1" t="s">
        <v>3</v>
      </c>
      <c r="D10" s="8">
        <f>+D9/D8</f>
        <v>5.424242424242424</v>
      </c>
      <c r="H10" s="1" t="s">
        <v>3</v>
      </c>
      <c r="M10" s="8">
        <f>M9/M8</f>
        <v>3.108108108108108</v>
      </c>
      <c r="V10">
        <f>+(D12-D13)/2</f>
        <v>3.5</v>
      </c>
      <c r="W10">
        <f>+(M12-M13)/2</f>
        <v>12</v>
      </c>
    </row>
    <row r="11" spans="22:23" ht="12.75">
      <c r="V11">
        <f>+D35/2</f>
        <v>5</v>
      </c>
      <c r="W11">
        <f>+M35/2</f>
        <v>2.5</v>
      </c>
    </row>
    <row r="12" spans="1:23" ht="12.75">
      <c r="A12" t="s">
        <v>4</v>
      </c>
      <c r="D12" s="2">
        <v>20</v>
      </c>
      <c r="H12" t="s">
        <v>4</v>
      </c>
      <c r="M12" s="2">
        <v>32</v>
      </c>
      <c r="V12">
        <f>+D39/2</f>
        <v>1</v>
      </c>
      <c r="W12">
        <f>+M39/2</f>
        <v>0</v>
      </c>
    </row>
    <row r="13" spans="1:23" ht="12.75">
      <c r="A13" t="s">
        <v>5</v>
      </c>
      <c r="D13" s="2">
        <v>13</v>
      </c>
      <c r="H13" t="s">
        <v>5</v>
      </c>
      <c r="M13" s="2">
        <v>8</v>
      </c>
      <c r="V13">
        <f>+D44/2</f>
        <v>1</v>
      </c>
      <c r="W13">
        <f>+M44/2</f>
        <v>2.5</v>
      </c>
    </row>
    <row r="14" spans="1:13" ht="12.75">
      <c r="A14" t="s">
        <v>6</v>
      </c>
      <c r="D14" s="8">
        <f>+D13/D12*100</f>
        <v>65</v>
      </c>
      <c r="H14" t="s">
        <v>6</v>
      </c>
      <c r="M14" s="8">
        <f>+M13/M12*100</f>
        <v>25</v>
      </c>
    </row>
    <row r="15" spans="1:24" ht="12.75">
      <c r="A15" t="s">
        <v>7</v>
      </c>
      <c r="D15" s="2">
        <v>160</v>
      </c>
      <c r="H15" t="s">
        <v>7</v>
      </c>
      <c r="M15" s="2">
        <v>160</v>
      </c>
      <c r="V15">
        <f>SUM(V8:V13)</f>
        <v>56.5</v>
      </c>
      <c r="W15">
        <f>SUM(W8:W13)</f>
        <v>62</v>
      </c>
      <c r="X15">
        <f>+W15+V15</f>
        <v>118.5</v>
      </c>
    </row>
    <row r="16" spans="1:23" ht="12.75">
      <c r="A16" t="s">
        <v>8</v>
      </c>
      <c r="D16" s="2">
        <v>4</v>
      </c>
      <c r="H16" t="s">
        <v>8</v>
      </c>
      <c r="M16" s="2">
        <v>1</v>
      </c>
      <c r="V16">
        <f>+V15/X15</f>
        <v>0.4767932489451477</v>
      </c>
      <c r="W16">
        <f>+W15/X15</f>
        <v>0.5232067510548524</v>
      </c>
    </row>
    <row r="17" spans="1:23" ht="12.75">
      <c r="A17" t="s">
        <v>9</v>
      </c>
      <c r="D17" s="2">
        <v>41</v>
      </c>
      <c r="H17" t="s">
        <v>9</v>
      </c>
      <c r="M17" s="2">
        <v>5</v>
      </c>
      <c r="V17">
        <f>+V16*60</f>
        <v>28.60759493670886</v>
      </c>
      <c r="W17">
        <f>+W16*60</f>
        <v>31.392405063291143</v>
      </c>
    </row>
    <row r="18" spans="1:23" ht="12.75">
      <c r="A18" t="s">
        <v>10</v>
      </c>
      <c r="D18">
        <f>+D15-D17</f>
        <v>119</v>
      </c>
      <c r="H18" t="s">
        <v>10</v>
      </c>
      <c r="M18">
        <f>+M15-M17</f>
        <v>155</v>
      </c>
      <c r="V18">
        <f>+V17-INT(V17)</f>
        <v>0.6075949367088604</v>
      </c>
      <c r="W18">
        <f>+W17-INT(W17)</f>
        <v>0.3924050632911431</v>
      </c>
    </row>
    <row r="19" spans="1:23" ht="12.75">
      <c r="A19" t="s">
        <v>11</v>
      </c>
      <c r="D19" s="7">
        <f>+D18/(D12+D16)</f>
        <v>4.958333333333333</v>
      </c>
      <c r="H19" t="s">
        <v>11</v>
      </c>
      <c r="M19" s="7">
        <f>+M18/(M12+M16)</f>
        <v>4.696969696969697</v>
      </c>
      <c r="V19">
        <f>+V18*60</f>
        <v>36.45569620253163</v>
      </c>
      <c r="W19">
        <f>+W18*60</f>
        <v>23.544303797468586</v>
      </c>
    </row>
    <row r="20" spans="1:23" ht="12.75">
      <c r="A20" t="s">
        <v>12</v>
      </c>
      <c r="D20" s="7">
        <f>+D15/D13</f>
        <v>12.307692307692308</v>
      </c>
      <c r="H20" t="s">
        <v>12</v>
      </c>
      <c r="M20" s="7">
        <f>+M15/M13</f>
        <v>20</v>
      </c>
      <c r="U20">
        <v>0</v>
      </c>
      <c r="V20" s="11">
        <f>ROUND(V19,0)</f>
        <v>36</v>
      </c>
      <c r="W20">
        <f>ROUND(W19,0)</f>
        <v>24</v>
      </c>
    </row>
    <row r="21" spans="22:23" ht="12.75">
      <c r="V21">
        <f>INT(V17)</f>
        <v>28</v>
      </c>
      <c r="W21">
        <f>INT(W17)</f>
        <v>31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298</v>
      </c>
      <c r="H23" t="s">
        <v>14</v>
      </c>
      <c r="M23">
        <f>+M18+M9</f>
        <v>270</v>
      </c>
      <c r="V23" s="14" t="str">
        <f>+V21&amp;V22&amp;V20</f>
        <v>28:36</v>
      </c>
      <c r="W23" s="9" t="str">
        <f>+W21&amp;W22&amp;W20</f>
        <v>31:24</v>
      </c>
    </row>
    <row r="24" spans="1:23" ht="12.75">
      <c r="A24" t="s">
        <v>15</v>
      </c>
      <c r="D24" s="7">
        <f>+D9/D23*100</f>
        <v>60.06711409395973</v>
      </c>
      <c r="H24" t="s">
        <v>15</v>
      </c>
      <c r="M24" s="7">
        <f>+M9/M23*100</f>
        <v>42.592592592592595</v>
      </c>
      <c r="V24" s="9" t="str">
        <f>IF(V20&lt;10,+V21&amp;V22&amp;$U$20&amp;V20,+V21&amp;V22&amp;V20)</f>
        <v>28:36</v>
      </c>
      <c r="W24" s="9" t="str">
        <f>IF(W20&lt;10,+W21&amp;W22&amp;$U$20&amp;W20,+W21&amp;W22&amp;W20)</f>
        <v>31:24</v>
      </c>
    </row>
    <row r="25" spans="1:13" ht="12.75">
      <c r="A25" s="1" t="s">
        <v>86</v>
      </c>
      <c r="D25" s="7">
        <f>+D18/D23*100</f>
        <v>39.93288590604027</v>
      </c>
      <c r="H25" s="1" t="s">
        <v>86</v>
      </c>
      <c r="M25" s="7">
        <f>+M18/M23*100</f>
        <v>57.407407407407405</v>
      </c>
    </row>
    <row r="27" spans="1:13" ht="12.75">
      <c r="A27" t="s">
        <v>16</v>
      </c>
      <c r="D27">
        <f>+D8+D12+D16</f>
        <v>57</v>
      </c>
      <c r="H27" t="s">
        <v>16</v>
      </c>
      <c r="M27">
        <f>+M8+M12+M16</f>
        <v>70</v>
      </c>
    </row>
    <row r="28" spans="1:13" ht="12.75">
      <c r="A28" t="s">
        <v>17</v>
      </c>
      <c r="D28" s="8">
        <f>+D23/D27</f>
        <v>5.228070175438597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3.857142857142857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/>
      <c r="H31" t="s">
        <v>19</v>
      </c>
      <c r="M31" s="2">
        <v>8</v>
      </c>
    </row>
    <row r="32" spans="1:13" ht="12.75">
      <c r="A32" t="s">
        <v>20</v>
      </c>
      <c r="D32" s="2"/>
      <c r="H32" t="s">
        <v>20</v>
      </c>
      <c r="M32" s="2">
        <v>61</v>
      </c>
    </row>
    <row r="33" spans="1:13" ht="12.75">
      <c r="A33" t="s">
        <v>21</v>
      </c>
      <c r="D33" s="2"/>
      <c r="H33" t="s">
        <v>21</v>
      </c>
      <c r="M33" s="2">
        <v>1</v>
      </c>
    </row>
    <row r="35" spans="1:13" ht="12.75">
      <c r="A35" t="s">
        <v>22</v>
      </c>
      <c r="D35" s="2">
        <v>10</v>
      </c>
      <c r="H35" t="s">
        <v>22</v>
      </c>
      <c r="M35" s="2">
        <v>5</v>
      </c>
    </row>
    <row r="36" spans="1:13" ht="12.75">
      <c r="A36" t="s">
        <v>23</v>
      </c>
      <c r="D36" s="2">
        <v>350</v>
      </c>
      <c r="H36" t="s">
        <v>23</v>
      </c>
      <c r="M36" s="2">
        <v>181</v>
      </c>
    </row>
    <row r="37" spans="1:13" ht="12.75">
      <c r="A37" t="s">
        <v>24</v>
      </c>
      <c r="D37" s="8">
        <f>+D36/D35</f>
        <v>35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36.2</v>
      </c>
    </row>
    <row r="39" spans="1:13" ht="12.75">
      <c r="A39" t="s">
        <v>25</v>
      </c>
      <c r="D39" s="2">
        <v>2</v>
      </c>
      <c r="H39" t="s">
        <v>25</v>
      </c>
      <c r="M39" s="2"/>
    </row>
    <row r="40" spans="1:13" ht="12.75">
      <c r="A40" t="s">
        <v>26</v>
      </c>
      <c r="D40" s="2">
        <v>29</v>
      </c>
      <c r="H40" t="s">
        <v>26</v>
      </c>
      <c r="M40" s="2"/>
    </row>
    <row r="41" spans="1:13" ht="12.75">
      <c r="A41" t="s">
        <v>27</v>
      </c>
      <c r="D41" s="8">
        <f>+D40/D39</f>
        <v>14.5</v>
      </c>
      <c r="H41" t="s">
        <v>27</v>
      </c>
      <c r="M41" s="8" t="e">
        <f>+M40/M39</f>
        <v>#DIV/0!</v>
      </c>
    </row>
    <row r="42" spans="1:13" ht="12.75">
      <c r="A42" t="s">
        <v>28</v>
      </c>
      <c r="D42" s="2"/>
      <c r="H42" t="s">
        <v>28</v>
      </c>
      <c r="M42" s="2"/>
    </row>
    <row r="44" spans="1:13" ht="12.75">
      <c r="A44" t="s">
        <v>30</v>
      </c>
      <c r="D44" s="2">
        <v>2</v>
      </c>
      <c r="H44" t="s">
        <v>30</v>
      </c>
      <c r="M44" s="2">
        <v>5</v>
      </c>
    </row>
    <row r="45" spans="1:13" ht="12.75">
      <c r="A45" t="s">
        <v>26</v>
      </c>
      <c r="D45" s="2">
        <v>50</v>
      </c>
      <c r="H45" t="s">
        <v>26</v>
      </c>
      <c r="M45" s="2">
        <v>89</v>
      </c>
    </row>
    <row r="46" spans="1:13" ht="12.75">
      <c r="A46" t="s">
        <v>27</v>
      </c>
      <c r="D46" s="8">
        <f>+D45/D44</f>
        <v>25</v>
      </c>
      <c r="H46" t="s">
        <v>27</v>
      </c>
      <c r="M46" s="8">
        <f>+M45/M44</f>
        <v>17.8</v>
      </c>
    </row>
    <row r="47" spans="1:13" ht="12.75">
      <c r="A47" t="s">
        <v>28</v>
      </c>
      <c r="D47" s="2"/>
      <c r="H47" t="s">
        <v>28</v>
      </c>
      <c r="M47" s="2"/>
    </row>
    <row r="49" spans="1:13" ht="12.75">
      <c r="A49" t="s">
        <v>31</v>
      </c>
      <c r="D49" s="2">
        <v>4</v>
      </c>
      <c r="H49" t="s">
        <v>31</v>
      </c>
      <c r="M49" s="2">
        <v>1</v>
      </c>
    </row>
    <row r="50" spans="1:13" ht="12.75">
      <c r="A50" t="s">
        <v>32</v>
      </c>
      <c r="D50" s="2">
        <v>41</v>
      </c>
      <c r="H50" t="s">
        <v>32</v>
      </c>
      <c r="M50" s="2">
        <v>5</v>
      </c>
    </row>
    <row r="52" spans="1:13" ht="12.75">
      <c r="A52" t="s">
        <v>33</v>
      </c>
      <c r="D52" s="2">
        <v>1</v>
      </c>
      <c r="H52" t="s">
        <v>33</v>
      </c>
      <c r="M52" s="2">
        <v>3</v>
      </c>
    </row>
    <row r="53" spans="1:13" ht="12.75">
      <c r="A53" t="s">
        <v>101</v>
      </c>
      <c r="D53" s="2">
        <v>1</v>
      </c>
      <c r="H53" t="s">
        <v>101</v>
      </c>
      <c r="M53" s="2">
        <v>1</v>
      </c>
    </row>
    <row r="55" spans="1:13" ht="12.75">
      <c r="A55" t="s">
        <v>34</v>
      </c>
      <c r="D55" s="2">
        <v>38</v>
      </c>
      <c r="H55" t="s">
        <v>34</v>
      </c>
      <c r="M55" s="2">
        <v>10</v>
      </c>
    </row>
    <row r="56" spans="1:13" ht="12.75">
      <c r="A56" t="s">
        <v>35</v>
      </c>
      <c r="D56" s="2">
        <v>5</v>
      </c>
      <c r="H56" t="s">
        <v>35</v>
      </c>
      <c r="M56" s="2">
        <v>1</v>
      </c>
    </row>
    <row r="57" spans="1:13" ht="12.75">
      <c r="A57" t="s">
        <v>36</v>
      </c>
      <c r="D57" s="2">
        <v>2</v>
      </c>
      <c r="H57" t="s">
        <v>36</v>
      </c>
      <c r="M57" s="2">
        <v>1</v>
      </c>
    </row>
    <row r="58" spans="1:13" ht="12.75">
      <c r="A58" t="s">
        <v>37</v>
      </c>
      <c r="D58" s="2">
        <v>2</v>
      </c>
      <c r="H58" t="s">
        <v>37</v>
      </c>
      <c r="M58" s="2">
        <v>0</v>
      </c>
    </row>
    <row r="59" spans="1:13" ht="12.75">
      <c r="A59" t="s">
        <v>38</v>
      </c>
      <c r="D59" s="2">
        <v>1</v>
      </c>
      <c r="H59" t="s">
        <v>38</v>
      </c>
      <c r="M59" s="2">
        <v>0</v>
      </c>
    </row>
    <row r="60" spans="1:13" ht="12.75">
      <c r="A60" t="s">
        <v>39</v>
      </c>
      <c r="D60" s="2">
        <v>5</v>
      </c>
      <c r="H60" t="s">
        <v>39</v>
      </c>
      <c r="M60" s="2">
        <v>1</v>
      </c>
    </row>
    <row r="61" spans="1:13" ht="12.75">
      <c r="A61" t="s">
        <v>40</v>
      </c>
      <c r="D61" s="2"/>
      <c r="H61" t="s">
        <v>40</v>
      </c>
      <c r="M61" s="2"/>
    </row>
    <row r="62" spans="1:13" ht="12.75">
      <c r="A62" t="s">
        <v>41</v>
      </c>
      <c r="D62" s="2">
        <v>1</v>
      </c>
      <c r="H62" t="s">
        <v>41</v>
      </c>
      <c r="M62" s="2">
        <v>1</v>
      </c>
    </row>
    <row r="63" spans="1:13" ht="12.75">
      <c r="A63" t="s">
        <v>42</v>
      </c>
      <c r="D63" s="2">
        <v>1</v>
      </c>
      <c r="H63" t="s">
        <v>42</v>
      </c>
      <c r="M63" s="2">
        <v>1</v>
      </c>
    </row>
    <row r="64" spans="1:13" ht="12.75">
      <c r="A64" t="s">
        <v>43</v>
      </c>
      <c r="D64" s="8">
        <f>+D62/D63*100</f>
        <v>100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f>+M62/M63*100</f>
        <v>100</v>
      </c>
    </row>
    <row r="65" spans="1:13" ht="12.75">
      <c r="A65" t="s">
        <v>89</v>
      </c>
      <c r="D65" s="10" t="str">
        <f>IF(V20&lt;10,V24,V23)</f>
        <v>28:36</v>
      </c>
      <c r="E65" s="8"/>
      <c r="F65" s="8"/>
      <c r="H65" t="s">
        <v>89</v>
      </c>
      <c r="M65" s="10" t="str">
        <f>IF(W20&lt;10,W24,W23)</f>
        <v>31:24</v>
      </c>
    </row>
    <row r="66" spans="1:13" ht="12.75">
      <c r="A66" t="s">
        <v>102</v>
      </c>
      <c r="D66" s="8">
        <f>D150</f>
        <v>14.285714285714285</v>
      </c>
      <c r="H66" t="s">
        <v>102</v>
      </c>
      <c r="M66" s="8">
        <f>M150</f>
        <v>11.76470588235294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6" ht="12.75">
      <c r="A70" t="s">
        <v>109</v>
      </c>
      <c r="C70">
        <v>18</v>
      </c>
      <c r="D70">
        <v>100</v>
      </c>
      <c r="E70" s="12">
        <f aca="true" t="shared" si="0" ref="E70:E80">+D70/C70</f>
        <v>5.555555555555555</v>
      </c>
      <c r="F70">
        <v>20</v>
      </c>
    </row>
    <row r="71" spans="1:7" ht="12.75">
      <c r="A71" t="s">
        <v>108</v>
      </c>
      <c r="C71">
        <v>10</v>
      </c>
      <c r="D71">
        <v>21</v>
      </c>
      <c r="E71" s="12">
        <f t="shared" si="0"/>
        <v>2.1</v>
      </c>
      <c r="F71">
        <v>9</v>
      </c>
      <c r="G71">
        <v>1</v>
      </c>
    </row>
    <row r="72" spans="1:6" ht="12.75">
      <c r="A72" t="s">
        <v>110</v>
      </c>
      <c r="C72">
        <v>3</v>
      </c>
      <c r="D72">
        <v>24</v>
      </c>
      <c r="E72" s="12">
        <f t="shared" si="0"/>
        <v>8</v>
      </c>
      <c r="F72">
        <v>14</v>
      </c>
    </row>
    <row r="73" spans="1:7" ht="12.75">
      <c r="A73" t="s">
        <v>111</v>
      </c>
      <c r="C73">
        <v>1</v>
      </c>
      <c r="D73">
        <v>5</v>
      </c>
      <c r="E73" s="12">
        <f t="shared" si="0"/>
        <v>5</v>
      </c>
      <c r="F73">
        <v>5</v>
      </c>
      <c r="G73">
        <v>1</v>
      </c>
    </row>
    <row r="74" spans="1:5" ht="12.75">
      <c r="A74" t="s">
        <v>112</v>
      </c>
      <c r="E74" s="12" t="e">
        <f t="shared" si="0"/>
        <v>#DIV/0!</v>
      </c>
    </row>
    <row r="75" spans="1:5" ht="12.75">
      <c r="A75" t="s">
        <v>106</v>
      </c>
      <c r="E75" s="12" t="e">
        <f t="shared" si="0"/>
        <v>#DIV/0!</v>
      </c>
    </row>
    <row r="76" spans="1:5" ht="12.75">
      <c r="A76" t="s">
        <v>113</v>
      </c>
      <c r="E76" s="12" t="e">
        <f t="shared" si="0"/>
        <v>#DIV/0!</v>
      </c>
    </row>
    <row r="77" spans="1:6" ht="12.75">
      <c r="A77" t="s">
        <v>114</v>
      </c>
      <c r="C77">
        <v>1</v>
      </c>
      <c r="D77">
        <v>29</v>
      </c>
      <c r="E77" s="12">
        <f t="shared" si="0"/>
        <v>29</v>
      </c>
      <c r="F77">
        <v>29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6" ht="12.75">
      <c r="A83" t="s">
        <v>117</v>
      </c>
      <c r="C83">
        <v>2</v>
      </c>
      <c r="D83">
        <v>5</v>
      </c>
      <c r="E83" s="12">
        <f aca="true" t="shared" si="1" ref="E83:E92">+D83/C83</f>
        <v>2.5</v>
      </c>
      <c r="F83">
        <v>5</v>
      </c>
    </row>
    <row r="84" spans="1:7" ht="12.75">
      <c r="A84" t="s">
        <v>118</v>
      </c>
      <c r="C84">
        <v>8</v>
      </c>
      <c r="D84">
        <v>150</v>
      </c>
      <c r="E84" s="12">
        <f t="shared" si="1"/>
        <v>18.75</v>
      </c>
      <c r="F84">
        <v>34</v>
      </c>
      <c r="G84">
        <v>2</v>
      </c>
    </row>
    <row r="85" spans="1:5" ht="12.75">
      <c r="A85" t="s">
        <v>108</v>
      </c>
      <c r="C85">
        <v>1</v>
      </c>
      <c r="E85" s="12">
        <f t="shared" si="1"/>
        <v>0</v>
      </c>
    </row>
    <row r="86" spans="1:5" ht="12.75">
      <c r="A86" t="s">
        <v>113</v>
      </c>
      <c r="E86" s="12" t="e">
        <f t="shared" si="1"/>
        <v>#DIV/0!</v>
      </c>
    </row>
    <row r="87" spans="1:6" ht="12.75">
      <c r="A87" t="s">
        <v>109</v>
      </c>
      <c r="C87">
        <v>1</v>
      </c>
      <c r="D87">
        <v>1</v>
      </c>
      <c r="E87" s="12">
        <f t="shared" si="1"/>
        <v>1</v>
      </c>
      <c r="F87">
        <v>1</v>
      </c>
    </row>
    <row r="88" spans="1:5" ht="12.75">
      <c r="A88" t="s">
        <v>114</v>
      </c>
      <c r="E88" s="12" t="e">
        <f t="shared" si="1"/>
        <v>#DIV/0!</v>
      </c>
    </row>
    <row r="89" spans="1:5" ht="12.75">
      <c r="A89" t="s">
        <v>119</v>
      </c>
      <c r="E89" s="12" t="e">
        <f t="shared" si="1"/>
        <v>#DIV/0!</v>
      </c>
    </row>
    <row r="90" spans="1:5" ht="12.75">
      <c r="A90" t="s">
        <v>112</v>
      </c>
      <c r="E90" s="12" t="e">
        <f t="shared" si="1"/>
        <v>#DIV/0!</v>
      </c>
    </row>
    <row r="91" spans="1:6" ht="12.75">
      <c r="A91" t="s">
        <v>115</v>
      </c>
      <c r="C91">
        <v>1</v>
      </c>
      <c r="D91">
        <v>4</v>
      </c>
      <c r="E91" s="12">
        <f t="shared" si="1"/>
        <v>4</v>
      </c>
      <c r="F91">
        <v>4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19</v>
      </c>
      <c r="D96">
        <v>12</v>
      </c>
      <c r="E96" s="12">
        <f>+D96/C96*100</f>
        <v>63.1578947368421</v>
      </c>
      <c r="F96">
        <v>153</v>
      </c>
      <c r="G96">
        <v>1</v>
      </c>
      <c r="H96">
        <v>34</v>
      </c>
      <c r="J96" s="8">
        <f>+G96/C96*100</f>
        <v>5.263157894736842</v>
      </c>
      <c r="K96" s="12">
        <f>+I96/C96*100</f>
        <v>0</v>
      </c>
      <c r="L96" s="12">
        <f>+F96/C96</f>
        <v>8.052631578947368</v>
      </c>
      <c r="M96" s="12">
        <f>100*(S96+U96+W96+Y96)/6</f>
        <v>105.8114035087719</v>
      </c>
      <c r="R96">
        <f>+(E96-30)/20</f>
        <v>1.657894736842105</v>
      </c>
      <c r="S96" s="2">
        <f>IF(R96&lt;0,0,R96)</f>
        <v>1.657894736842105</v>
      </c>
      <c r="T96" s="6">
        <f>+(L96-3)/4</f>
        <v>1.263157894736842</v>
      </c>
      <c r="U96" s="2">
        <f>IF(T96&lt;0,0,T96)</f>
        <v>1.263157894736842</v>
      </c>
      <c r="V96">
        <f>+J96/5</f>
        <v>1.0526315789473684</v>
      </c>
      <c r="W96" s="2">
        <f>IF(V96&lt;0,0,V96)</f>
        <v>1.0526315789473684</v>
      </c>
      <c r="X96">
        <f>(9.5-K96)/4</f>
        <v>2.375</v>
      </c>
      <c r="Y96" s="2">
        <f>IF(X96&lt;0,0,X96)</f>
        <v>2.375</v>
      </c>
    </row>
    <row r="97" spans="1:25" ht="12.75">
      <c r="A97" t="s">
        <v>106</v>
      </c>
      <c r="E97" s="12" t="e">
        <f>+D97/C97*100</f>
        <v>#DIV/0!</v>
      </c>
      <c r="J97" s="8" t="e">
        <f>+G97/C97*100</f>
        <v>#DIV/0!</v>
      </c>
      <c r="K97" s="12" t="e">
        <f>+I97/C97*100</f>
        <v>#DIV/0!</v>
      </c>
      <c r="L97" s="12" t="e">
        <f>+F97/C97</f>
        <v>#DIV/0!</v>
      </c>
      <c r="M97" s="12" t="e">
        <f>100*(S97+U97+W97+Y97)/6</f>
        <v>#DIV/0!</v>
      </c>
      <c r="R97" t="e">
        <f>+(E97-30)/20</f>
        <v>#DIV/0!</v>
      </c>
      <c r="S97" s="2" t="e">
        <f>IF(R97&lt;0,0,R97)</f>
        <v>#DIV/0!</v>
      </c>
      <c r="T97" s="6" t="e">
        <f>+(L97-3)/4</f>
        <v>#DIV/0!</v>
      </c>
      <c r="U97" s="2" t="e">
        <f>IF(T97&lt;0,0,T97)</f>
        <v>#DIV/0!</v>
      </c>
      <c r="V97" t="e">
        <f>+J97/5</f>
        <v>#DIV/0!</v>
      </c>
      <c r="W97" s="2" t="e">
        <f>IF(V97&lt;0,0,V97)</f>
        <v>#DIV/0!</v>
      </c>
      <c r="X97" t="e">
        <f>(9.5-K97)/4</f>
        <v>#DIV/0!</v>
      </c>
      <c r="Y97" s="2" t="e">
        <f>IF(X97&lt;0,0,X97)</f>
        <v>#DIV/0!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C99">
        <v>1</v>
      </c>
      <c r="D99">
        <v>1</v>
      </c>
      <c r="E99" s="12">
        <f>+D99/C99*100</f>
        <v>100</v>
      </c>
      <c r="F99">
        <v>7</v>
      </c>
      <c r="G99">
        <v>1</v>
      </c>
      <c r="H99">
        <v>7</v>
      </c>
      <c r="I99">
        <v>0</v>
      </c>
      <c r="J99" s="8">
        <f>+G99/C99*100</f>
        <v>100</v>
      </c>
      <c r="K99" s="12">
        <f>+I99/C99*100</f>
        <v>0</v>
      </c>
      <c r="L99" s="12">
        <f>+F99/C99</f>
        <v>7</v>
      </c>
      <c r="M99" s="12">
        <v>135.4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7" ht="12.75">
      <c r="A102" t="s">
        <v>118</v>
      </c>
      <c r="C102">
        <v>2</v>
      </c>
      <c r="D102">
        <v>2</v>
      </c>
      <c r="E102">
        <v>29</v>
      </c>
      <c r="F102" s="12">
        <f>+E102/C102</f>
        <v>14.5</v>
      </c>
      <c r="G102">
        <v>19</v>
      </c>
    </row>
    <row r="103" spans="1:6" ht="12.75">
      <c r="A103" t="s">
        <v>117</v>
      </c>
      <c r="F103" s="12" t="e">
        <f>+E103/C103</f>
        <v>#DIV/0!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5" ht="12.75">
      <c r="A107" t="s">
        <v>111</v>
      </c>
      <c r="E107" s="12" t="e">
        <f aca="true" t="shared" si="2" ref="E107:E113">+D107/C107</f>
        <v>#DIV/0!</v>
      </c>
    </row>
    <row r="108" spans="1:6" ht="12.75">
      <c r="A108" t="s">
        <v>115</v>
      </c>
      <c r="C108">
        <v>1</v>
      </c>
      <c r="D108">
        <v>26</v>
      </c>
      <c r="E108" s="12">
        <f t="shared" si="2"/>
        <v>26</v>
      </c>
      <c r="F108">
        <v>26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6" ht="12.75">
      <c r="A112" t="s">
        <v>118</v>
      </c>
      <c r="C112">
        <v>1</v>
      </c>
      <c r="D112">
        <v>24</v>
      </c>
      <c r="E112" s="12">
        <f t="shared" si="2"/>
        <v>24</v>
      </c>
      <c r="F112">
        <v>24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6" ht="12.75">
      <c r="A116" t="s">
        <v>116</v>
      </c>
      <c r="C116">
        <v>10</v>
      </c>
      <c r="D116">
        <v>350</v>
      </c>
      <c r="E116" s="12">
        <f>+D116/C116</f>
        <v>35</v>
      </c>
      <c r="F116">
        <v>54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6</v>
      </c>
      <c r="D119">
        <v>2</v>
      </c>
      <c r="E119">
        <v>5</v>
      </c>
      <c r="F119">
        <v>5</v>
      </c>
      <c r="G119">
        <v>1</v>
      </c>
      <c r="H119">
        <v>1</v>
      </c>
      <c r="I119" s="12">
        <f>+H119/G119*100</f>
        <v>100</v>
      </c>
      <c r="J119">
        <v>18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5" ht="12.75">
      <c r="A123" t="s">
        <v>121</v>
      </c>
      <c r="C123">
        <v>3</v>
      </c>
      <c r="D123">
        <v>-2</v>
      </c>
      <c r="E123" s="12">
        <f>+D123/C123</f>
        <v>-0.6666666666666666</v>
      </c>
    </row>
    <row r="124" spans="1:8" ht="12.75">
      <c r="A124" t="s">
        <v>124</v>
      </c>
      <c r="C124">
        <v>1</v>
      </c>
      <c r="D124">
        <v>10</v>
      </c>
      <c r="E124" s="12">
        <f aca="true" t="shared" si="3" ref="E124:E130">+D124/C124</f>
        <v>10</v>
      </c>
      <c r="F124">
        <v>10</v>
      </c>
      <c r="H124">
        <v>1</v>
      </c>
    </row>
    <row r="125" spans="1:7" ht="12.75">
      <c r="A125" t="s">
        <v>125</v>
      </c>
      <c r="C125">
        <v>3</v>
      </c>
      <c r="D125">
        <v>44</v>
      </c>
      <c r="E125" s="12">
        <f t="shared" si="3"/>
        <v>14.666666666666666</v>
      </c>
      <c r="F125">
        <v>21</v>
      </c>
      <c r="G125">
        <v>1</v>
      </c>
    </row>
    <row r="126" spans="1:5" ht="12.75">
      <c r="A126" t="s">
        <v>126</v>
      </c>
      <c r="E126" s="12" t="e">
        <f t="shared" si="3"/>
        <v>#DIV/0!</v>
      </c>
    </row>
    <row r="127" spans="1:6" ht="12.75">
      <c r="A127" t="s">
        <v>127</v>
      </c>
      <c r="C127">
        <v>1</v>
      </c>
      <c r="D127">
        <v>9</v>
      </c>
      <c r="E127" s="12">
        <f t="shared" si="3"/>
        <v>9</v>
      </c>
      <c r="F127">
        <v>9</v>
      </c>
    </row>
    <row r="128" spans="1:5" ht="12.75">
      <c r="A128" t="s">
        <v>128</v>
      </c>
      <c r="E128" s="12" t="e">
        <f t="shared" si="3"/>
        <v>#DIV/0!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ht="12.75">
      <c r="A133" t="s">
        <v>132</v>
      </c>
    </row>
    <row r="134" ht="12.75">
      <c r="A134" t="s">
        <v>123</v>
      </c>
    </row>
    <row r="135" ht="12.75">
      <c r="A135" t="s">
        <v>126</v>
      </c>
    </row>
    <row r="136" ht="12.75">
      <c r="A136" t="s">
        <v>128</v>
      </c>
    </row>
    <row r="137" ht="12.75">
      <c r="A137" t="s">
        <v>129</v>
      </c>
    </row>
    <row r="138" ht="12.75">
      <c r="A138" t="s">
        <v>125</v>
      </c>
    </row>
    <row r="139" ht="12.75">
      <c r="A139" t="s">
        <v>127</v>
      </c>
    </row>
    <row r="140" spans="1:3" ht="12.75">
      <c r="A140" t="s">
        <v>133</v>
      </c>
      <c r="C140">
        <v>1</v>
      </c>
    </row>
    <row r="141" ht="12.75">
      <c r="A141" t="s">
        <v>134</v>
      </c>
    </row>
    <row r="142" ht="12.75">
      <c r="A142" t="s">
        <v>135</v>
      </c>
    </row>
    <row r="143" ht="12.75">
      <c r="A143" t="s">
        <v>136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14</v>
      </c>
      <c r="H148" t="s">
        <v>93</v>
      </c>
      <c r="M148">
        <v>17</v>
      </c>
    </row>
    <row r="149" spans="1:13" ht="12.75">
      <c r="A149" t="s">
        <v>94</v>
      </c>
      <c r="D149">
        <v>2</v>
      </c>
      <c r="H149" t="s">
        <v>94</v>
      </c>
      <c r="M149">
        <v>2</v>
      </c>
    </row>
    <row r="150" spans="1:13" ht="12.75">
      <c r="A150" t="s">
        <v>95</v>
      </c>
      <c r="D150" s="8">
        <f>D149/D148*100</f>
        <v>14.285714285714285</v>
      </c>
      <c r="H150" t="s">
        <v>95</v>
      </c>
      <c r="M150" s="8">
        <f>+M149/M148*100</f>
        <v>11.76470588235294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Y150"/>
  <sheetViews>
    <sheetView zoomScalePageLayoutView="0" workbookViewId="0" topLeftCell="A124">
      <selection activeCell="M150" sqref="M15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16</v>
      </c>
      <c r="H6" s="1" t="s">
        <v>29</v>
      </c>
      <c r="M6" s="2">
        <v>14</v>
      </c>
    </row>
    <row r="8" spans="1:23" ht="12.75">
      <c r="A8" t="s">
        <v>1</v>
      </c>
      <c r="D8" s="2">
        <v>33</v>
      </c>
      <c r="H8" t="s">
        <v>1</v>
      </c>
      <c r="M8" s="2">
        <v>20</v>
      </c>
      <c r="V8">
        <f>+D8</f>
        <v>33</v>
      </c>
      <c r="W8">
        <f>+M8</f>
        <v>20</v>
      </c>
    </row>
    <row r="9" spans="1:23" ht="12.75">
      <c r="A9" t="s">
        <v>2</v>
      </c>
      <c r="D9" s="2">
        <v>56</v>
      </c>
      <c r="H9" t="s">
        <v>2</v>
      </c>
      <c r="M9" s="2">
        <v>55</v>
      </c>
      <c r="U9" s="13"/>
      <c r="V9">
        <f>+D13</f>
        <v>17</v>
      </c>
      <c r="W9">
        <f>+M13</f>
        <v>20</v>
      </c>
    </row>
    <row r="10" spans="1:23" ht="12.75">
      <c r="A10" s="1" t="s">
        <v>3</v>
      </c>
      <c r="D10" s="8">
        <f>+D9/D8</f>
        <v>1.696969696969697</v>
      </c>
      <c r="H10" s="1" t="s">
        <v>3</v>
      </c>
      <c r="M10" s="8">
        <f>+M9/M8</f>
        <v>2.75</v>
      </c>
      <c r="V10">
        <f>+(D12-D13)/2</f>
        <v>6</v>
      </c>
      <c r="W10">
        <f>+(M12-M13)/2</f>
        <v>9</v>
      </c>
    </row>
    <row r="11" spans="22:23" ht="12.75">
      <c r="V11">
        <f>+D35/2</f>
        <v>3</v>
      </c>
      <c r="W11">
        <f>+M35/2</f>
        <v>3.5</v>
      </c>
    </row>
    <row r="12" spans="1:23" ht="12.75">
      <c r="A12" t="s">
        <v>4</v>
      </c>
      <c r="D12" s="2">
        <v>29</v>
      </c>
      <c r="H12" t="s">
        <v>4</v>
      </c>
      <c r="M12" s="2">
        <v>38</v>
      </c>
      <c r="V12">
        <f>+D39/2</f>
        <v>2.5</v>
      </c>
      <c r="W12">
        <f>+M39/2</f>
        <v>2</v>
      </c>
    </row>
    <row r="13" spans="1:23" ht="12.75">
      <c r="A13" t="s">
        <v>5</v>
      </c>
      <c r="D13" s="2">
        <v>17</v>
      </c>
      <c r="H13" t="s">
        <v>5</v>
      </c>
      <c r="M13" s="2">
        <v>20</v>
      </c>
      <c r="V13">
        <f>+D44/2</f>
        <v>1</v>
      </c>
      <c r="W13">
        <f>+M44/2</f>
        <v>0.5</v>
      </c>
    </row>
    <row r="14" spans="1:13" ht="12.75">
      <c r="A14" t="s">
        <v>6</v>
      </c>
      <c r="D14" s="8">
        <f>+D13/D12*100</f>
        <v>58.620689655172406</v>
      </c>
      <c r="H14" t="s">
        <v>6</v>
      </c>
      <c r="M14" s="8">
        <f>+M13/M12*100</f>
        <v>52.63157894736842</v>
      </c>
    </row>
    <row r="15" spans="1:24" ht="12.75">
      <c r="A15" t="s">
        <v>7</v>
      </c>
      <c r="D15" s="2">
        <v>275</v>
      </c>
      <c r="H15" t="s">
        <v>7</v>
      </c>
      <c r="M15" s="2">
        <v>262</v>
      </c>
      <c r="V15">
        <f>SUM(V8:V13)</f>
        <v>62.5</v>
      </c>
      <c r="W15">
        <f>SUM(W8:W13)</f>
        <v>55</v>
      </c>
      <c r="X15">
        <f>+W15+V15</f>
        <v>117.5</v>
      </c>
    </row>
    <row r="16" spans="1:23" ht="12.75">
      <c r="A16" t="s">
        <v>8</v>
      </c>
      <c r="D16" s="2">
        <v>2</v>
      </c>
      <c r="H16" t="s">
        <v>8</v>
      </c>
      <c r="M16" s="2">
        <v>6</v>
      </c>
      <c r="V16">
        <f>+V15/X15</f>
        <v>0.5319148936170213</v>
      </c>
      <c r="W16">
        <f>+W15/X15</f>
        <v>0.46808510638297873</v>
      </c>
    </row>
    <row r="17" spans="1:23" ht="12.75">
      <c r="A17" t="s">
        <v>9</v>
      </c>
      <c r="D17" s="2">
        <v>15</v>
      </c>
      <c r="H17" t="s">
        <v>9</v>
      </c>
      <c r="M17" s="2">
        <v>50</v>
      </c>
      <c r="V17">
        <f>+V16*60</f>
        <v>31.914893617021278</v>
      </c>
      <c r="W17">
        <f>+W16*60</f>
        <v>28.085106382978722</v>
      </c>
    </row>
    <row r="18" spans="1:23" ht="12.75">
      <c r="A18" t="s">
        <v>10</v>
      </c>
      <c r="D18">
        <f>+D15-D17</f>
        <v>260</v>
      </c>
      <c r="H18" t="s">
        <v>10</v>
      </c>
      <c r="M18">
        <f>+M15-M17</f>
        <v>212</v>
      </c>
      <c r="V18">
        <f>+V17-INT(V17)</f>
        <v>0.9148936170212778</v>
      </c>
      <c r="W18">
        <f>+W17-INT(W17)</f>
        <v>0.0851063829787222</v>
      </c>
    </row>
    <row r="19" spans="1:23" ht="12.75">
      <c r="A19" t="s">
        <v>11</v>
      </c>
      <c r="D19" s="7">
        <f>+D18/(D12+D16)</f>
        <v>8.387096774193548</v>
      </c>
      <c r="H19" t="s">
        <v>11</v>
      </c>
      <c r="M19" s="7">
        <f>+M18/(M12+M16)</f>
        <v>4.818181818181818</v>
      </c>
      <c r="V19">
        <f>+V18*60</f>
        <v>54.89361702127667</v>
      </c>
      <c r="W19">
        <f>+W18*60</f>
        <v>5.106382978723332</v>
      </c>
    </row>
    <row r="20" spans="1:23" ht="12.75">
      <c r="A20" t="s">
        <v>12</v>
      </c>
      <c r="D20" s="7">
        <f>+D15/D13</f>
        <v>16.176470588235293</v>
      </c>
      <c r="H20" t="s">
        <v>12</v>
      </c>
      <c r="M20" s="7">
        <f>+M15/M13</f>
        <v>13.1</v>
      </c>
      <c r="U20">
        <v>0</v>
      </c>
      <c r="V20" s="11">
        <f>ROUND(V19,0)</f>
        <v>55</v>
      </c>
      <c r="W20">
        <f>ROUND(W19,0)</f>
        <v>5</v>
      </c>
    </row>
    <row r="21" spans="22:23" ht="12.75">
      <c r="V21">
        <f>INT(V17)</f>
        <v>31</v>
      </c>
      <c r="W21">
        <f>INT(W17)</f>
        <v>28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316</v>
      </c>
      <c r="H23" t="s">
        <v>14</v>
      </c>
      <c r="M23">
        <f>+M18+M9</f>
        <v>267</v>
      </c>
      <c r="V23" s="14" t="str">
        <f>+V21&amp;V22&amp;V20</f>
        <v>31:55</v>
      </c>
      <c r="W23" s="9" t="str">
        <f>+W21&amp;W22&amp;W20</f>
        <v>28:5</v>
      </c>
    </row>
    <row r="24" spans="1:23" ht="12.75">
      <c r="A24" t="s">
        <v>15</v>
      </c>
      <c r="D24" s="7">
        <f>+D9/D23*100</f>
        <v>17.72151898734177</v>
      </c>
      <c r="H24" t="s">
        <v>15</v>
      </c>
      <c r="M24" s="7">
        <f>+M9/M23*100</f>
        <v>20.59925093632959</v>
      </c>
      <c r="V24" s="9" t="str">
        <f>IF(V20&lt;10,+V21&amp;V22&amp;$U$20&amp;V20,+V21&amp;V22&amp;V20)</f>
        <v>31:55</v>
      </c>
      <c r="W24" s="9" t="str">
        <f>IF(W20&lt;10,+W21&amp;W22&amp;$U$20&amp;W20,+W21&amp;W22&amp;W20)</f>
        <v>28:05</v>
      </c>
    </row>
    <row r="25" spans="1:13" ht="12.75">
      <c r="A25" s="1" t="s">
        <v>86</v>
      </c>
      <c r="D25" s="7">
        <f>+D18/D23*100</f>
        <v>82.27848101265823</v>
      </c>
      <c r="H25" s="1" t="s">
        <v>86</v>
      </c>
      <c r="M25" s="7">
        <f>+M18/M23*100</f>
        <v>79.40074906367042</v>
      </c>
    </row>
    <row r="27" spans="1:13" ht="12.75">
      <c r="A27" t="s">
        <v>16</v>
      </c>
      <c r="D27">
        <f>+D8+D12+D16</f>
        <v>64</v>
      </c>
      <c r="H27" t="s">
        <v>16</v>
      </c>
      <c r="M27">
        <f>+M8+M12+M16</f>
        <v>64</v>
      </c>
    </row>
    <row r="28" spans="1:13" ht="12.75">
      <c r="A28" t="s">
        <v>17</v>
      </c>
      <c r="D28" s="8">
        <f>+D23/D27</f>
        <v>4.9375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4.171875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0</v>
      </c>
      <c r="H31" t="s">
        <v>19</v>
      </c>
      <c r="M31" s="2">
        <v>3</v>
      </c>
    </row>
    <row r="32" spans="1:13" ht="12.75">
      <c r="A32" t="s">
        <v>20</v>
      </c>
      <c r="D32" s="2">
        <v>0</v>
      </c>
      <c r="H32" t="s">
        <v>20</v>
      </c>
      <c r="M32" s="2">
        <v>51</v>
      </c>
    </row>
    <row r="33" spans="1:13" ht="12.75">
      <c r="A33" t="s">
        <v>21</v>
      </c>
      <c r="D33" s="2">
        <v>0</v>
      </c>
      <c r="H33" t="s">
        <v>21</v>
      </c>
      <c r="M33" s="2">
        <v>0</v>
      </c>
    </row>
    <row r="35" spans="1:13" ht="12.75">
      <c r="A35" t="s">
        <v>22</v>
      </c>
      <c r="D35" s="2">
        <v>6</v>
      </c>
      <c r="H35" t="s">
        <v>22</v>
      </c>
      <c r="M35" s="2">
        <v>7</v>
      </c>
    </row>
    <row r="36" spans="1:13" ht="12.75">
      <c r="A36" t="s">
        <v>23</v>
      </c>
      <c r="D36" s="2">
        <v>226</v>
      </c>
      <c r="H36" t="s">
        <v>23</v>
      </c>
      <c r="M36" s="2">
        <v>239</v>
      </c>
    </row>
    <row r="37" spans="1:13" ht="12.75">
      <c r="A37" t="s">
        <v>24</v>
      </c>
      <c r="D37" s="8">
        <f>+D36/D35</f>
        <v>37.666666666666664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34.142857142857146</v>
      </c>
    </row>
    <row r="39" spans="1:13" ht="12.75">
      <c r="A39" t="s">
        <v>25</v>
      </c>
      <c r="D39" s="2">
        <v>5</v>
      </c>
      <c r="H39" t="s">
        <v>25</v>
      </c>
      <c r="M39" s="2">
        <v>4</v>
      </c>
    </row>
    <row r="40" spans="1:13" ht="12.75">
      <c r="A40" t="s">
        <v>26</v>
      </c>
      <c r="D40" s="2">
        <v>46</v>
      </c>
      <c r="H40" t="s">
        <v>26</v>
      </c>
      <c r="M40" s="2">
        <v>98</v>
      </c>
    </row>
    <row r="41" spans="1:13" ht="12.75">
      <c r="A41" t="s">
        <v>27</v>
      </c>
      <c r="D41" s="8">
        <f>+D40/D39</f>
        <v>9.2</v>
      </c>
      <c r="H41" t="s">
        <v>27</v>
      </c>
      <c r="M41" s="8">
        <f>+M40/M39</f>
        <v>24.5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2</v>
      </c>
      <c r="H44" t="s">
        <v>30</v>
      </c>
      <c r="M44" s="2">
        <v>1</v>
      </c>
    </row>
    <row r="45" spans="1:13" ht="12.75">
      <c r="A45" t="s">
        <v>26</v>
      </c>
      <c r="D45" s="2">
        <v>42</v>
      </c>
      <c r="H45" t="s">
        <v>26</v>
      </c>
      <c r="M45" s="2">
        <v>42</v>
      </c>
    </row>
    <row r="46" spans="1:13" ht="12.75">
      <c r="A46" t="s">
        <v>27</v>
      </c>
      <c r="D46" s="8">
        <f>+D45/D44</f>
        <v>21</v>
      </c>
      <c r="H46" t="s">
        <v>27</v>
      </c>
      <c r="M46" s="8">
        <f>+M45/M44</f>
        <v>42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5</v>
      </c>
      <c r="H49" t="s">
        <v>31</v>
      </c>
      <c r="M49" s="2">
        <v>1</v>
      </c>
    </row>
    <row r="50" spans="1:13" ht="12.75">
      <c r="A50" t="s">
        <v>32</v>
      </c>
      <c r="D50" s="2">
        <v>46</v>
      </c>
      <c r="H50" t="s">
        <v>32</v>
      </c>
      <c r="M50" s="2">
        <v>5</v>
      </c>
    </row>
    <row r="52" spans="1:13" ht="12.75">
      <c r="A52" t="s">
        <v>33</v>
      </c>
      <c r="D52" s="2">
        <v>2</v>
      </c>
      <c r="H52" t="s">
        <v>33</v>
      </c>
      <c r="M52" s="2">
        <v>0</v>
      </c>
    </row>
    <row r="53" spans="1:13" ht="12.75">
      <c r="A53" t="s">
        <v>101</v>
      </c>
      <c r="D53" s="2">
        <v>1</v>
      </c>
      <c r="H53" t="s">
        <v>101</v>
      </c>
      <c r="M53" s="2">
        <v>0</v>
      </c>
    </row>
    <row r="55" spans="1:13" ht="12.75">
      <c r="A55" t="s">
        <v>34</v>
      </c>
      <c r="D55" s="2">
        <v>17</v>
      </c>
      <c r="H55" t="s">
        <v>34</v>
      </c>
      <c r="M55" s="2">
        <v>10</v>
      </c>
    </row>
    <row r="56" spans="1:13" ht="12.75">
      <c r="A56" t="s">
        <v>35</v>
      </c>
      <c r="D56" s="2">
        <v>2</v>
      </c>
      <c r="H56" t="s">
        <v>35</v>
      </c>
      <c r="M56" s="2">
        <v>1</v>
      </c>
    </row>
    <row r="57" spans="1:13" ht="12.75">
      <c r="A57" t="s">
        <v>36</v>
      </c>
      <c r="D57" s="2">
        <v>1</v>
      </c>
      <c r="H57" t="s">
        <v>36</v>
      </c>
      <c r="M57" s="2">
        <v>0</v>
      </c>
    </row>
    <row r="58" spans="1:13" ht="12.75">
      <c r="A58" t="s">
        <v>37</v>
      </c>
      <c r="D58" s="2">
        <v>1</v>
      </c>
      <c r="H58" t="s">
        <v>37</v>
      </c>
      <c r="M58" s="2">
        <v>1</v>
      </c>
    </row>
    <row r="59" spans="1:13" ht="12.75">
      <c r="A59" t="s">
        <v>38</v>
      </c>
      <c r="D59" s="2">
        <v>0</v>
      </c>
      <c r="H59" t="s">
        <v>38</v>
      </c>
      <c r="M59" s="2">
        <v>0</v>
      </c>
    </row>
    <row r="60" spans="1:13" ht="12.75">
      <c r="A60" t="s">
        <v>39</v>
      </c>
      <c r="D60" s="2">
        <v>2</v>
      </c>
      <c r="H60" t="s">
        <v>39</v>
      </c>
      <c r="M60" s="2">
        <v>1</v>
      </c>
    </row>
    <row r="61" spans="1:13" ht="12.75">
      <c r="A61" t="s">
        <v>40</v>
      </c>
      <c r="D61" s="2">
        <v>0</v>
      </c>
      <c r="H61" t="s">
        <v>40</v>
      </c>
      <c r="M61" s="2">
        <v>0</v>
      </c>
    </row>
    <row r="62" spans="1:13" ht="12.75">
      <c r="A62" t="s">
        <v>41</v>
      </c>
      <c r="D62" s="2">
        <v>1</v>
      </c>
      <c r="H62" t="s">
        <v>41</v>
      </c>
      <c r="M62" s="2">
        <v>0</v>
      </c>
    </row>
    <row r="63" spans="1:13" ht="12.75">
      <c r="A63" t="s">
        <v>42</v>
      </c>
      <c r="D63" s="2">
        <v>2</v>
      </c>
      <c r="H63" t="s">
        <v>42</v>
      </c>
      <c r="M63" s="2">
        <v>1</v>
      </c>
    </row>
    <row r="64" spans="1:13" ht="12.75">
      <c r="A64" t="s">
        <v>43</v>
      </c>
      <c r="D64" s="8">
        <f>+D62/D63*100</f>
        <v>50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f>+M62/M63*100</f>
        <v>0</v>
      </c>
    </row>
    <row r="65" spans="1:13" ht="12.75">
      <c r="A65" t="s">
        <v>89</v>
      </c>
      <c r="D65" s="10" t="str">
        <f>IF(V20&lt;10,V24,V23)</f>
        <v>31:55</v>
      </c>
      <c r="E65" s="8"/>
      <c r="F65" s="8"/>
      <c r="H65" t="s">
        <v>89</v>
      </c>
      <c r="M65" s="10" t="str">
        <f>IF(W20&lt;10,W24,W23)</f>
        <v>28:05</v>
      </c>
    </row>
    <row r="66" spans="1:13" ht="12.75">
      <c r="A66" t="s">
        <v>102</v>
      </c>
      <c r="D66" s="8">
        <f>D150</f>
        <v>40</v>
      </c>
      <c r="H66" t="s">
        <v>102</v>
      </c>
      <c r="M66" s="8">
        <f>M150</f>
        <v>33.33333333333333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8" ht="12.75">
      <c r="A70" t="s">
        <v>109</v>
      </c>
      <c r="C70">
        <v>13</v>
      </c>
      <c r="D70">
        <v>13</v>
      </c>
      <c r="E70" s="12">
        <f aca="true" t="shared" si="0" ref="E70:E80">+D70/C70</f>
        <v>1</v>
      </c>
      <c r="F70">
        <v>10</v>
      </c>
      <c r="G70">
        <v>0</v>
      </c>
      <c r="H70">
        <v>0</v>
      </c>
    </row>
    <row r="71" spans="1:8" ht="12.75">
      <c r="A71" t="s">
        <v>108</v>
      </c>
      <c r="C71">
        <v>14</v>
      </c>
      <c r="D71">
        <v>16</v>
      </c>
      <c r="E71" s="12">
        <f t="shared" si="0"/>
        <v>1.1428571428571428</v>
      </c>
      <c r="F71">
        <v>7</v>
      </c>
      <c r="G71">
        <v>0</v>
      </c>
      <c r="H71">
        <v>0</v>
      </c>
    </row>
    <row r="72" spans="1:8" ht="12.75">
      <c r="A72" t="s">
        <v>110</v>
      </c>
      <c r="C72">
        <v>4</v>
      </c>
      <c r="D72">
        <v>12</v>
      </c>
      <c r="E72" s="12">
        <f t="shared" si="0"/>
        <v>3</v>
      </c>
      <c r="F72">
        <v>5</v>
      </c>
      <c r="G72">
        <v>0</v>
      </c>
      <c r="H72">
        <v>0</v>
      </c>
    </row>
    <row r="73" spans="1:5" ht="12.75">
      <c r="A73" t="s">
        <v>111</v>
      </c>
      <c r="E73" s="12" t="e">
        <f t="shared" si="0"/>
        <v>#DIV/0!</v>
      </c>
    </row>
    <row r="74" spans="1:8" ht="12.75">
      <c r="A74" t="s">
        <v>112</v>
      </c>
      <c r="C74">
        <v>1</v>
      </c>
      <c r="D74">
        <v>3</v>
      </c>
      <c r="E74" s="12">
        <f t="shared" si="0"/>
        <v>3</v>
      </c>
      <c r="F74">
        <v>3</v>
      </c>
      <c r="G74">
        <v>0</v>
      </c>
      <c r="H74">
        <v>0</v>
      </c>
    </row>
    <row r="75" spans="1:5" ht="12.75">
      <c r="A75" t="s">
        <v>106</v>
      </c>
      <c r="E75" s="12" t="e">
        <f t="shared" si="0"/>
        <v>#DIV/0!</v>
      </c>
    </row>
    <row r="76" spans="1:8" ht="12.75">
      <c r="A76" t="s">
        <v>113</v>
      </c>
      <c r="C76">
        <v>1</v>
      </c>
      <c r="D76">
        <v>12</v>
      </c>
      <c r="E76" s="12">
        <f t="shared" si="0"/>
        <v>12</v>
      </c>
      <c r="F76">
        <v>12</v>
      </c>
      <c r="G76">
        <v>1</v>
      </c>
      <c r="H76">
        <v>0</v>
      </c>
    </row>
    <row r="77" spans="1:5" ht="12.75">
      <c r="A77" t="s">
        <v>114</v>
      </c>
      <c r="E77" s="12" t="e">
        <f t="shared" si="0"/>
        <v>#DIV/0!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2</v>
      </c>
      <c r="D83">
        <v>8</v>
      </c>
      <c r="E83" s="12">
        <f aca="true" t="shared" si="1" ref="E83:E92">+D83/C83</f>
        <v>4</v>
      </c>
      <c r="F83">
        <v>4</v>
      </c>
      <c r="G83">
        <v>0</v>
      </c>
      <c r="H83">
        <v>0</v>
      </c>
    </row>
    <row r="84" spans="1:8" ht="12.75">
      <c r="A84" t="s">
        <v>118</v>
      </c>
      <c r="C84">
        <v>4</v>
      </c>
      <c r="D84">
        <v>114</v>
      </c>
      <c r="E84" s="12">
        <f t="shared" si="1"/>
        <v>28.5</v>
      </c>
      <c r="F84">
        <v>43</v>
      </c>
      <c r="G84">
        <v>1</v>
      </c>
      <c r="H84">
        <v>1</v>
      </c>
    </row>
    <row r="85" spans="1:8" ht="12.75">
      <c r="A85" t="s">
        <v>108</v>
      </c>
      <c r="C85">
        <v>3</v>
      </c>
      <c r="D85">
        <v>37</v>
      </c>
      <c r="E85" s="12">
        <f t="shared" si="1"/>
        <v>12.333333333333334</v>
      </c>
      <c r="F85">
        <v>15</v>
      </c>
      <c r="G85">
        <v>0</v>
      </c>
      <c r="H85">
        <v>0</v>
      </c>
    </row>
    <row r="86" spans="1:8" ht="12.75">
      <c r="A86" t="s">
        <v>113</v>
      </c>
      <c r="C86">
        <v>3</v>
      </c>
      <c r="D86">
        <v>64</v>
      </c>
      <c r="E86" s="12">
        <f t="shared" si="1"/>
        <v>21.333333333333332</v>
      </c>
      <c r="F86">
        <v>33</v>
      </c>
      <c r="G86">
        <v>0</v>
      </c>
      <c r="H86">
        <v>0</v>
      </c>
    </row>
    <row r="87" spans="1:8" ht="12.75">
      <c r="A87" t="s">
        <v>109</v>
      </c>
      <c r="C87">
        <v>1</v>
      </c>
      <c r="D87">
        <v>9</v>
      </c>
      <c r="E87" s="12">
        <f t="shared" si="1"/>
        <v>9</v>
      </c>
      <c r="F87">
        <v>9</v>
      </c>
      <c r="G87">
        <v>0</v>
      </c>
      <c r="H87">
        <v>0</v>
      </c>
    </row>
    <row r="88" spans="1:8" ht="12.75">
      <c r="A88" t="s">
        <v>114</v>
      </c>
      <c r="C88">
        <v>2</v>
      </c>
      <c r="D88">
        <v>33</v>
      </c>
      <c r="E88" s="12">
        <f t="shared" si="1"/>
        <v>16.5</v>
      </c>
      <c r="F88">
        <v>25</v>
      </c>
      <c r="G88">
        <v>0</v>
      </c>
      <c r="H88">
        <v>0</v>
      </c>
    </row>
    <row r="89" spans="1:5" ht="12.75">
      <c r="A89" t="s">
        <v>119</v>
      </c>
      <c r="E89" s="12" t="e">
        <f t="shared" si="1"/>
        <v>#DIV/0!</v>
      </c>
    </row>
    <row r="90" spans="1:8" ht="12.75">
      <c r="A90" t="s">
        <v>112</v>
      </c>
      <c r="C90">
        <v>2</v>
      </c>
      <c r="D90">
        <v>10</v>
      </c>
      <c r="E90" s="12">
        <f t="shared" si="1"/>
        <v>5</v>
      </c>
      <c r="F90">
        <v>5</v>
      </c>
      <c r="G90">
        <v>0</v>
      </c>
      <c r="H90">
        <v>0</v>
      </c>
    </row>
    <row r="91" spans="1:5" ht="12.75">
      <c r="A91" t="s">
        <v>115</v>
      </c>
      <c r="E91" s="12" t="e">
        <f t="shared" si="1"/>
        <v>#DIV/0!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29</v>
      </c>
      <c r="D96">
        <v>17</v>
      </c>
      <c r="E96" s="12">
        <f>+D96/C96*100</f>
        <v>58.620689655172406</v>
      </c>
      <c r="F96">
        <v>275</v>
      </c>
      <c r="G96">
        <v>1</v>
      </c>
      <c r="H96">
        <v>43</v>
      </c>
      <c r="I96">
        <v>0</v>
      </c>
      <c r="J96" s="8">
        <f>+G96/C96*100</f>
        <v>3.4482758620689653</v>
      </c>
      <c r="K96" s="12">
        <f>+I96/C96*100</f>
        <v>0</v>
      </c>
      <c r="L96" s="12">
        <f>+F96/C96</f>
        <v>9.482758620689655</v>
      </c>
      <c r="M96" s="12">
        <f>100*(S96+U96+W96+Y96)/6</f>
        <v>101.9396551724138</v>
      </c>
      <c r="R96">
        <f>+(E96-30)/20</f>
        <v>1.4310344827586203</v>
      </c>
      <c r="S96" s="2">
        <f>IF(R96&lt;0,0,R96)</f>
        <v>1.4310344827586203</v>
      </c>
      <c r="T96" s="6">
        <f>+(L96-3)/4</f>
        <v>1.6206896551724137</v>
      </c>
      <c r="U96" s="2">
        <f>IF(T96&lt;0,0,T96)</f>
        <v>1.6206896551724137</v>
      </c>
      <c r="V96">
        <f>+J96/5</f>
        <v>0.689655172413793</v>
      </c>
      <c r="W96" s="2">
        <f>IF(V96&lt;0,0,V96)</f>
        <v>0.689655172413793</v>
      </c>
      <c r="X96">
        <f>(9.5-K96)/4</f>
        <v>2.375</v>
      </c>
      <c r="Y96" s="2">
        <f>IF(X96&lt;0,0,X96)</f>
        <v>2.375</v>
      </c>
    </row>
    <row r="97" spans="1:25" ht="12.75">
      <c r="A97" t="s">
        <v>106</v>
      </c>
      <c r="E97" s="12" t="e">
        <f>+D97/C97*100</f>
        <v>#DIV/0!</v>
      </c>
      <c r="J97" s="8" t="e">
        <f>+G97/C97*100</f>
        <v>#DIV/0!</v>
      </c>
      <c r="K97" s="12" t="e">
        <f>+I97/C97*100</f>
        <v>#DIV/0!</v>
      </c>
      <c r="L97" s="12" t="e">
        <f>+F97/C97</f>
        <v>#DIV/0!</v>
      </c>
      <c r="M97" s="12" t="e">
        <f>100*(S97+U97+W97+Y97)/6</f>
        <v>#DIV/0!</v>
      </c>
      <c r="R97" t="e">
        <f>+(E97-30)/20</f>
        <v>#DIV/0!</v>
      </c>
      <c r="S97" s="2" t="e">
        <f>IF(R97&lt;0,0,R97)</f>
        <v>#DIV/0!</v>
      </c>
      <c r="T97" s="6" t="e">
        <f>+(L97-3)/4</f>
        <v>#DIV/0!</v>
      </c>
      <c r="U97" s="2" t="e">
        <f>IF(T97&lt;0,0,T97)</f>
        <v>#DIV/0!</v>
      </c>
      <c r="V97" t="e">
        <f>+J97/5</f>
        <v>#DIV/0!</v>
      </c>
      <c r="W97" s="2" t="e">
        <f>IF(V97&lt;0,0,V97)</f>
        <v>#DIV/0!</v>
      </c>
      <c r="X97" t="e">
        <f>(9.5-K97)/4</f>
        <v>#DIV/0!</v>
      </c>
      <c r="Y97" s="2" t="e">
        <f>IF(X97&lt;0,0,X97)</f>
        <v>#DIV/0!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E99" s="12" t="e">
        <f>+D99/C99*100</f>
        <v>#DIV/0!</v>
      </c>
      <c r="J99" s="8" t="e">
        <f>+G99/C99*100</f>
        <v>#DIV/0!</v>
      </c>
      <c r="K99" s="12" t="e">
        <f>+I99/C99*100</f>
        <v>#DIV/0!</v>
      </c>
      <c r="L99" s="12" t="e">
        <f>+F99/C99</f>
        <v>#DIV/0!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9" ht="12.75">
      <c r="A102" t="s">
        <v>118</v>
      </c>
      <c r="C102">
        <v>5</v>
      </c>
      <c r="D102">
        <v>0</v>
      </c>
      <c r="E102">
        <v>46</v>
      </c>
      <c r="F102" s="12">
        <f>+E102/C102</f>
        <v>9.2</v>
      </c>
      <c r="G102">
        <v>13</v>
      </c>
      <c r="H102">
        <v>0</v>
      </c>
      <c r="I102">
        <v>0</v>
      </c>
    </row>
    <row r="103" spans="1:6" ht="12.75">
      <c r="A103" t="s">
        <v>117</v>
      </c>
      <c r="F103" s="12" t="e">
        <f>+E103/C103</f>
        <v>#DIV/0!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8" ht="12.75">
      <c r="A107" t="s">
        <v>111</v>
      </c>
      <c r="C107">
        <v>2</v>
      </c>
      <c r="D107">
        <v>42</v>
      </c>
      <c r="E107" s="12">
        <f aca="true" t="shared" si="2" ref="E107:E113">+D107/C107</f>
        <v>21</v>
      </c>
      <c r="F107">
        <v>21</v>
      </c>
      <c r="G107">
        <v>0</v>
      </c>
      <c r="H107">
        <v>0</v>
      </c>
    </row>
    <row r="108" spans="1:5" ht="12.75">
      <c r="A108" t="s">
        <v>115</v>
      </c>
      <c r="E108" s="12" t="e">
        <f t="shared" si="2"/>
        <v>#DIV/0!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v>6</v>
      </c>
      <c r="D116">
        <v>226</v>
      </c>
      <c r="E116" s="12">
        <f>+D116/C116</f>
        <v>37.666666666666664</v>
      </c>
      <c r="F116">
        <v>52</v>
      </c>
      <c r="G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4</v>
      </c>
      <c r="D119">
        <v>1</v>
      </c>
      <c r="E119">
        <v>2</v>
      </c>
      <c r="F119">
        <v>2</v>
      </c>
      <c r="G119">
        <v>2</v>
      </c>
      <c r="H119">
        <v>1</v>
      </c>
      <c r="I119" s="12">
        <f>+H119/G119*100</f>
        <v>50</v>
      </c>
      <c r="J119">
        <v>10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8" ht="12.75">
      <c r="A123" t="s">
        <v>121</v>
      </c>
      <c r="C123">
        <v>2</v>
      </c>
      <c r="D123">
        <v>26</v>
      </c>
      <c r="E123" s="12">
        <f>+D123/C123</f>
        <v>13</v>
      </c>
      <c r="F123">
        <v>28</v>
      </c>
      <c r="G123">
        <v>0</v>
      </c>
      <c r="H123">
        <v>0</v>
      </c>
    </row>
    <row r="124" spans="1:5" ht="12.75">
      <c r="A124" t="s">
        <v>124</v>
      </c>
      <c r="E124" s="12" t="e">
        <f aca="true" t="shared" si="3" ref="E124:E130">+D124/C124</f>
        <v>#DIV/0!</v>
      </c>
    </row>
    <row r="125" spans="1:5" ht="12.75">
      <c r="A125" t="s">
        <v>125</v>
      </c>
      <c r="E125" s="12" t="e">
        <f t="shared" si="3"/>
        <v>#DIV/0!</v>
      </c>
    </row>
    <row r="126" spans="1:5" ht="12.75">
      <c r="A126" t="s">
        <v>126</v>
      </c>
      <c r="E126" s="12" t="e">
        <f t="shared" si="3"/>
        <v>#DIV/0!</v>
      </c>
    </row>
    <row r="127" spans="1:8" ht="12.75">
      <c r="A127" t="s">
        <v>127</v>
      </c>
      <c r="C127">
        <v>1</v>
      </c>
      <c r="D127">
        <v>25</v>
      </c>
      <c r="E127" s="12">
        <f t="shared" si="3"/>
        <v>25</v>
      </c>
      <c r="F127">
        <v>25</v>
      </c>
      <c r="G127">
        <v>0</v>
      </c>
      <c r="H127">
        <v>0</v>
      </c>
    </row>
    <row r="128" spans="1:5" ht="12.75">
      <c r="A128" t="s">
        <v>128</v>
      </c>
      <c r="E128" s="12" t="e">
        <f t="shared" si="3"/>
        <v>#DIV/0!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spans="1:3" ht="12.75">
      <c r="A133" t="s">
        <v>132</v>
      </c>
      <c r="C133">
        <v>0.5</v>
      </c>
    </row>
    <row r="134" ht="12.75">
      <c r="A134" t="s">
        <v>123</v>
      </c>
    </row>
    <row r="135" ht="12.75">
      <c r="A135" t="s">
        <v>126</v>
      </c>
    </row>
    <row r="136" spans="1:3" ht="12.75">
      <c r="A136" t="s">
        <v>128</v>
      </c>
      <c r="C136">
        <v>1</v>
      </c>
    </row>
    <row r="137" ht="12.75">
      <c r="A137" t="s">
        <v>129</v>
      </c>
    </row>
    <row r="138" ht="12.75">
      <c r="A138" t="s">
        <v>125</v>
      </c>
    </row>
    <row r="139" ht="12.75">
      <c r="A139" t="s">
        <v>127</v>
      </c>
    </row>
    <row r="140" ht="12.75">
      <c r="A140" t="s">
        <v>133</v>
      </c>
    </row>
    <row r="141" spans="1:3" ht="12.75">
      <c r="A141" t="s">
        <v>134</v>
      </c>
      <c r="C141">
        <v>2.5</v>
      </c>
    </row>
    <row r="142" ht="12.75">
      <c r="A142" t="s">
        <v>135</v>
      </c>
    </row>
    <row r="143" spans="1:3" ht="12.75">
      <c r="A143" t="s">
        <v>136</v>
      </c>
      <c r="C143">
        <v>2</v>
      </c>
    </row>
    <row r="147" spans="3:14" ht="12.75">
      <c r="C147" s="2"/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15</v>
      </c>
      <c r="H148" t="s">
        <v>93</v>
      </c>
      <c r="M148">
        <v>15</v>
      </c>
    </row>
    <row r="149" spans="1:13" ht="12.75">
      <c r="A149" t="s">
        <v>94</v>
      </c>
      <c r="D149">
        <v>6</v>
      </c>
      <c r="H149" t="s">
        <v>94</v>
      </c>
      <c r="M149">
        <v>5</v>
      </c>
    </row>
    <row r="150" spans="1:13" ht="12.75">
      <c r="A150" t="s">
        <v>95</v>
      </c>
      <c r="D150" s="8">
        <f>D149/D148*100</f>
        <v>40</v>
      </c>
      <c r="H150" t="s">
        <v>95</v>
      </c>
      <c r="M150" s="8">
        <f>+M149/M148*100</f>
        <v>33.33333333333333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Y150"/>
  <sheetViews>
    <sheetView zoomScalePageLayoutView="0" workbookViewId="0" topLeftCell="A56">
      <selection activeCell="A69" sqref="A69:M14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22</v>
      </c>
      <c r="H6" s="1" t="s">
        <v>29</v>
      </c>
      <c r="M6" s="2">
        <v>14</v>
      </c>
    </row>
    <row r="8" spans="1:23" ht="12.75">
      <c r="A8" t="s">
        <v>1</v>
      </c>
      <c r="D8" s="2">
        <v>42</v>
      </c>
      <c r="H8" t="s">
        <v>1</v>
      </c>
      <c r="M8" s="2">
        <v>15</v>
      </c>
      <c r="V8">
        <f>+D8</f>
        <v>42</v>
      </c>
      <c r="W8">
        <f>+M8</f>
        <v>15</v>
      </c>
    </row>
    <row r="9" spans="1:23" ht="12.75">
      <c r="A9" t="s">
        <v>2</v>
      </c>
      <c r="D9" s="2">
        <v>167</v>
      </c>
      <c r="H9" t="s">
        <v>2</v>
      </c>
      <c r="M9" s="2">
        <v>27</v>
      </c>
      <c r="U9" s="13"/>
      <c r="V9">
        <f>+D13</f>
        <v>16</v>
      </c>
      <c r="W9">
        <f>+M13</f>
        <v>16</v>
      </c>
    </row>
    <row r="10" spans="1:23" ht="12.75">
      <c r="A10" s="1" t="s">
        <v>3</v>
      </c>
      <c r="D10" s="8">
        <f>+D9/D8</f>
        <v>3.9761904761904763</v>
      </c>
      <c r="H10" s="1" t="s">
        <v>3</v>
      </c>
      <c r="M10" s="8">
        <f>+M9/M8</f>
        <v>1.8</v>
      </c>
      <c r="V10">
        <f>+(D12-D13)/2</f>
        <v>3.5</v>
      </c>
      <c r="W10">
        <f>+(M12-M13)/2</f>
        <v>9</v>
      </c>
    </row>
    <row r="11" spans="22:23" ht="12.75">
      <c r="V11">
        <f>+D35/2</f>
        <v>4</v>
      </c>
      <c r="W11">
        <f>+M35/2</f>
        <v>3</v>
      </c>
    </row>
    <row r="12" spans="1:23" ht="12.75">
      <c r="A12" t="s">
        <v>4</v>
      </c>
      <c r="D12" s="2">
        <v>23</v>
      </c>
      <c r="H12" t="s">
        <v>4</v>
      </c>
      <c r="M12" s="2">
        <v>34</v>
      </c>
      <c r="V12">
        <f>+D39/2</f>
        <v>1</v>
      </c>
      <c r="W12">
        <f>+M39/2</f>
        <v>0.5</v>
      </c>
    </row>
    <row r="13" spans="1:23" ht="12.75">
      <c r="A13" t="s">
        <v>5</v>
      </c>
      <c r="D13" s="2">
        <v>16</v>
      </c>
      <c r="H13" t="s">
        <v>5</v>
      </c>
      <c r="M13" s="2">
        <v>16</v>
      </c>
      <c r="V13">
        <f>+D44/2</f>
        <v>1</v>
      </c>
      <c r="W13">
        <f>+M44/2</f>
        <v>1.5</v>
      </c>
    </row>
    <row r="14" spans="1:13" ht="12.75">
      <c r="A14" t="s">
        <v>6</v>
      </c>
      <c r="D14" s="8">
        <f>+D13/D12*100</f>
        <v>69.56521739130434</v>
      </c>
      <c r="H14" t="s">
        <v>6</v>
      </c>
      <c r="M14" s="8">
        <f>+M13/M12*100</f>
        <v>47.05882352941176</v>
      </c>
    </row>
    <row r="15" spans="1:24" ht="12.75">
      <c r="A15" t="s">
        <v>7</v>
      </c>
      <c r="D15" s="2">
        <v>145</v>
      </c>
      <c r="H15" t="s">
        <v>7</v>
      </c>
      <c r="M15" s="2">
        <v>274</v>
      </c>
      <c r="V15">
        <f>SUM(V8:V13)</f>
        <v>67.5</v>
      </c>
      <c r="W15">
        <f>SUM(W8:W13)</f>
        <v>45</v>
      </c>
      <c r="X15">
        <f>+W15+V15</f>
        <v>112.5</v>
      </c>
    </row>
    <row r="16" spans="1:23" ht="12.75">
      <c r="A16" t="s">
        <v>8</v>
      </c>
      <c r="D16" s="2">
        <v>4</v>
      </c>
      <c r="H16" t="s">
        <v>8</v>
      </c>
      <c r="M16" s="2">
        <v>3</v>
      </c>
      <c r="V16">
        <f>+V15/X15</f>
        <v>0.6</v>
      </c>
      <c r="W16">
        <f>+W15/X15</f>
        <v>0.4</v>
      </c>
    </row>
    <row r="17" spans="1:23" ht="12.75">
      <c r="A17" t="s">
        <v>9</v>
      </c>
      <c r="D17" s="2">
        <v>36</v>
      </c>
      <c r="H17" t="s">
        <v>9</v>
      </c>
      <c r="M17" s="2">
        <v>19</v>
      </c>
      <c r="V17">
        <f>+V16*60</f>
        <v>36</v>
      </c>
      <c r="W17">
        <f>+W16*60</f>
        <v>24</v>
      </c>
    </row>
    <row r="18" spans="1:23" ht="12.75">
      <c r="A18" t="s">
        <v>10</v>
      </c>
      <c r="D18">
        <f>+D15-D17</f>
        <v>109</v>
      </c>
      <c r="H18" t="s">
        <v>10</v>
      </c>
      <c r="M18">
        <f>+M15-M17</f>
        <v>255</v>
      </c>
      <c r="V18">
        <f>+V17-INT(V17)</f>
        <v>0</v>
      </c>
      <c r="W18">
        <f>+W17-INT(W17)</f>
        <v>0</v>
      </c>
    </row>
    <row r="19" spans="1:23" ht="12.75">
      <c r="A19" t="s">
        <v>11</v>
      </c>
      <c r="D19" s="7">
        <f>+D18/(D12+D16)</f>
        <v>4.037037037037037</v>
      </c>
      <c r="H19" t="s">
        <v>11</v>
      </c>
      <c r="M19" s="7">
        <f>+M18/(M12+M16)</f>
        <v>6.891891891891892</v>
      </c>
      <c r="V19">
        <f>+V18*60</f>
        <v>0</v>
      </c>
      <c r="W19">
        <f>+W18*60</f>
        <v>0</v>
      </c>
    </row>
    <row r="20" spans="1:23" ht="12.75">
      <c r="A20" t="s">
        <v>12</v>
      </c>
      <c r="D20" s="7">
        <f>+D15/D13</f>
        <v>9.0625</v>
      </c>
      <c r="H20" t="s">
        <v>12</v>
      </c>
      <c r="M20" s="7">
        <f>+M15/M13</f>
        <v>17.125</v>
      </c>
      <c r="U20">
        <v>0</v>
      </c>
      <c r="V20" s="11">
        <f>ROUND(V19,0)</f>
        <v>0</v>
      </c>
      <c r="W20">
        <f>ROUND(W19,0)</f>
        <v>0</v>
      </c>
    </row>
    <row r="21" spans="22:23" ht="12.75">
      <c r="V21">
        <f>INT(V17)</f>
        <v>36</v>
      </c>
      <c r="W21">
        <f>INT(W17)</f>
        <v>24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276</v>
      </c>
      <c r="H23" t="s">
        <v>14</v>
      </c>
      <c r="M23">
        <f>+M18+M9</f>
        <v>282</v>
      </c>
      <c r="V23" s="14" t="str">
        <f>+V21&amp;V22&amp;V20</f>
        <v>36:0</v>
      </c>
      <c r="W23" s="9" t="str">
        <f>+W21&amp;W22&amp;W20</f>
        <v>24:0</v>
      </c>
    </row>
    <row r="24" spans="1:23" ht="12.75">
      <c r="A24" t="s">
        <v>15</v>
      </c>
      <c r="D24" s="7">
        <f>+D9/D23*100</f>
        <v>60.507246376811594</v>
      </c>
      <c r="H24" t="s">
        <v>15</v>
      </c>
      <c r="M24" s="7">
        <f>+M9/M23*100</f>
        <v>9.574468085106384</v>
      </c>
      <c r="V24" s="9" t="str">
        <f>IF(V20&lt;10,+V21&amp;V22&amp;$U$20&amp;V20,+V21&amp;V22&amp;V20)</f>
        <v>36:00</v>
      </c>
      <c r="W24" s="9" t="str">
        <f>IF(W20&lt;10,+W21&amp;W22&amp;$U$20&amp;W20,+W21&amp;W22&amp;W20)</f>
        <v>24:00</v>
      </c>
    </row>
    <row r="25" spans="1:13" ht="12.75">
      <c r="A25" s="1" t="s">
        <v>86</v>
      </c>
      <c r="D25" s="7">
        <f>+D18/D23*100</f>
        <v>39.492753623188406</v>
      </c>
      <c r="H25" s="1" t="s">
        <v>86</v>
      </c>
      <c r="M25" s="7">
        <f>+M18/M23*100</f>
        <v>90.42553191489363</v>
      </c>
    </row>
    <row r="27" spans="1:13" ht="12.75">
      <c r="A27" t="s">
        <v>16</v>
      </c>
      <c r="D27">
        <f>+D8+D12+D16</f>
        <v>69</v>
      </c>
      <c r="H27" t="s">
        <v>16</v>
      </c>
      <c r="M27">
        <f>+M8+M12+M16</f>
        <v>52</v>
      </c>
    </row>
    <row r="28" spans="1:13" ht="12.75">
      <c r="A28" t="s">
        <v>17</v>
      </c>
      <c r="D28" s="8">
        <f>+D23/D27</f>
        <v>4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5.423076923076923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0</v>
      </c>
      <c r="H31" t="s">
        <v>19</v>
      </c>
      <c r="M31" s="2">
        <v>4</v>
      </c>
    </row>
    <row r="32" spans="1:13" ht="12.75">
      <c r="A32" t="s">
        <v>20</v>
      </c>
      <c r="D32" s="2">
        <v>0</v>
      </c>
      <c r="H32" t="s">
        <v>20</v>
      </c>
      <c r="M32" s="2">
        <v>14</v>
      </c>
    </row>
    <row r="33" spans="1:13" ht="12.75">
      <c r="A33" t="s">
        <v>21</v>
      </c>
      <c r="D33" s="2">
        <v>0</v>
      </c>
      <c r="H33" t="s">
        <v>21</v>
      </c>
      <c r="M33" s="2">
        <v>0</v>
      </c>
    </row>
    <row r="35" spans="1:13" ht="12.75">
      <c r="A35" t="s">
        <v>22</v>
      </c>
      <c r="D35" s="2">
        <v>8</v>
      </c>
      <c r="H35" t="s">
        <v>22</v>
      </c>
      <c r="M35" s="2">
        <v>6</v>
      </c>
    </row>
    <row r="36" spans="1:13" ht="12.75">
      <c r="A36" t="s">
        <v>23</v>
      </c>
      <c r="D36" s="2">
        <v>332</v>
      </c>
      <c r="H36" t="s">
        <v>23</v>
      </c>
      <c r="M36" s="2">
        <v>253</v>
      </c>
    </row>
    <row r="37" spans="1:13" ht="12.75">
      <c r="A37" t="s">
        <v>24</v>
      </c>
      <c r="D37" s="8">
        <f>+D36/D35</f>
        <v>41.5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42.166666666666664</v>
      </c>
    </row>
    <row r="39" spans="1:13" ht="12.75">
      <c r="A39" t="s">
        <v>25</v>
      </c>
      <c r="D39" s="2">
        <v>2</v>
      </c>
      <c r="H39" t="s">
        <v>25</v>
      </c>
      <c r="M39" s="2">
        <v>1</v>
      </c>
    </row>
    <row r="40" spans="1:13" ht="12.75">
      <c r="A40" t="s">
        <v>26</v>
      </c>
      <c r="D40" s="2">
        <v>37</v>
      </c>
      <c r="H40" t="s">
        <v>26</v>
      </c>
      <c r="M40" s="2">
        <v>2</v>
      </c>
    </row>
    <row r="41" spans="1:13" ht="12.75">
      <c r="A41" t="s">
        <v>27</v>
      </c>
      <c r="D41" s="8">
        <f>+D40/D39</f>
        <v>18.5</v>
      </c>
      <c r="H41" t="s">
        <v>27</v>
      </c>
      <c r="M41" s="8">
        <f>+M40/M39</f>
        <v>2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2</v>
      </c>
      <c r="H44" t="s">
        <v>30</v>
      </c>
      <c r="M44" s="2">
        <v>3</v>
      </c>
    </row>
    <row r="45" spans="1:13" ht="12.75">
      <c r="A45" t="s">
        <v>26</v>
      </c>
      <c r="D45" s="2">
        <v>59</v>
      </c>
      <c r="H45" t="s">
        <v>26</v>
      </c>
      <c r="M45" s="2">
        <v>61</v>
      </c>
    </row>
    <row r="46" spans="1:13" ht="12.75">
      <c r="A46" t="s">
        <v>27</v>
      </c>
      <c r="D46" s="8">
        <f>+D45/D44</f>
        <v>29.5</v>
      </c>
      <c r="H46" t="s">
        <v>27</v>
      </c>
      <c r="M46" s="8">
        <f>+M45/M44</f>
        <v>20.333333333333332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4</v>
      </c>
      <c r="H49" t="s">
        <v>31</v>
      </c>
      <c r="M49" s="2">
        <v>12</v>
      </c>
    </row>
    <row r="50" spans="1:13" ht="12.75">
      <c r="A50" t="s">
        <v>32</v>
      </c>
      <c r="D50" s="2">
        <v>35</v>
      </c>
      <c r="H50" t="s">
        <v>32</v>
      </c>
      <c r="M50" s="2">
        <v>82</v>
      </c>
    </row>
    <row r="52" spans="1:13" ht="12.75">
      <c r="A52" t="s">
        <v>33</v>
      </c>
      <c r="D52" s="2">
        <v>2</v>
      </c>
      <c r="H52" t="s">
        <v>33</v>
      </c>
      <c r="M52" s="2">
        <v>1</v>
      </c>
    </row>
    <row r="53" spans="1:13" ht="12.75">
      <c r="A53" t="s">
        <v>101</v>
      </c>
      <c r="D53" s="2">
        <v>1</v>
      </c>
      <c r="H53" t="s">
        <v>101</v>
      </c>
      <c r="M53" s="2">
        <v>1</v>
      </c>
    </row>
    <row r="55" spans="1:13" ht="12.75">
      <c r="A55" t="s">
        <v>34</v>
      </c>
      <c r="D55" s="2">
        <v>22</v>
      </c>
      <c r="H55" t="s">
        <v>34</v>
      </c>
      <c r="M55" s="2">
        <v>0</v>
      </c>
    </row>
    <row r="56" spans="1:13" ht="12.75">
      <c r="A56" t="s">
        <v>35</v>
      </c>
      <c r="D56" s="2">
        <v>2</v>
      </c>
      <c r="H56" t="s">
        <v>35</v>
      </c>
      <c r="M56" s="2">
        <v>0</v>
      </c>
    </row>
    <row r="57" spans="1:13" ht="12.75">
      <c r="A57" t="s">
        <v>36</v>
      </c>
      <c r="D57" s="2">
        <v>1</v>
      </c>
      <c r="H57" t="s">
        <v>36</v>
      </c>
      <c r="M57" s="2">
        <v>0</v>
      </c>
    </row>
    <row r="58" spans="1:13" ht="12.75">
      <c r="A58" t="s">
        <v>37</v>
      </c>
      <c r="D58" s="2">
        <v>1</v>
      </c>
      <c r="H58" t="s">
        <v>37</v>
      </c>
      <c r="M58" s="2">
        <v>0</v>
      </c>
    </row>
    <row r="59" spans="1:13" ht="12.75">
      <c r="A59" t="s">
        <v>38</v>
      </c>
      <c r="D59" s="2">
        <v>0</v>
      </c>
      <c r="H59" t="s">
        <v>38</v>
      </c>
      <c r="M59" s="2">
        <v>0</v>
      </c>
    </row>
    <row r="60" spans="1:13" ht="12.75">
      <c r="A60" t="s">
        <v>39</v>
      </c>
      <c r="D60" s="2">
        <v>2</v>
      </c>
      <c r="H60" t="s">
        <v>39</v>
      </c>
      <c r="M60" s="2">
        <v>0</v>
      </c>
    </row>
    <row r="61" spans="1:13" ht="12.75">
      <c r="A61" t="s">
        <v>40</v>
      </c>
      <c r="D61" s="2">
        <v>1</v>
      </c>
      <c r="H61" t="s">
        <v>40</v>
      </c>
      <c r="M61" s="2">
        <v>0</v>
      </c>
    </row>
    <row r="62" spans="1:13" ht="12.75">
      <c r="A62" t="s">
        <v>41</v>
      </c>
      <c r="D62" s="2">
        <v>2</v>
      </c>
      <c r="H62" t="s">
        <v>41</v>
      </c>
      <c r="M62" s="2">
        <v>0</v>
      </c>
    </row>
    <row r="63" spans="1:13" ht="12.75">
      <c r="A63" t="s">
        <v>42</v>
      </c>
      <c r="D63" s="2">
        <v>2</v>
      </c>
      <c r="H63" t="s">
        <v>42</v>
      </c>
      <c r="M63" s="2">
        <v>0</v>
      </c>
    </row>
    <row r="64" spans="1:13" ht="12.75">
      <c r="A64" t="s">
        <v>43</v>
      </c>
      <c r="D64" s="8">
        <f>+D62/D63*100</f>
        <v>100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v>0</v>
      </c>
    </row>
    <row r="65" spans="1:13" ht="12.75">
      <c r="A65" t="s">
        <v>89</v>
      </c>
      <c r="D65" s="10" t="str">
        <f>IF(V20&lt;10,V24,V23)</f>
        <v>36:00</v>
      </c>
      <c r="E65" s="8"/>
      <c r="F65" s="8"/>
      <c r="H65" t="s">
        <v>89</v>
      </c>
      <c r="M65" s="10" t="str">
        <f>IF(W20&lt;10,W24,W23)</f>
        <v>24:00</v>
      </c>
    </row>
    <row r="66" spans="1:13" ht="12.75">
      <c r="A66" t="s">
        <v>102</v>
      </c>
      <c r="D66" s="8">
        <f>D150</f>
        <v>33.33333333333333</v>
      </c>
      <c r="H66" t="s">
        <v>102</v>
      </c>
      <c r="M66" s="8">
        <f>M150</f>
        <v>16.666666666666664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8" ht="12.75">
      <c r="A70" t="s">
        <v>109</v>
      </c>
      <c r="C70">
        <v>20</v>
      </c>
      <c r="D70">
        <v>77</v>
      </c>
      <c r="E70" s="12">
        <f aca="true" t="shared" si="0" ref="E70:E80">+D70/C70</f>
        <v>3.85</v>
      </c>
      <c r="F70">
        <v>13</v>
      </c>
      <c r="G70">
        <v>1</v>
      </c>
      <c r="H70">
        <v>0</v>
      </c>
    </row>
    <row r="71" spans="1:8" ht="12.75">
      <c r="A71" t="s">
        <v>108</v>
      </c>
      <c r="C71">
        <v>10</v>
      </c>
      <c r="D71">
        <v>21</v>
      </c>
      <c r="E71" s="12">
        <f t="shared" si="0"/>
        <v>2.1</v>
      </c>
      <c r="F71">
        <v>8</v>
      </c>
      <c r="G71">
        <v>0</v>
      </c>
      <c r="H71">
        <v>0</v>
      </c>
    </row>
    <row r="72" spans="1:5" ht="12.75">
      <c r="A72" t="s">
        <v>110</v>
      </c>
      <c r="E72" s="12" t="e">
        <f t="shared" si="0"/>
        <v>#DIV/0!</v>
      </c>
    </row>
    <row r="73" spans="1:8" ht="12.75">
      <c r="A73" t="s">
        <v>111</v>
      </c>
      <c r="C73">
        <v>1</v>
      </c>
      <c r="D73">
        <v>20</v>
      </c>
      <c r="E73" s="12">
        <f t="shared" si="0"/>
        <v>20</v>
      </c>
      <c r="F73">
        <v>20</v>
      </c>
      <c r="G73">
        <v>0</v>
      </c>
      <c r="H73">
        <v>0</v>
      </c>
    </row>
    <row r="74" spans="1:8" ht="12.75">
      <c r="A74" t="s">
        <v>112</v>
      </c>
      <c r="C74">
        <v>4</v>
      </c>
      <c r="D74">
        <v>15</v>
      </c>
      <c r="E74" s="12">
        <f t="shared" si="0"/>
        <v>3.75</v>
      </c>
      <c r="F74">
        <v>11</v>
      </c>
      <c r="G74">
        <v>0</v>
      </c>
      <c r="H74">
        <v>0</v>
      </c>
    </row>
    <row r="75" spans="1:8" ht="12.75">
      <c r="A75" t="s">
        <v>106</v>
      </c>
      <c r="C75">
        <v>4</v>
      </c>
      <c r="D75">
        <v>39</v>
      </c>
      <c r="E75" s="12">
        <f t="shared" si="0"/>
        <v>9.75</v>
      </c>
      <c r="F75">
        <v>21</v>
      </c>
      <c r="G75">
        <v>0</v>
      </c>
      <c r="H75">
        <v>0</v>
      </c>
    </row>
    <row r="76" spans="1:5" ht="12.75">
      <c r="A76" t="s">
        <v>113</v>
      </c>
      <c r="E76" s="12" t="e">
        <f t="shared" si="0"/>
        <v>#DIV/0!</v>
      </c>
    </row>
    <row r="77" spans="1:8" ht="12.75">
      <c r="A77" t="s">
        <v>114</v>
      </c>
      <c r="C77">
        <v>2</v>
      </c>
      <c r="D77">
        <v>-5</v>
      </c>
      <c r="E77" s="12">
        <f t="shared" si="0"/>
        <v>-2.5</v>
      </c>
      <c r="F77">
        <v>2</v>
      </c>
      <c r="G77">
        <v>0</v>
      </c>
      <c r="H77">
        <v>0</v>
      </c>
    </row>
    <row r="78" spans="1:5" ht="12.75">
      <c r="A78" t="s">
        <v>115</v>
      </c>
      <c r="E78" s="12" t="e">
        <f t="shared" si="0"/>
        <v>#DIV/0!</v>
      </c>
    </row>
    <row r="79" spans="1:8" ht="12.75">
      <c r="A79" t="s">
        <v>107</v>
      </c>
      <c r="C79">
        <v>1</v>
      </c>
      <c r="D79">
        <v>0</v>
      </c>
      <c r="E79" s="12">
        <f t="shared" si="0"/>
        <v>0</v>
      </c>
      <c r="F79">
        <v>0</v>
      </c>
      <c r="G79">
        <v>0</v>
      </c>
      <c r="H79">
        <v>0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6</v>
      </c>
      <c r="D83">
        <v>61</v>
      </c>
      <c r="E83" s="12">
        <f aca="true" t="shared" si="1" ref="E83:E93">+D83/C83</f>
        <v>10.166666666666666</v>
      </c>
      <c r="F83">
        <v>35</v>
      </c>
      <c r="G83">
        <v>1</v>
      </c>
      <c r="H83">
        <v>1</v>
      </c>
    </row>
    <row r="84" spans="1:8" ht="12.75">
      <c r="A84" t="s">
        <v>118</v>
      </c>
      <c r="C84">
        <v>2</v>
      </c>
      <c r="D84">
        <v>14</v>
      </c>
      <c r="E84" s="12">
        <f t="shared" si="1"/>
        <v>7</v>
      </c>
      <c r="F84">
        <v>14</v>
      </c>
      <c r="G84">
        <v>0</v>
      </c>
      <c r="H84">
        <v>0</v>
      </c>
    </row>
    <row r="85" spans="1:8" ht="12.75">
      <c r="A85" t="s">
        <v>108</v>
      </c>
      <c r="C85">
        <v>3</v>
      </c>
      <c r="D85">
        <v>38</v>
      </c>
      <c r="E85" s="12">
        <f t="shared" si="1"/>
        <v>12.666666666666666</v>
      </c>
      <c r="F85">
        <v>20</v>
      </c>
      <c r="G85">
        <v>0</v>
      </c>
      <c r="H85">
        <v>0</v>
      </c>
    </row>
    <row r="86" spans="1:8" ht="12.75">
      <c r="A86" t="s">
        <v>113</v>
      </c>
      <c r="C86">
        <v>1</v>
      </c>
      <c r="D86">
        <v>6</v>
      </c>
      <c r="E86" s="12">
        <f t="shared" si="1"/>
        <v>6</v>
      </c>
      <c r="F86">
        <v>6</v>
      </c>
      <c r="G86">
        <v>0</v>
      </c>
      <c r="H86">
        <v>0</v>
      </c>
    </row>
    <row r="87" spans="1:8" ht="12.75">
      <c r="A87" t="s">
        <v>109</v>
      </c>
      <c r="C87">
        <v>1</v>
      </c>
      <c r="D87">
        <v>16</v>
      </c>
      <c r="E87" s="12">
        <f t="shared" si="1"/>
        <v>16</v>
      </c>
      <c r="F87">
        <v>16</v>
      </c>
      <c r="G87">
        <v>0</v>
      </c>
      <c r="H87">
        <v>0</v>
      </c>
    </row>
    <row r="88" spans="1:5" ht="12.75">
      <c r="A88" t="s">
        <v>114</v>
      </c>
      <c r="E88" s="12" t="e">
        <f t="shared" si="1"/>
        <v>#DIV/0!</v>
      </c>
    </row>
    <row r="89" spans="1:8" ht="12.75">
      <c r="A89" t="s">
        <v>119</v>
      </c>
      <c r="C89">
        <v>1</v>
      </c>
      <c r="D89">
        <v>7</v>
      </c>
      <c r="E89" s="12">
        <f t="shared" si="1"/>
        <v>7</v>
      </c>
      <c r="F89">
        <v>7</v>
      </c>
      <c r="G89">
        <v>0</v>
      </c>
      <c r="H89">
        <v>0</v>
      </c>
    </row>
    <row r="90" spans="1:5" ht="12.75">
      <c r="A90" t="s">
        <v>112</v>
      </c>
      <c r="E90" s="12" t="e">
        <f t="shared" si="1"/>
        <v>#DIV/0!</v>
      </c>
    </row>
    <row r="91" spans="1:8" ht="12.75">
      <c r="A91" t="s">
        <v>115</v>
      </c>
      <c r="C91">
        <v>1</v>
      </c>
      <c r="D91">
        <v>-3</v>
      </c>
      <c r="E91" s="12">
        <f t="shared" si="1"/>
        <v>-3</v>
      </c>
      <c r="F91">
        <v>-3</v>
      </c>
      <c r="G91">
        <v>0</v>
      </c>
      <c r="H91">
        <v>0</v>
      </c>
    </row>
    <row r="92" spans="1:5" ht="12.75">
      <c r="A92" t="s">
        <v>111</v>
      </c>
      <c r="E92" s="12" t="e">
        <f t="shared" si="1"/>
        <v>#DIV/0!</v>
      </c>
    </row>
    <row r="93" spans="1:8" ht="12.75">
      <c r="A93" t="s">
        <v>106</v>
      </c>
      <c r="C93">
        <v>1</v>
      </c>
      <c r="D93">
        <v>6</v>
      </c>
      <c r="E93" s="12">
        <f t="shared" si="1"/>
        <v>6</v>
      </c>
      <c r="F93">
        <v>6</v>
      </c>
      <c r="G93">
        <v>0</v>
      </c>
      <c r="H93">
        <v>0</v>
      </c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2</v>
      </c>
      <c r="D96">
        <v>2</v>
      </c>
      <c r="E96" s="12">
        <f>+D96/C96*100</f>
        <v>100</v>
      </c>
      <c r="F96">
        <v>21</v>
      </c>
      <c r="G96">
        <v>0</v>
      </c>
      <c r="H96">
        <v>14</v>
      </c>
      <c r="I96">
        <v>0</v>
      </c>
      <c r="J96" s="8">
        <f>+G96/C96*100</f>
        <v>0</v>
      </c>
      <c r="K96" s="12">
        <f>+I96/C96*100</f>
        <v>0</v>
      </c>
      <c r="L96" s="12">
        <f>+F96/C96</f>
        <v>10.5</v>
      </c>
      <c r="M96" s="12">
        <f>100*(S96+U96+W96+Y96)/6</f>
        <v>129.16666666666666</v>
      </c>
      <c r="R96">
        <f>+(E96-30)/20</f>
        <v>3.5</v>
      </c>
      <c r="S96" s="2">
        <f>IF(R96&lt;0,0,R96)</f>
        <v>3.5</v>
      </c>
      <c r="T96" s="6">
        <f>+(L96-3)/4</f>
        <v>1.875</v>
      </c>
      <c r="U96" s="2">
        <f>IF(T96&lt;0,0,T96)</f>
        <v>1.875</v>
      </c>
      <c r="V96">
        <f>+J96/5</f>
        <v>0</v>
      </c>
      <c r="W96" s="2">
        <f>IF(V96&lt;0,0,V96)</f>
        <v>0</v>
      </c>
      <c r="X96">
        <f>(9.5-K96)/4</f>
        <v>2.375</v>
      </c>
      <c r="Y96" s="2">
        <f>IF(X96&lt;0,0,X96)</f>
        <v>2.375</v>
      </c>
    </row>
    <row r="97" spans="1:25" ht="12.75">
      <c r="A97" t="s">
        <v>106</v>
      </c>
      <c r="C97">
        <v>18</v>
      </c>
      <c r="D97">
        <v>12</v>
      </c>
      <c r="E97" s="12">
        <f>+D97/C97*100</f>
        <v>66.66666666666666</v>
      </c>
      <c r="F97">
        <v>102</v>
      </c>
      <c r="G97">
        <v>1</v>
      </c>
      <c r="H97">
        <v>35</v>
      </c>
      <c r="I97">
        <v>0</v>
      </c>
      <c r="J97" s="8">
        <f>+G97/C97*100</f>
        <v>5.555555555555555</v>
      </c>
      <c r="K97" s="12">
        <f>+I97/C97*100</f>
        <v>0</v>
      </c>
      <c r="L97" s="12">
        <f>+F97/C97</f>
        <v>5.666666666666667</v>
      </c>
      <c r="M97" s="12">
        <f>100*(S97+U97+W97+Y97)/6</f>
        <v>99.76851851851852</v>
      </c>
      <c r="R97">
        <f>+(E97-30)/20</f>
        <v>1.8333333333333328</v>
      </c>
      <c r="S97" s="2">
        <f>IF(R97&lt;0,0,R97)</f>
        <v>1.8333333333333328</v>
      </c>
      <c r="T97" s="6">
        <f>+(L97-3)/4</f>
        <v>0.6666666666666667</v>
      </c>
      <c r="U97" s="2">
        <f>IF(T97&lt;0,0,T97)</f>
        <v>0.6666666666666667</v>
      </c>
      <c r="V97">
        <f>+J97/5</f>
        <v>1.1111111111111112</v>
      </c>
      <c r="W97" s="2">
        <f>IF(V97&lt;0,0,V97)</f>
        <v>1.1111111111111112</v>
      </c>
      <c r="X97">
        <f>(9.5-K97)/4</f>
        <v>2.375</v>
      </c>
      <c r="Y97" s="2">
        <f>IF(X97&lt;0,0,X97)</f>
        <v>2.375</v>
      </c>
    </row>
    <row r="98" spans="1:25" ht="12.75">
      <c r="A98" t="s">
        <v>107</v>
      </c>
      <c r="C98">
        <v>2</v>
      </c>
      <c r="D98">
        <v>2</v>
      </c>
      <c r="E98" s="12">
        <f>+D98/C98*100</f>
        <v>100</v>
      </c>
      <c r="F98">
        <v>22</v>
      </c>
      <c r="G98">
        <v>0</v>
      </c>
      <c r="H98">
        <v>11</v>
      </c>
      <c r="I98">
        <v>0</v>
      </c>
      <c r="J98" s="8">
        <f>+G98/C98*100</f>
        <v>0</v>
      </c>
      <c r="K98" s="12">
        <f>+I98/C98*100</f>
        <v>0</v>
      </c>
      <c r="L98" s="12">
        <f>+F98/C98</f>
        <v>11</v>
      </c>
      <c r="M98" s="12">
        <f>100*(S98+U98+W98+Y98)/6</f>
        <v>131.25</v>
      </c>
      <c r="R98">
        <f>+(E98-30)/20</f>
        <v>3.5</v>
      </c>
      <c r="S98" s="2">
        <f>IF(R98&lt;0,0,R98)</f>
        <v>3.5</v>
      </c>
      <c r="T98" s="6">
        <f>+(L98-3)/4</f>
        <v>2</v>
      </c>
      <c r="U98" s="2">
        <f>IF(T98&lt;0,0,T98)</f>
        <v>2</v>
      </c>
      <c r="V98">
        <f>+J98/5</f>
        <v>0</v>
      </c>
      <c r="W98" s="2">
        <f>IF(V98&lt;0,0,V98)</f>
        <v>0</v>
      </c>
      <c r="X98">
        <f>(9.5-K98)/4</f>
        <v>2.375</v>
      </c>
      <c r="Y98" s="2">
        <f>IF(X98&lt;0,0,X98)</f>
        <v>2.375</v>
      </c>
    </row>
    <row r="99" spans="1:13" ht="12.75">
      <c r="A99" t="s">
        <v>108</v>
      </c>
      <c r="C99">
        <v>1</v>
      </c>
      <c r="D99">
        <v>0</v>
      </c>
      <c r="E99" s="12">
        <f>+D99/C99*100</f>
        <v>0</v>
      </c>
      <c r="F99">
        <v>0</v>
      </c>
      <c r="G99">
        <v>0</v>
      </c>
      <c r="H99">
        <v>0</v>
      </c>
      <c r="I99">
        <v>0</v>
      </c>
      <c r="J99" s="8">
        <f>+G99/C99*100</f>
        <v>0</v>
      </c>
      <c r="K99" s="12">
        <f>+I99/C99*100</f>
        <v>0</v>
      </c>
      <c r="L99" s="12">
        <f>+F99/C99</f>
        <v>0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6" ht="12.75">
      <c r="A102" t="s">
        <v>118</v>
      </c>
      <c r="F102" s="12" t="e">
        <f>+E102/C102</f>
        <v>#DIV/0!</v>
      </c>
    </row>
    <row r="103" spans="1:9" ht="12.75">
      <c r="A103" t="s">
        <v>117</v>
      </c>
      <c r="C103">
        <v>2</v>
      </c>
      <c r="D103">
        <v>3</v>
      </c>
      <c r="E103">
        <v>37</v>
      </c>
      <c r="F103" s="12">
        <f>+E103/C103</f>
        <v>18.5</v>
      </c>
      <c r="G103">
        <v>24</v>
      </c>
      <c r="H103">
        <v>0</v>
      </c>
      <c r="I103">
        <v>0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5" ht="12.75">
      <c r="A107" t="s">
        <v>111</v>
      </c>
      <c r="E107" s="12" t="e">
        <f aca="true" t="shared" si="2" ref="E107:E113">+D107/C107</f>
        <v>#DIV/0!</v>
      </c>
    </row>
    <row r="108" spans="1:8" ht="12.75">
      <c r="A108" t="s">
        <v>115</v>
      </c>
      <c r="C108">
        <v>2</v>
      </c>
      <c r="D108">
        <v>59</v>
      </c>
      <c r="E108" s="12">
        <f t="shared" si="2"/>
        <v>29.5</v>
      </c>
      <c r="F108">
        <v>33</v>
      </c>
      <c r="G108">
        <v>0</v>
      </c>
      <c r="H108">
        <v>0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v>8</v>
      </c>
      <c r="D116">
        <v>332</v>
      </c>
      <c r="E116" s="12">
        <f>+D116/C116</f>
        <v>41.5</v>
      </c>
      <c r="F116">
        <v>54</v>
      </c>
      <c r="G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5</v>
      </c>
      <c r="D119">
        <v>1</v>
      </c>
      <c r="E119">
        <v>2</v>
      </c>
      <c r="F119">
        <v>2</v>
      </c>
      <c r="G119">
        <v>2</v>
      </c>
      <c r="H119">
        <v>2</v>
      </c>
      <c r="I119" s="12">
        <f>+H119/G119*100</f>
        <v>100</v>
      </c>
      <c r="J119">
        <v>26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8" ht="12.75">
      <c r="A123" t="s">
        <v>121</v>
      </c>
      <c r="C123">
        <v>3</v>
      </c>
      <c r="D123">
        <v>14</v>
      </c>
      <c r="E123" s="12">
        <f>+D123/C123</f>
        <v>4.666666666666667</v>
      </c>
      <c r="F123">
        <v>12</v>
      </c>
      <c r="G123">
        <v>0</v>
      </c>
      <c r="H123">
        <v>0</v>
      </c>
    </row>
    <row r="124" spans="1:5" ht="12.75">
      <c r="A124" t="s">
        <v>124</v>
      </c>
      <c r="E124" s="12" t="e">
        <f aca="true" t="shared" si="3" ref="E124:E129">+D124/C124</f>
        <v>#DIV/0!</v>
      </c>
    </row>
    <row r="125" spans="1:5" ht="12.75">
      <c r="A125" t="s">
        <v>125</v>
      </c>
      <c r="E125" s="12" t="e">
        <f t="shared" si="3"/>
        <v>#DIV/0!</v>
      </c>
    </row>
    <row r="126" spans="1:5" ht="12.75">
      <c r="A126" t="s">
        <v>126</v>
      </c>
      <c r="E126" s="12" t="e">
        <f t="shared" si="3"/>
        <v>#DIV/0!</v>
      </c>
    </row>
    <row r="127" spans="1:5" ht="12.75">
      <c r="A127" t="s">
        <v>127</v>
      </c>
      <c r="E127" s="12" t="e">
        <f t="shared" si="3"/>
        <v>#DIV/0!</v>
      </c>
    </row>
    <row r="128" spans="1:8" ht="12.75">
      <c r="A128" t="s">
        <v>128</v>
      </c>
      <c r="C128">
        <v>1</v>
      </c>
      <c r="D128">
        <v>0</v>
      </c>
      <c r="E128" s="12">
        <f t="shared" si="3"/>
        <v>0</v>
      </c>
      <c r="F128">
        <v>0</v>
      </c>
      <c r="G128">
        <v>0</v>
      </c>
      <c r="H128">
        <v>0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>#REF!</f>
        <v>#REF!</v>
      </c>
    </row>
    <row r="132" spans="1:4" ht="12.75">
      <c r="A132" s="2" t="s">
        <v>90</v>
      </c>
      <c r="C132" s="3" t="s">
        <v>68</v>
      </c>
      <c r="D132" s="3"/>
    </row>
    <row r="133" ht="12.75">
      <c r="A133" t="s">
        <v>132</v>
      </c>
    </row>
    <row r="134" ht="12.75">
      <c r="A134" t="s">
        <v>123</v>
      </c>
    </row>
    <row r="135" ht="12.75">
      <c r="A135" t="s">
        <v>126</v>
      </c>
    </row>
    <row r="136" spans="1:3" ht="12.75">
      <c r="A136" t="s">
        <v>128</v>
      </c>
      <c r="C136">
        <v>0.5</v>
      </c>
    </row>
    <row r="137" ht="12.75">
      <c r="A137" t="s">
        <v>129</v>
      </c>
    </row>
    <row r="138" ht="12.75">
      <c r="A138" t="s">
        <v>125</v>
      </c>
    </row>
    <row r="139" ht="12.75">
      <c r="A139" t="s">
        <v>127</v>
      </c>
    </row>
    <row r="140" spans="1:3" ht="12.75">
      <c r="A140" t="s">
        <v>133</v>
      </c>
      <c r="C140">
        <v>1</v>
      </c>
    </row>
    <row r="141" ht="12.75">
      <c r="A141" t="s">
        <v>134</v>
      </c>
    </row>
    <row r="142" spans="1:3" ht="12.75">
      <c r="A142" t="s">
        <v>135</v>
      </c>
      <c r="C142">
        <v>1</v>
      </c>
    </row>
    <row r="143" spans="1:3" ht="12.75">
      <c r="A143" t="s">
        <v>136</v>
      </c>
      <c r="C143">
        <v>0.5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15</v>
      </c>
      <c r="H148" t="s">
        <v>93</v>
      </c>
      <c r="M148">
        <v>12</v>
      </c>
    </row>
    <row r="149" spans="1:13" ht="12.75">
      <c r="A149" t="s">
        <v>94</v>
      </c>
      <c r="D149">
        <v>5</v>
      </c>
      <c r="H149" t="s">
        <v>94</v>
      </c>
      <c r="M149">
        <v>2</v>
      </c>
    </row>
    <row r="150" spans="1:13" ht="12.75">
      <c r="A150" t="s">
        <v>95</v>
      </c>
      <c r="D150" s="8">
        <f>D149/D148*100</f>
        <v>33.33333333333333</v>
      </c>
      <c r="H150" t="s">
        <v>95</v>
      </c>
      <c r="M150" s="8">
        <f>+M149/M148*100</f>
        <v>16.666666666666664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Y150"/>
  <sheetViews>
    <sheetView zoomScalePageLayoutView="0" workbookViewId="0" topLeftCell="A124">
      <selection activeCell="M150" sqref="M15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20</v>
      </c>
      <c r="H6" s="1" t="s">
        <v>29</v>
      </c>
      <c r="M6" s="2">
        <v>21</v>
      </c>
    </row>
    <row r="8" spans="1:13" ht="12.75">
      <c r="A8" t="s">
        <v>1</v>
      </c>
      <c r="D8" s="2">
        <v>28</v>
      </c>
      <c r="H8" t="s">
        <v>1</v>
      </c>
      <c r="M8" s="2">
        <v>33</v>
      </c>
    </row>
    <row r="9" spans="1:13" ht="12.75">
      <c r="A9" t="s">
        <v>2</v>
      </c>
      <c r="D9" s="2">
        <v>140</v>
      </c>
      <c r="H9" t="s">
        <v>2</v>
      </c>
      <c r="M9" s="2">
        <v>70</v>
      </c>
    </row>
    <row r="10" spans="1:13" ht="12.75">
      <c r="A10" s="1" t="s">
        <v>3</v>
      </c>
      <c r="D10" s="8">
        <f>+D9/D8</f>
        <v>5</v>
      </c>
      <c r="H10" s="1" t="s">
        <v>3</v>
      </c>
      <c r="M10" s="8">
        <f>+M9/M8</f>
        <v>2.121212121212121</v>
      </c>
    </row>
    <row r="12" spans="1:13" ht="12.75">
      <c r="A12" t="s">
        <v>4</v>
      </c>
      <c r="D12" s="2">
        <v>31</v>
      </c>
      <c r="H12" t="s">
        <v>4</v>
      </c>
      <c r="M12" s="2">
        <v>29</v>
      </c>
    </row>
    <row r="13" spans="1:13" ht="12.75">
      <c r="A13" t="s">
        <v>5</v>
      </c>
      <c r="D13" s="2">
        <v>15</v>
      </c>
      <c r="H13" t="s">
        <v>5</v>
      </c>
      <c r="M13" s="2">
        <v>16</v>
      </c>
    </row>
    <row r="14" spans="1:13" ht="12.75">
      <c r="A14" t="s">
        <v>6</v>
      </c>
      <c r="D14" s="8">
        <f>+D13/D12*100</f>
        <v>48.38709677419355</v>
      </c>
      <c r="H14" t="s">
        <v>6</v>
      </c>
      <c r="M14" s="8">
        <f>+M13/M12*100</f>
        <v>55.172413793103445</v>
      </c>
    </row>
    <row r="15" spans="1:13" ht="12.75">
      <c r="A15" t="s">
        <v>7</v>
      </c>
      <c r="D15" s="2">
        <v>255</v>
      </c>
      <c r="H15" t="s">
        <v>7</v>
      </c>
      <c r="M15" s="2">
        <v>422</v>
      </c>
    </row>
    <row r="16" spans="1:13" ht="12.75">
      <c r="A16" t="s">
        <v>8</v>
      </c>
      <c r="D16" s="2">
        <v>2</v>
      </c>
      <c r="H16" t="s">
        <v>8</v>
      </c>
      <c r="M16" s="2">
        <v>4</v>
      </c>
    </row>
    <row r="17" spans="1:13" ht="12.75">
      <c r="A17" t="s">
        <v>9</v>
      </c>
      <c r="D17" s="2">
        <v>10</v>
      </c>
      <c r="H17" t="s">
        <v>9</v>
      </c>
      <c r="M17" s="2">
        <v>28</v>
      </c>
    </row>
    <row r="18" spans="1:13" ht="12.75">
      <c r="A18" t="s">
        <v>10</v>
      </c>
      <c r="D18">
        <f>+D15-D17</f>
        <v>245</v>
      </c>
      <c r="H18" t="s">
        <v>10</v>
      </c>
      <c r="M18">
        <f>+M15-M17</f>
        <v>394</v>
      </c>
    </row>
    <row r="19" spans="1:13" ht="12.75">
      <c r="A19" t="s">
        <v>11</v>
      </c>
      <c r="D19" s="7">
        <f>+D18/(D12+D16)</f>
        <v>7.424242424242424</v>
      </c>
      <c r="H19" t="s">
        <v>11</v>
      </c>
      <c r="M19" s="7">
        <f>+M18/(M12+M16)</f>
        <v>11.93939393939394</v>
      </c>
    </row>
    <row r="20" spans="1:13" ht="12.75">
      <c r="A20" t="s">
        <v>12</v>
      </c>
      <c r="D20" s="7">
        <f>+D15/D13</f>
        <v>17</v>
      </c>
      <c r="H20" t="s">
        <v>12</v>
      </c>
      <c r="M20" s="7">
        <f>+M15/M13</f>
        <v>26.375</v>
      </c>
    </row>
    <row r="22" spans="1:8" ht="12.75">
      <c r="A22" t="s">
        <v>13</v>
      </c>
      <c r="H22" t="s">
        <v>13</v>
      </c>
    </row>
    <row r="23" spans="1:13" ht="12.75">
      <c r="A23" t="s">
        <v>14</v>
      </c>
      <c r="D23">
        <f>+D18+D9</f>
        <v>385</v>
      </c>
      <c r="H23" t="s">
        <v>14</v>
      </c>
      <c r="M23">
        <f>+M18+M9</f>
        <v>464</v>
      </c>
    </row>
    <row r="24" spans="1:13" ht="12.75">
      <c r="A24" t="s">
        <v>15</v>
      </c>
      <c r="D24" s="7">
        <f>+D9/D23*100</f>
        <v>36.36363636363637</v>
      </c>
      <c r="H24" t="s">
        <v>15</v>
      </c>
      <c r="M24" s="7">
        <f>+M9/M23*100</f>
        <v>15.086206896551724</v>
      </c>
    </row>
    <row r="25" spans="1:13" ht="12.75">
      <c r="A25" s="1" t="s">
        <v>86</v>
      </c>
      <c r="D25" s="7">
        <f>+D18/D23*100</f>
        <v>63.63636363636363</v>
      </c>
      <c r="H25" s="1" t="s">
        <v>86</v>
      </c>
      <c r="M25" s="7">
        <f>+M18/M23*100</f>
        <v>84.91379310344827</v>
      </c>
    </row>
    <row r="27" spans="1:13" ht="12.75">
      <c r="A27" t="s">
        <v>16</v>
      </c>
      <c r="D27">
        <f>+D8+D12+D16</f>
        <v>61</v>
      </c>
      <c r="H27" t="s">
        <v>16</v>
      </c>
      <c r="M27">
        <f>+M8+M12+M16</f>
        <v>66</v>
      </c>
    </row>
    <row r="28" spans="1:13" ht="12.75">
      <c r="A28" t="s">
        <v>17</v>
      </c>
      <c r="D28" s="8">
        <f>+D23/D27</f>
        <v>6.311475409836065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7.03030303030303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1</v>
      </c>
      <c r="H31" t="s">
        <v>19</v>
      </c>
      <c r="M31" s="2">
        <v>1</v>
      </c>
    </row>
    <row r="32" spans="1:13" ht="12.75">
      <c r="A32" t="s">
        <v>20</v>
      </c>
      <c r="D32" s="2">
        <v>9</v>
      </c>
      <c r="H32" t="s">
        <v>20</v>
      </c>
      <c r="M32" s="2">
        <v>20</v>
      </c>
    </row>
    <row r="33" spans="1:13" ht="12.75">
      <c r="A33" t="s">
        <v>21</v>
      </c>
      <c r="D33" s="2">
        <v>0</v>
      </c>
      <c r="H33" t="s">
        <v>21</v>
      </c>
      <c r="M33" s="2">
        <v>0</v>
      </c>
    </row>
    <row r="35" spans="1:13" ht="12.75">
      <c r="A35" t="s">
        <v>22</v>
      </c>
      <c r="D35" s="2">
        <v>7</v>
      </c>
      <c r="H35" t="s">
        <v>22</v>
      </c>
      <c r="M35" s="2">
        <v>5</v>
      </c>
    </row>
    <row r="36" spans="1:13" ht="12.75">
      <c r="A36" t="s">
        <v>23</v>
      </c>
      <c r="D36" s="2">
        <v>261</v>
      </c>
      <c r="H36" t="s">
        <v>23</v>
      </c>
      <c r="M36" s="2">
        <v>176</v>
      </c>
    </row>
    <row r="37" spans="1:13" ht="12.75">
      <c r="A37" t="s">
        <v>24</v>
      </c>
      <c r="D37" s="8">
        <f>+D36/D35</f>
        <v>37.285714285714285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35.2</v>
      </c>
    </row>
    <row r="39" spans="1:13" ht="12.75">
      <c r="A39" t="s">
        <v>25</v>
      </c>
      <c r="D39" s="2">
        <v>2</v>
      </c>
      <c r="H39" t="s">
        <v>25</v>
      </c>
      <c r="M39" s="2">
        <v>4</v>
      </c>
    </row>
    <row r="40" spans="1:13" ht="12.75">
      <c r="A40" t="s">
        <v>26</v>
      </c>
      <c r="D40" s="2">
        <v>46</v>
      </c>
      <c r="H40" t="s">
        <v>26</v>
      </c>
      <c r="M40" s="2">
        <v>22</v>
      </c>
    </row>
    <row r="41" spans="1:13" ht="12.75">
      <c r="A41" t="s">
        <v>27</v>
      </c>
      <c r="D41" s="8">
        <f>+D40/D39</f>
        <v>23</v>
      </c>
      <c r="H41" t="s">
        <v>27</v>
      </c>
      <c r="M41" s="8">
        <f>+M40/M39</f>
        <v>5.5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4</v>
      </c>
      <c r="H44" t="s">
        <v>30</v>
      </c>
      <c r="M44" s="2">
        <v>5</v>
      </c>
    </row>
    <row r="45" spans="1:13" ht="12.75">
      <c r="A45" t="s">
        <v>26</v>
      </c>
      <c r="D45" s="2">
        <v>98</v>
      </c>
      <c r="H45" t="s">
        <v>26</v>
      </c>
      <c r="M45" s="2">
        <v>61</v>
      </c>
    </row>
    <row r="46" spans="1:13" ht="12.75">
      <c r="A46" t="s">
        <v>27</v>
      </c>
      <c r="D46" s="8">
        <f>+D45/D44</f>
        <v>24.5</v>
      </c>
      <c r="H46" t="s">
        <v>27</v>
      </c>
      <c r="M46" s="8">
        <f>+M45/M44</f>
        <v>12.2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11</v>
      </c>
      <c r="H49" t="s">
        <v>31</v>
      </c>
      <c r="M49" s="2">
        <v>4</v>
      </c>
    </row>
    <row r="50" spans="1:13" ht="12.75">
      <c r="A50" t="s">
        <v>32</v>
      </c>
      <c r="D50" s="2">
        <v>110</v>
      </c>
      <c r="H50" t="s">
        <v>32</v>
      </c>
      <c r="M50" s="2">
        <v>47</v>
      </c>
    </row>
    <row r="52" spans="1:13" ht="12.75">
      <c r="A52" t="s">
        <v>33</v>
      </c>
      <c r="D52" s="2">
        <v>3</v>
      </c>
      <c r="H52" t="s">
        <v>33</v>
      </c>
      <c r="M52" s="2">
        <v>5</v>
      </c>
    </row>
    <row r="53" spans="1:13" ht="12.75">
      <c r="A53" t="s">
        <v>101</v>
      </c>
      <c r="D53" s="2">
        <v>2</v>
      </c>
      <c r="H53" t="s">
        <v>101</v>
      </c>
      <c r="M53" s="2">
        <v>4</v>
      </c>
    </row>
    <row r="55" spans="1:13" ht="12.75">
      <c r="A55" t="s">
        <v>34</v>
      </c>
      <c r="D55" s="2">
        <v>21</v>
      </c>
      <c r="H55" t="s">
        <v>34</v>
      </c>
      <c r="M55" s="2">
        <v>31</v>
      </c>
    </row>
    <row r="56" spans="1:13" ht="12.75">
      <c r="A56" t="s">
        <v>35</v>
      </c>
      <c r="D56" s="2">
        <v>3</v>
      </c>
      <c r="H56" t="s">
        <v>35</v>
      </c>
      <c r="M56" s="2">
        <v>4</v>
      </c>
    </row>
    <row r="57" spans="1:13" ht="12.75">
      <c r="A57" t="s">
        <v>36</v>
      </c>
      <c r="D57" s="2">
        <v>1</v>
      </c>
      <c r="H57" t="s">
        <v>36</v>
      </c>
      <c r="M57" s="2">
        <v>0</v>
      </c>
    </row>
    <row r="58" spans="1:13" ht="12.75">
      <c r="A58" t="s">
        <v>37</v>
      </c>
      <c r="D58" s="2">
        <v>2</v>
      </c>
      <c r="H58" t="s">
        <v>37</v>
      </c>
      <c r="M58" s="2">
        <v>3</v>
      </c>
    </row>
    <row r="59" spans="1:13" ht="12.75">
      <c r="A59" t="s">
        <v>38</v>
      </c>
      <c r="D59" s="2">
        <v>0</v>
      </c>
      <c r="H59" t="s">
        <v>38</v>
      </c>
      <c r="M59" s="2">
        <v>1</v>
      </c>
    </row>
    <row r="60" spans="1:13" ht="12.75">
      <c r="A60" t="s">
        <v>39</v>
      </c>
      <c r="D60" s="2">
        <v>3</v>
      </c>
      <c r="H60" t="s">
        <v>39</v>
      </c>
      <c r="M60" s="2">
        <v>4</v>
      </c>
    </row>
    <row r="61" spans="1:13" ht="12.75">
      <c r="A61" t="s">
        <v>40</v>
      </c>
      <c r="D61" s="2">
        <v>0</v>
      </c>
      <c r="H61" t="s">
        <v>40</v>
      </c>
      <c r="M61" s="2">
        <v>0</v>
      </c>
    </row>
    <row r="62" spans="1:13" ht="12.75">
      <c r="A62" t="s">
        <v>41</v>
      </c>
      <c r="D62" s="2">
        <v>0</v>
      </c>
      <c r="H62" t="s">
        <v>41</v>
      </c>
      <c r="M62" s="2">
        <v>1</v>
      </c>
    </row>
    <row r="63" spans="1:13" ht="12.75">
      <c r="A63" t="s">
        <v>42</v>
      </c>
      <c r="D63" s="2">
        <v>2</v>
      </c>
      <c r="H63" t="s">
        <v>42</v>
      </c>
      <c r="M63" s="2">
        <v>1</v>
      </c>
    </row>
    <row r="64" spans="1:13" ht="12.75">
      <c r="A64" t="s">
        <v>43</v>
      </c>
      <c r="D64" s="8">
        <f>+D62/D63*100</f>
        <v>0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f>+M62/M63*100</f>
        <v>100</v>
      </c>
    </row>
    <row r="65" spans="1:13" ht="12.75">
      <c r="A65" t="s">
        <v>92</v>
      </c>
      <c r="D65" s="10">
        <f>IF(V20&lt;10,V24,V23)</f>
        <v>0</v>
      </c>
      <c r="E65" s="8"/>
      <c r="F65" s="8"/>
      <c r="H65" t="s">
        <v>91</v>
      </c>
      <c r="M65" s="10">
        <f>IF(W20&lt;10,W24,W23)</f>
        <v>0</v>
      </c>
    </row>
    <row r="66" spans="1:13" ht="12.75">
      <c r="A66" t="s">
        <v>102</v>
      </c>
      <c r="D66" s="8">
        <f>D150</f>
        <v>30</v>
      </c>
      <c r="H66" t="s">
        <v>102</v>
      </c>
      <c r="M66" s="8">
        <f>M150</f>
        <v>64.70588235294117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8" ht="12.75">
      <c r="A70" t="s">
        <v>109</v>
      </c>
      <c r="C70">
        <v>12</v>
      </c>
      <c r="D70">
        <v>44</v>
      </c>
      <c r="E70" s="12">
        <f aca="true" t="shared" si="0" ref="E70:E80">+D70/C70</f>
        <v>3.6666666666666665</v>
      </c>
      <c r="F70">
        <v>8</v>
      </c>
      <c r="G70">
        <v>0</v>
      </c>
      <c r="H70">
        <v>0</v>
      </c>
    </row>
    <row r="71" spans="1:8" ht="12.75">
      <c r="A71" t="s">
        <v>108</v>
      </c>
      <c r="C71">
        <v>6</v>
      </c>
      <c r="D71">
        <v>31</v>
      </c>
      <c r="E71" s="12">
        <f t="shared" si="0"/>
        <v>5.166666666666667</v>
      </c>
      <c r="F71">
        <v>21</v>
      </c>
      <c r="G71">
        <v>1</v>
      </c>
      <c r="H71">
        <v>0</v>
      </c>
    </row>
    <row r="72" spans="1:8" ht="12.75">
      <c r="A72" t="s">
        <v>110</v>
      </c>
      <c r="C72">
        <v>1</v>
      </c>
      <c r="D72">
        <v>3</v>
      </c>
      <c r="E72" s="12">
        <f t="shared" si="0"/>
        <v>3</v>
      </c>
      <c r="F72">
        <v>3</v>
      </c>
      <c r="G72">
        <v>0</v>
      </c>
      <c r="H72">
        <v>0</v>
      </c>
    </row>
    <row r="73" spans="1:8" ht="12.75">
      <c r="A73" t="s">
        <v>111</v>
      </c>
      <c r="C73">
        <v>8</v>
      </c>
      <c r="D73">
        <v>59</v>
      </c>
      <c r="E73" s="12">
        <f t="shared" si="0"/>
        <v>7.375</v>
      </c>
      <c r="F73">
        <v>22</v>
      </c>
      <c r="G73">
        <v>0</v>
      </c>
      <c r="H73">
        <v>0</v>
      </c>
    </row>
    <row r="74" spans="1:5" ht="12.75">
      <c r="A74" t="s">
        <v>112</v>
      </c>
      <c r="E74" s="12" t="e">
        <f t="shared" si="0"/>
        <v>#DIV/0!</v>
      </c>
    </row>
    <row r="75" spans="1:5" ht="12.75">
      <c r="A75" t="s">
        <v>106</v>
      </c>
      <c r="E75" s="12" t="e">
        <f t="shared" si="0"/>
        <v>#DIV/0!</v>
      </c>
    </row>
    <row r="76" spans="1:8" ht="12.75">
      <c r="A76" t="s">
        <v>113</v>
      </c>
      <c r="C76">
        <v>1</v>
      </c>
      <c r="D76">
        <v>3</v>
      </c>
      <c r="E76" s="12">
        <f t="shared" si="0"/>
        <v>3</v>
      </c>
      <c r="F76">
        <v>3</v>
      </c>
      <c r="G76">
        <v>0</v>
      </c>
      <c r="H76">
        <v>1</v>
      </c>
    </row>
    <row r="77" spans="1:5" ht="12.75">
      <c r="A77" t="s">
        <v>114</v>
      </c>
      <c r="E77" s="12" t="e">
        <f t="shared" si="0"/>
        <v>#DIV/0!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4</v>
      </c>
      <c r="D83">
        <v>68</v>
      </c>
      <c r="E83" s="12">
        <f aca="true" t="shared" si="1" ref="E83:E92">+D83/C83</f>
        <v>17</v>
      </c>
      <c r="F83">
        <v>24</v>
      </c>
      <c r="G83">
        <v>0</v>
      </c>
      <c r="H83">
        <v>0</v>
      </c>
    </row>
    <row r="84" spans="1:8" ht="12.75">
      <c r="A84" t="s">
        <v>118</v>
      </c>
      <c r="C84">
        <v>4</v>
      </c>
      <c r="D84">
        <v>86</v>
      </c>
      <c r="E84" s="12">
        <f t="shared" si="1"/>
        <v>21.5</v>
      </c>
      <c r="F84">
        <v>35</v>
      </c>
      <c r="G84">
        <v>1</v>
      </c>
      <c r="H84">
        <v>0</v>
      </c>
    </row>
    <row r="85" spans="1:8" ht="12.75">
      <c r="A85" t="s">
        <v>108</v>
      </c>
      <c r="C85">
        <v>3</v>
      </c>
      <c r="D85">
        <v>84</v>
      </c>
      <c r="E85" s="12">
        <f t="shared" si="1"/>
        <v>28</v>
      </c>
      <c r="F85">
        <v>50</v>
      </c>
      <c r="G85">
        <v>1</v>
      </c>
      <c r="H85">
        <v>0</v>
      </c>
    </row>
    <row r="86" spans="1:8" ht="12.75">
      <c r="A86" t="s">
        <v>113</v>
      </c>
      <c r="C86">
        <v>1</v>
      </c>
      <c r="D86">
        <v>11</v>
      </c>
      <c r="E86" s="12">
        <f t="shared" si="1"/>
        <v>11</v>
      </c>
      <c r="F86">
        <v>11</v>
      </c>
      <c r="G86">
        <v>0</v>
      </c>
      <c r="H86">
        <v>0</v>
      </c>
    </row>
    <row r="87" spans="1:8" ht="12.75">
      <c r="A87" t="s">
        <v>109</v>
      </c>
      <c r="C87">
        <v>2</v>
      </c>
      <c r="D87">
        <v>6</v>
      </c>
      <c r="E87" s="12">
        <f t="shared" si="1"/>
        <v>3</v>
      </c>
      <c r="F87">
        <v>8</v>
      </c>
      <c r="G87">
        <v>0</v>
      </c>
      <c r="H87">
        <v>1</v>
      </c>
    </row>
    <row r="88" spans="1:5" ht="12.75">
      <c r="A88" t="s">
        <v>114</v>
      </c>
      <c r="E88" s="12" t="e">
        <f t="shared" si="1"/>
        <v>#DIV/0!</v>
      </c>
    </row>
    <row r="89" spans="1:8" ht="12.75">
      <c r="A89" t="s">
        <v>119</v>
      </c>
      <c r="C89">
        <v>1</v>
      </c>
      <c r="D89">
        <v>0</v>
      </c>
      <c r="E89" s="12">
        <f t="shared" si="1"/>
        <v>0</v>
      </c>
      <c r="F89">
        <v>0</v>
      </c>
      <c r="G89">
        <v>0</v>
      </c>
      <c r="H89">
        <v>0</v>
      </c>
    </row>
    <row r="90" spans="1:5" ht="12.75">
      <c r="A90" t="s">
        <v>112</v>
      </c>
      <c r="E90" s="12" t="e">
        <f t="shared" si="1"/>
        <v>#DIV/0!</v>
      </c>
    </row>
    <row r="91" spans="1:5" ht="12.75">
      <c r="A91" t="s">
        <v>115</v>
      </c>
      <c r="E91" s="12" t="e">
        <f t="shared" si="1"/>
        <v>#DIV/0!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15</v>
      </c>
      <c r="D96">
        <v>10</v>
      </c>
      <c r="E96" s="12">
        <f>+D96/C96*100</f>
        <v>66.66666666666666</v>
      </c>
      <c r="F96">
        <v>180</v>
      </c>
      <c r="G96">
        <v>2</v>
      </c>
      <c r="H96">
        <v>50</v>
      </c>
      <c r="I96">
        <v>1</v>
      </c>
      <c r="J96" s="8">
        <f>+G96/C96*100</f>
        <v>13.333333333333334</v>
      </c>
      <c r="K96" s="12">
        <f>+I96/C96*100</f>
        <v>6.666666666666667</v>
      </c>
      <c r="L96" s="12">
        <f>+F96/C96</f>
        <v>12</v>
      </c>
      <c r="M96" s="12">
        <f>100*(S96+U96+W96+Y96)/6</f>
        <v>124.30555555555554</v>
      </c>
      <c r="R96">
        <f>+(E96-30)/20</f>
        <v>1.8333333333333328</v>
      </c>
      <c r="S96" s="2">
        <f>IF(R96&lt;0,0,R96)</f>
        <v>1.8333333333333328</v>
      </c>
      <c r="T96" s="6">
        <f>+(L96-3)/4</f>
        <v>2.25</v>
      </c>
      <c r="U96" s="2">
        <f>IF(T96&lt;0,0,T96)</f>
        <v>2.25</v>
      </c>
      <c r="V96">
        <f>+J96/5</f>
        <v>2.666666666666667</v>
      </c>
      <c r="W96" s="2">
        <f>IF(V96&lt;0,0,V96)</f>
        <v>2.666666666666667</v>
      </c>
      <c r="X96">
        <f>(9.5-K96)/4</f>
        <v>0.7083333333333333</v>
      </c>
      <c r="Y96" s="2">
        <f>IF(X96&lt;0,0,X96)</f>
        <v>0.7083333333333333</v>
      </c>
    </row>
    <row r="97" spans="1:25" ht="12.75">
      <c r="A97" t="s">
        <v>106</v>
      </c>
      <c r="C97">
        <v>16</v>
      </c>
      <c r="D97">
        <v>5</v>
      </c>
      <c r="E97" s="12">
        <f>+D97/C97*100</f>
        <v>31.25</v>
      </c>
      <c r="F97">
        <v>75</v>
      </c>
      <c r="G97">
        <v>0</v>
      </c>
      <c r="H97">
        <v>24</v>
      </c>
      <c r="I97">
        <v>0</v>
      </c>
      <c r="J97" s="8">
        <f>+G97/C97*100</f>
        <v>0</v>
      </c>
      <c r="K97" s="12">
        <f>+I97/C97*100</f>
        <v>0</v>
      </c>
      <c r="L97" s="12">
        <f>+F97/C97</f>
        <v>4.6875</v>
      </c>
      <c r="M97" s="12">
        <f>100*(S97+U97+W97+Y97)/6</f>
        <v>47.65625</v>
      </c>
      <c r="R97">
        <f>+(E97-30)/20</f>
        <v>0.0625</v>
      </c>
      <c r="S97" s="2">
        <f>IF(R97&lt;0,0,R97)</f>
        <v>0.0625</v>
      </c>
      <c r="T97" s="6">
        <f>+(L97-3)/4</f>
        <v>0.421875</v>
      </c>
      <c r="U97" s="2">
        <f>IF(T97&lt;0,0,T97)</f>
        <v>0.421875</v>
      </c>
      <c r="V97">
        <f>+J97/5</f>
        <v>0</v>
      </c>
      <c r="W97" s="2">
        <f>IF(V97&lt;0,0,V97)</f>
        <v>0</v>
      </c>
      <c r="X97">
        <f>(9.5-K97)/4</f>
        <v>2.375</v>
      </c>
      <c r="Y97" s="2">
        <f>IF(X97&lt;0,0,X97)</f>
        <v>2.375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E99" s="12" t="e">
        <f>+D99/C99*100</f>
        <v>#DIV/0!</v>
      </c>
      <c r="J99" s="8" t="e">
        <f>+G99/C99*100</f>
        <v>#DIV/0!</v>
      </c>
      <c r="K99" s="12" t="e">
        <f>+I99/C99*100</f>
        <v>#DIV/0!</v>
      </c>
      <c r="L99" s="12" t="e">
        <f>+F99/C99</f>
        <v>#DIV/0!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9" ht="12.75">
      <c r="A102" t="s">
        <v>118</v>
      </c>
      <c r="C102">
        <v>2</v>
      </c>
      <c r="D102">
        <v>1</v>
      </c>
      <c r="E102">
        <v>46</v>
      </c>
      <c r="F102" s="12">
        <f>+E102/C102</f>
        <v>23</v>
      </c>
      <c r="G102">
        <v>38</v>
      </c>
      <c r="H102">
        <v>0</v>
      </c>
      <c r="I102">
        <v>0</v>
      </c>
    </row>
    <row r="103" spans="1:6" ht="12.75">
      <c r="A103" t="s">
        <v>117</v>
      </c>
      <c r="F103" s="12" t="e">
        <f>+E103/C103</f>
        <v>#DIV/0!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5" ht="12.75">
      <c r="A107" t="s">
        <v>111</v>
      </c>
      <c r="E107" s="12" t="e">
        <f aca="true" t="shared" si="2" ref="E107:E113">+D107/C107</f>
        <v>#DIV/0!</v>
      </c>
    </row>
    <row r="108" spans="1:8" ht="12.75">
      <c r="A108" t="s">
        <v>115</v>
      </c>
      <c r="C108">
        <v>4</v>
      </c>
      <c r="D108">
        <v>98</v>
      </c>
      <c r="E108" s="12">
        <f t="shared" si="2"/>
        <v>24.5</v>
      </c>
      <c r="F108">
        <v>36</v>
      </c>
      <c r="G108">
        <v>0</v>
      </c>
      <c r="H108">
        <v>0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v>7</v>
      </c>
      <c r="D116">
        <v>261</v>
      </c>
      <c r="E116" s="12">
        <f>+D116/C116</f>
        <v>37.285714285714285</v>
      </c>
      <c r="F116">
        <v>46</v>
      </c>
      <c r="G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6</v>
      </c>
      <c r="D119">
        <v>1</v>
      </c>
      <c r="E119">
        <v>3</v>
      </c>
      <c r="F119">
        <v>3</v>
      </c>
      <c r="G119">
        <v>2</v>
      </c>
      <c r="H119">
        <v>0</v>
      </c>
      <c r="I119" s="12">
        <f>+H119/G119*100</f>
        <v>0</v>
      </c>
      <c r="J119">
        <v>0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5" ht="12.75">
      <c r="A123" t="s">
        <v>121</v>
      </c>
      <c r="E123" s="12" t="e">
        <f>+D123/C123</f>
        <v>#DIV/0!</v>
      </c>
    </row>
    <row r="124" spans="1:5" ht="12.75">
      <c r="A124" t="s">
        <v>124</v>
      </c>
      <c r="E124" s="12" t="e">
        <f aca="true" t="shared" si="3" ref="E124:E130">+D124/C124</f>
        <v>#DIV/0!</v>
      </c>
    </row>
    <row r="125" spans="1:5" ht="12.75">
      <c r="A125" t="s">
        <v>125</v>
      </c>
      <c r="E125" s="12" t="e">
        <f t="shared" si="3"/>
        <v>#DIV/0!</v>
      </c>
    </row>
    <row r="126" spans="1:5" ht="12.75">
      <c r="A126" t="s">
        <v>126</v>
      </c>
      <c r="E126" s="12" t="e">
        <f t="shared" si="3"/>
        <v>#DIV/0!</v>
      </c>
    </row>
    <row r="127" spans="1:8" ht="12.75">
      <c r="A127" t="s">
        <v>127</v>
      </c>
      <c r="C127">
        <v>1</v>
      </c>
      <c r="D127">
        <v>20</v>
      </c>
      <c r="E127" s="12">
        <f t="shared" si="3"/>
        <v>20</v>
      </c>
      <c r="F127">
        <v>20</v>
      </c>
      <c r="G127">
        <v>0</v>
      </c>
      <c r="H127">
        <v>0</v>
      </c>
    </row>
    <row r="128" spans="1:5" ht="12.75">
      <c r="A128" t="s">
        <v>128</v>
      </c>
      <c r="E128" s="12" t="e">
        <f t="shared" si="3"/>
        <v>#DIV/0!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spans="1:3" ht="12.75">
      <c r="A133" t="s">
        <v>132</v>
      </c>
      <c r="C133">
        <v>1.5</v>
      </c>
    </row>
    <row r="134" ht="12.75">
      <c r="A134" t="s">
        <v>123</v>
      </c>
    </row>
    <row r="135" ht="12.75">
      <c r="A135" t="s">
        <v>126</v>
      </c>
    </row>
    <row r="136" ht="12.75">
      <c r="A136" t="s">
        <v>128</v>
      </c>
    </row>
    <row r="137" ht="12.75">
      <c r="A137" t="s">
        <v>129</v>
      </c>
    </row>
    <row r="138" ht="12.75">
      <c r="A138" t="s">
        <v>125</v>
      </c>
    </row>
    <row r="139" ht="12.75">
      <c r="A139" t="s">
        <v>127</v>
      </c>
    </row>
    <row r="140" spans="1:3" ht="12.75">
      <c r="A140" t="s">
        <v>133</v>
      </c>
      <c r="C140">
        <v>0.5</v>
      </c>
    </row>
    <row r="141" ht="12.75">
      <c r="A141" t="s">
        <v>134</v>
      </c>
    </row>
    <row r="142" ht="12.75">
      <c r="A142" t="s">
        <v>135</v>
      </c>
    </row>
    <row r="143" spans="1:3" ht="12.75">
      <c r="A143" t="s">
        <v>136</v>
      </c>
      <c r="C143">
        <v>2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10</v>
      </c>
      <c r="H148" t="s">
        <v>93</v>
      </c>
      <c r="M148">
        <v>17</v>
      </c>
    </row>
    <row r="149" spans="1:13" ht="12.75">
      <c r="A149" t="s">
        <v>94</v>
      </c>
      <c r="D149">
        <v>3</v>
      </c>
      <c r="H149" t="s">
        <v>94</v>
      </c>
      <c r="M149">
        <v>11</v>
      </c>
    </row>
    <row r="150" spans="1:13" ht="12.75">
      <c r="A150" t="s">
        <v>95</v>
      </c>
      <c r="D150" s="8">
        <f>D149/D148*100</f>
        <v>30</v>
      </c>
      <c r="H150" t="s">
        <v>95</v>
      </c>
      <c r="M150" s="8">
        <f>+M149/M148*100</f>
        <v>64.70588235294117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50"/>
  <sheetViews>
    <sheetView zoomScalePageLayoutView="0" workbookViewId="0" topLeftCell="A53">
      <selection activeCell="T55" sqref="T55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16</v>
      </c>
      <c r="H6" s="1" t="s">
        <v>29</v>
      </c>
      <c r="M6" s="2">
        <v>15</v>
      </c>
    </row>
    <row r="8" spans="1:23" ht="12.75">
      <c r="A8" t="s">
        <v>1</v>
      </c>
      <c r="D8" s="2">
        <v>42</v>
      </c>
      <c r="H8" t="s">
        <v>1</v>
      </c>
      <c r="M8" s="2">
        <v>20</v>
      </c>
      <c r="V8">
        <f>+D8</f>
        <v>42</v>
      </c>
      <c r="W8">
        <f>+M8</f>
        <v>20</v>
      </c>
    </row>
    <row r="9" spans="1:23" ht="12.75">
      <c r="A9" t="s">
        <v>2</v>
      </c>
      <c r="D9" s="2">
        <v>223</v>
      </c>
      <c r="H9" t="s">
        <v>2</v>
      </c>
      <c r="M9" s="2">
        <v>125</v>
      </c>
      <c r="P9" s="13"/>
      <c r="U9" s="13"/>
      <c r="V9">
        <f>+D13</f>
        <v>12</v>
      </c>
      <c r="W9">
        <f>+M13</f>
        <v>12</v>
      </c>
    </row>
    <row r="10" spans="1:23" ht="12.75">
      <c r="A10" s="1" t="s">
        <v>3</v>
      </c>
      <c r="D10" s="8">
        <f>+D9/D8</f>
        <v>5.309523809523809</v>
      </c>
      <c r="H10" s="1" t="s">
        <v>3</v>
      </c>
      <c r="M10" s="8">
        <f>+M9/M8</f>
        <v>6.25</v>
      </c>
      <c r="V10">
        <f>+(D12-D13)/2</f>
        <v>5</v>
      </c>
      <c r="W10">
        <f>+(M12-M13)/2</f>
        <v>10</v>
      </c>
    </row>
    <row r="11" spans="22:23" ht="12.75">
      <c r="V11">
        <f>+D35/2</f>
        <v>4</v>
      </c>
      <c r="W11">
        <f>+M35/2</f>
        <v>4</v>
      </c>
    </row>
    <row r="12" spans="1:23" ht="12.75">
      <c r="A12" t="s">
        <v>4</v>
      </c>
      <c r="D12" s="2">
        <v>22</v>
      </c>
      <c r="H12" t="s">
        <v>4</v>
      </c>
      <c r="M12" s="2">
        <v>32</v>
      </c>
      <c r="V12">
        <f>+D39/2</f>
        <v>1</v>
      </c>
      <c r="W12">
        <f>+M39/2</f>
        <v>0.5</v>
      </c>
    </row>
    <row r="13" spans="1:23" ht="12.75">
      <c r="A13" t="s">
        <v>5</v>
      </c>
      <c r="D13" s="2">
        <v>12</v>
      </c>
      <c r="H13" t="s">
        <v>5</v>
      </c>
      <c r="M13" s="2">
        <v>12</v>
      </c>
      <c r="V13">
        <f>+D44/2</f>
        <v>0</v>
      </c>
      <c r="W13">
        <f>+M44/2</f>
        <v>1</v>
      </c>
    </row>
    <row r="14" spans="1:13" ht="12.75">
      <c r="A14" t="s">
        <v>6</v>
      </c>
      <c r="D14" s="8">
        <f>+D13/D12*100</f>
        <v>54.54545454545454</v>
      </c>
      <c r="H14" t="s">
        <v>6</v>
      </c>
      <c r="M14" s="8">
        <f>+M13/M12*100</f>
        <v>37.5</v>
      </c>
    </row>
    <row r="15" spans="1:24" ht="12.75">
      <c r="A15" t="s">
        <v>7</v>
      </c>
      <c r="D15" s="2">
        <v>126</v>
      </c>
      <c r="H15" t="s">
        <v>7</v>
      </c>
      <c r="M15" s="2">
        <v>193</v>
      </c>
      <c r="V15">
        <f>SUM(V8:V13)</f>
        <v>64</v>
      </c>
      <c r="W15">
        <f>SUM(W8:W13)</f>
        <v>47.5</v>
      </c>
      <c r="X15">
        <f>+W15+V15</f>
        <v>111.5</v>
      </c>
    </row>
    <row r="16" spans="1:23" ht="12.75">
      <c r="A16" t="s">
        <v>8</v>
      </c>
      <c r="D16" s="2">
        <v>3</v>
      </c>
      <c r="H16" t="s">
        <v>8</v>
      </c>
      <c r="M16" s="2">
        <v>9</v>
      </c>
      <c r="V16">
        <f>+V15/X15</f>
        <v>0.5739910313901345</v>
      </c>
      <c r="W16">
        <f>+W15/X15</f>
        <v>0.4260089686098655</v>
      </c>
    </row>
    <row r="17" spans="1:23" ht="12.75">
      <c r="A17" t="s">
        <v>9</v>
      </c>
      <c r="D17" s="2">
        <v>28</v>
      </c>
      <c r="H17" t="s">
        <v>9</v>
      </c>
      <c r="M17" s="2">
        <v>53</v>
      </c>
      <c r="V17">
        <f>+V16*60</f>
        <v>34.43946188340807</v>
      </c>
      <c r="W17">
        <f>+W16*60</f>
        <v>25.56053811659193</v>
      </c>
    </row>
    <row r="18" spans="1:23" ht="12.75">
      <c r="A18" t="s">
        <v>10</v>
      </c>
      <c r="D18">
        <f>+D15-D17</f>
        <v>98</v>
      </c>
      <c r="H18" t="s">
        <v>10</v>
      </c>
      <c r="M18">
        <f>+M15-M17</f>
        <v>140</v>
      </c>
      <c r="V18">
        <f>+V17-INT(V17)</f>
        <v>0.4394618834080717</v>
      </c>
      <c r="W18">
        <f>+W17-INT(W17)</f>
        <v>0.5605381165919283</v>
      </c>
    </row>
    <row r="19" spans="1:23" ht="12.75">
      <c r="A19" t="s">
        <v>11</v>
      </c>
      <c r="D19" s="7">
        <f>+D18/(D12+D16)</f>
        <v>3.92</v>
      </c>
      <c r="H19" t="s">
        <v>11</v>
      </c>
      <c r="M19" s="7">
        <f>+M18/(M12+M16)</f>
        <v>3.4146341463414633</v>
      </c>
      <c r="V19">
        <f>+V18*60</f>
        <v>26.3677130044843</v>
      </c>
      <c r="W19">
        <f>+W18*60</f>
        <v>33.6322869955157</v>
      </c>
    </row>
    <row r="20" spans="1:23" ht="12.75">
      <c r="A20" t="s">
        <v>12</v>
      </c>
      <c r="D20" s="7">
        <f>+D15/D13</f>
        <v>10.5</v>
      </c>
      <c r="H20" t="s">
        <v>12</v>
      </c>
      <c r="M20" s="7">
        <f>+M15/M13</f>
        <v>16.083333333333332</v>
      </c>
      <c r="Q20" s="11"/>
      <c r="U20">
        <v>0</v>
      </c>
      <c r="V20" s="11">
        <f>ROUND(V19,0)</f>
        <v>26</v>
      </c>
      <c r="W20">
        <f>ROUND(W19,0)</f>
        <v>34</v>
      </c>
    </row>
    <row r="21" spans="22:23" ht="12.75">
      <c r="V21">
        <f>INT(V17)</f>
        <v>34</v>
      </c>
      <c r="W21">
        <f>INT(W17)</f>
        <v>25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321</v>
      </c>
      <c r="H23" t="s">
        <v>14</v>
      </c>
      <c r="M23">
        <f>+M18+M9</f>
        <v>265</v>
      </c>
      <c r="Q23" s="14"/>
      <c r="R23" s="9"/>
      <c r="V23" s="14" t="str">
        <f>+V21&amp;V22&amp;V20</f>
        <v>34:26</v>
      </c>
      <c r="W23" s="9" t="str">
        <f>+W21&amp;W22&amp;W20</f>
        <v>25:34</v>
      </c>
    </row>
    <row r="24" spans="1:23" ht="12.75">
      <c r="A24" t="s">
        <v>15</v>
      </c>
      <c r="D24" s="7">
        <f>+D9/D23*100</f>
        <v>69.47040498442367</v>
      </c>
      <c r="H24" t="s">
        <v>15</v>
      </c>
      <c r="M24" s="7">
        <f>+M9/M23*100</f>
        <v>47.16981132075472</v>
      </c>
      <c r="Q24" s="9"/>
      <c r="R24" s="9"/>
      <c r="V24" s="9" t="str">
        <f>IF(V20&lt;10,+V21&amp;V22&amp;$U$20&amp;V20,+V21&amp;V22&amp;V20)</f>
        <v>34:26</v>
      </c>
      <c r="W24" s="9" t="str">
        <f>IF(W20&lt;10,+W21&amp;W22&amp;$U$20&amp;W20,+W21&amp;W22&amp;W20)</f>
        <v>25:34</v>
      </c>
    </row>
    <row r="25" spans="1:16" ht="12.75">
      <c r="A25" s="1" t="s">
        <v>86</v>
      </c>
      <c r="D25" s="7">
        <f>+D18/D23*100</f>
        <v>30.529595015576323</v>
      </c>
      <c r="H25" s="1" t="s">
        <v>86</v>
      </c>
      <c r="M25" s="7">
        <f>+M18/M23*100</f>
        <v>52.83018867924528</v>
      </c>
      <c r="P25" s="13"/>
    </row>
    <row r="27" spans="1:13" ht="12.75">
      <c r="A27" t="s">
        <v>16</v>
      </c>
      <c r="D27">
        <f>D8+D12+D16</f>
        <v>67</v>
      </c>
      <c r="H27" t="s">
        <v>16</v>
      </c>
      <c r="M27">
        <f>+M8+M12+M16</f>
        <v>61</v>
      </c>
    </row>
    <row r="28" spans="1:13" ht="12.75">
      <c r="A28" t="s">
        <v>17</v>
      </c>
      <c r="D28" s="8">
        <f>+D23/D27</f>
        <v>4.791044776119403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4.344262295081967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2</v>
      </c>
      <c r="H31" t="s">
        <v>19</v>
      </c>
      <c r="M31" s="2">
        <v>5</v>
      </c>
    </row>
    <row r="32" spans="1:13" ht="12.75">
      <c r="A32" t="s">
        <v>20</v>
      </c>
      <c r="D32" s="2">
        <v>0</v>
      </c>
      <c r="H32" t="s">
        <v>20</v>
      </c>
      <c r="M32" s="2">
        <v>29</v>
      </c>
    </row>
    <row r="33" spans="1:13" ht="12.75">
      <c r="A33" t="s">
        <v>21</v>
      </c>
      <c r="D33" s="2">
        <v>0</v>
      </c>
      <c r="H33" t="s">
        <v>21</v>
      </c>
      <c r="M33" s="2">
        <v>0</v>
      </c>
    </row>
    <row r="35" spans="1:13" ht="12.75">
      <c r="A35" t="s">
        <v>22</v>
      </c>
      <c r="D35" s="2">
        <v>8</v>
      </c>
      <c r="H35" t="s">
        <v>22</v>
      </c>
      <c r="M35" s="2">
        <v>8</v>
      </c>
    </row>
    <row r="36" spans="1:13" ht="12.75">
      <c r="A36" t="s">
        <v>23</v>
      </c>
      <c r="D36" s="2">
        <v>308</v>
      </c>
      <c r="H36" t="s">
        <v>23</v>
      </c>
      <c r="M36" s="2">
        <v>251</v>
      </c>
    </row>
    <row r="37" spans="1:13" ht="12.75">
      <c r="A37" t="s">
        <v>24</v>
      </c>
      <c r="D37" s="8">
        <f>+D36/D35</f>
        <v>38.5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31.375</v>
      </c>
    </row>
    <row r="39" spans="1:13" ht="12.75">
      <c r="A39" t="s">
        <v>25</v>
      </c>
      <c r="D39" s="2">
        <v>2</v>
      </c>
      <c r="H39" t="s">
        <v>25</v>
      </c>
      <c r="M39" s="2">
        <v>1</v>
      </c>
    </row>
    <row r="40" spans="1:13" ht="12.75">
      <c r="A40" t="s">
        <v>26</v>
      </c>
      <c r="D40" s="2">
        <v>2</v>
      </c>
      <c r="H40" t="s">
        <v>26</v>
      </c>
      <c r="M40" s="2">
        <v>6</v>
      </c>
    </row>
    <row r="41" spans="1:13" ht="12.75">
      <c r="A41" t="s">
        <v>27</v>
      </c>
      <c r="D41" s="8">
        <f>+D40/D39</f>
        <v>1</v>
      </c>
      <c r="H41" t="s">
        <v>27</v>
      </c>
      <c r="M41" s="8">
        <f>+M40/M39</f>
        <v>6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0</v>
      </c>
      <c r="H44" t="s">
        <v>30</v>
      </c>
      <c r="M44" s="2">
        <v>2</v>
      </c>
    </row>
    <row r="45" spans="1:13" ht="12.75">
      <c r="A45" t="s">
        <v>26</v>
      </c>
      <c r="D45" s="2">
        <v>0</v>
      </c>
      <c r="H45" t="s">
        <v>26</v>
      </c>
      <c r="M45" s="2">
        <v>33</v>
      </c>
    </row>
    <row r="46" spans="1:13" ht="12.75">
      <c r="A46" t="s">
        <v>27</v>
      </c>
      <c r="D46" s="8">
        <v>0</v>
      </c>
      <c r="H46" t="s">
        <v>27</v>
      </c>
      <c r="M46" s="8">
        <f>+M45/M44</f>
        <v>16.5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4</v>
      </c>
      <c r="H49" t="s">
        <v>31</v>
      </c>
      <c r="M49" s="2">
        <v>5</v>
      </c>
    </row>
    <row r="50" spans="1:13" ht="12.75">
      <c r="A50" t="s">
        <v>32</v>
      </c>
      <c r="D50" s="2">
        <v>25</v>
      </c>
      <c r="H50" t="s">
        <v>32</v>
      </c>
      <c r="M50" s="2">
        <v>42</v>
      </c>
    </row>
    <row r="52" spans="1:13" ht="12.75">
      <c r="A52" t="s">
        <v>33</v>
      </c>
      <c r="D52" s="2">
        <v>3</v>
      </c>
      <c r="H52" t="s">
        <v>33</v>
      </c>
      <c r="M52" s="2">
        <v>0</v>
      </c>
    </row>
    <row r="53" spans="1:13" ht="12.75">
      <c r="A53" t="s">
        <v>101</v>
      </c>
      <c r="D53" s="2">
        <v>1</v>
      </c>
      <c r="H53" t="s">
        <v>101</v>
      </c>
      <c r="M53" s="2">
        <v>0</v>
      </c>
    </row>
    <row r="55" spans="1:13" ht="12.75">
      <c r="A55" t="s">
        <v>34</v>
      </c>
      <c r="D55" s="2">
        <v>17</v>
      </c>
      <c r="H55" t="s">
        <v>34</v>
      </c>
      <c r="M55" s="2">
        <v>0</v>
      </c>
    </row>
    <row r="56" spans="1:13" ht="12.75">
      <c r="A56" t="s">
        <v>35</v>
      </c>
      <c r="D56" s="2">
        <v>2</v>
      </c>
      <c r="H56" t="s">
        <v>35</v>
      </c>
      <c r="M56" s="2">
        <v>0</v>
      </c>
    </row>
    <row r="57" spans="1:13" ht="12.75">
      <c r="A57" t="s">
        <v>36</v>
      </c>
      <c r="D57" s="2">
        <v>1</v>
      </c>
      <c r="H57" t="s">
        <v>36</v>
      </c>
      <c r="M57" s="2">
        <v>0</v>
      </c>
    </row>
    <row r="58" spans="1:13" ht="12.75">
      <c r="A58" t="s">
        <v>37</v>
      </c>
      <c r="D58" s="2">
        <v>1</v>
      </c>
      <c r="H58" t="s">
        <v>37</v>
      </c>
      <c r="M58" s="2">
        <v>0</v>
      </c>
    </row>
    <row r="59" spans="1:13" ht="12.75">
      <c r="A59" t="s">
        <v>38</v>
      </c>
      <c r="D59" s="2">
        <v>0</v>
      </c>
      <c r="H59" t="s">
        <v>38</v>
      </c>
      <c r="M59" s="2">
        <v>0</v>
      </c>
    </row>
    <row r="60" spans="1:13" ht="12.75">
      <c r="A60" t="s">
        <v>39</v>
      </c>
      <c r="D60" s="2">
        <v>2</v>
      </c>
      <c r="H60" t="s">
        <v>39</v>
      </c>
      <c r="M60" s="2">
        <v>0</v>
      </c>
    </row>
    <row r="61" spans="1:13" ht="12.75">
      <c r="A61" t="s">
        <v>40</v>
      </c>
      <c r="D61" s="2">
        <v>0</v>
      </c>
      <c r="H61" t="s">
        <v>40</v>
      </c>
      <c r="M61" s="2">
        <v>0</v>
      </c>
    </row>
    <row r="62" spans="1:13" ht="12.75">
      <c r="A62" t="s">
        <v>41</v>
      </c>
      <c r="D62" s="2">
        <v>1</v>
      </c>
      <c r="H62" t="s">
        <v>41</v>
      </c>
      <c r="M62" s="2">
        <v>0</v>
      </c>
    </row>
    <row r="63" spans="1:13" ht="12.75">
      <c r="A63" t="s">
        <v>42</v>
      </c>
      <c r="D63" s="2">
        <v>2</v>
      </c>
      <c r="H63" t="s">
        <v>42</v>
      </c>
      <c r="M63" s="2">
        <v>1</v>
      </c>
    </row>
    <row r="64" spans="1:13" ht="12.75">
      <c r="A64" t="s">
        <v>43</v>
      </c>
      <c r="D64" s="8">
        <f>+D62/D63*100</f>
        <v>50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f>+M62/M63*100</f>
        <v>0</v>
      </c>
    </row>
    <row r="65" spans="1:13" ht="12.75">
      <c r="A65" t="s">
        <v>89</v>
      </c>
      <c r="D65" s="10" t="str">
        <f>IF(V20&lt;10,V24,V23)</f>
        <v>34:26</v>
      </c>
      <c r="E65" s="8"/>
      <c r="F65" s="8"/>
      <c r="H65" t="s">
        <v>89</v>
      </c>
      <c r="M65" s="10" t="str">
        <f>IF(W20&lt;10,W24,W23)</f>
        <v>25:34</v>
      </c>
    </row>
    <row r="66" spans="1:13" ht="12.75">
      <c r="A66" t="s">
        <v>102</v>
      </c>
      <c r="D66" s="8">
        <f>D150</f>
        <v>25</v>
      </c>
      <c r="H66" t="s">
        <v>102</v>
      </c>
      <c r="M66" s="8">
        <f>M150</f>
        <v>28.57142857142857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2" t="s">
        <v>80</v>
      </c>
    </row>
    <row r="70" spans="1:8" ht="12.75">
      <c r="A70" t="s">
        <v>109</v>
      </c>
      <c r="C70">
        <v>13</v>
      </c>
      <c r="D70">
        <v>102</v>
      </c>
      <c r="E70" s="12">
        <f aca="true" t="shared" si="0" ref="E70:E80">+D70/C70</f>
        <v>7.846153846153846</v>
      </c>
      <c r="F70">
        <v>60</v>
      </c>
      <c r="G70">
        <v>1</v>
      </c>
      <c r="H70">
        <v>0</v>
      </c>
    </row>
    <row r="71" spans="1:8" ht="12.75">
      <c r="A71" t="s">
        <v>108</v>
      </c>
      <c r="C71">
        <v>18</v>
      </c>
      <c r="D71">
        <v>95</v>
      </c>
      <c r="E71" s="12">
        <f t="shared" si="0"/>
        <v>5.277777777777778</v>
      </c>
      <c r="F71">
        <v>44</v>
      </c>
      <c r="G71">
        <v>0</v>
      </c>
      <c r="H71">
        <v>2</v>
      </c>
    </row>
    <row r="72" spans="1:8" ht="12.75">
      <c r="A72" t="s">
        <v>110</v>
      </c>
      <c r="C72">
        <v>4</v>
      </c>
      <c r="D72">
        <v>6</v>
      </c>
      <c r="E72" s="12">
        <f t="shared" si="0"/>
        <v>1.5</v>
      </c>
      <c r="F72">
        <v>6</v>
      </c>
      <c r="G72">
        <v>0</v>
      </c>
      <c r="H72">
        <v>0</v>
      </c>
    </row>
    <row r="73" spans="1:5" ht="12.75">
      <c r="A73" t="s">
        <v>111</v>
      </c>
      <c r="E73" s="12" t="e">
        <f t="shared" si="0"/>
        <v>#DIV/0!</v>
      </c>
    </row>
    <row r="74" spans="1:8" ht="12.75">
      <c r="A74" t="s">
        <v>112</v>
      </c>
      <c r="C74">
        <v>6</v>
      </c>
      <c r="D74">
        <v>20</v>
      </c>
      <c r="E74" s="12">
        <f t="shared" si="0"/>
        <v>3.3333333333333335</v>
      </c>
      <c r="F74">
        <v>14</v>
      </c>
      <c r="G74">
        <v>0</v>
      </c>
      <c r="H74">
        <v>0</v>
      </c>
    </row>
    <row r="75" spans="1:5" ht="12.75">
      <c r="A75" t="s">
        <v>106</v>
      </c>
      <c r="E75" s="12" t="e">
        <f t="shared" si="0"/>
        <v>#DIV/0!</v>
      </c>
    </row>
    <row r="76" spans="1:5" ht="12.75">
      <c r="A76" t="s">
        <v>113</v>
      </c>
      <c r="E76" s="12" t="e">
        <f t="shared" si="0"/>
        <v>#DIV/0!</v>
      </c>
    </row>
    <row r="77" spans="1:5" ht="12.75">
      <c r="A77" t="s">
        <v>114</v>
      </c>
      <c r="E77" s="12" t="e">
        <f t="shared" si="0"/>
        <v>#DIV/0!</v>
      </c>
    </row>
    <row r="78" spans="1:8" ht="12.75">
      <c r="A78" t="s">
        <v>115</v>
      </c>
      <c r="C78">
        <v>1</v>
      </c>
      <c r="D78">
        <v>0</v>
      </c>
      <c r="E78" s="12">
        <f t="shared" si="0"/>
        <v>0</v>
      </c>
      <c r="F78">
        <v>0</v>
      </c>
      <c r="G78">
        <v>0</v>
      </c>
      <c r="H78">
        <v>0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4</v>
      </c>
      <c r="D83">
        <v>37</v>
      </c>
      <c r="E83" s="12">
        <f aca="true" t="shared" si="1" ref="E83:E92">+D83/C83</f>
        <v>9.25</v>
      </c>
      <c r="F83">
        <v>15</v>
      </c>
      <c r="G83">
        <v>0</v>
      </c>
      <c r="H83">
        <v>0</v>
      </c>
    </row>
    <row r="84" spans="1:8" ht="12.75">
      <c r="A84" t="s">
        <v>118</v>
      </c>
      <c r="C84">
        <v>2</v>
      </c>
      <c r="D84">
        <v>37</v>
      </c>
      <c r="E84" s="12">
        <f t="shared" si="1"/>
        <v>18.5</v>
      </c>
      <c r="F84">
        <v>33</v>
      </c>
      <c r="G84">
        <v>0</v>
      </c>
      <c r="H84">
        <v>1</v>
      </c>
    </row>
    <row r="85" spans="1:8" ht="12.75">
      <c r="A85" t="s">
        <v>108</v>
      </c>
      <c r="C85">
        <v>3</v>
      </c>
      <c r="D85">
        <v>34</v>
      </c>
      <c r="E85" s="12">
        <f t="shared" si="1"/>
        <v>11.333333333333334</v>
      </c>
      <c r="F85">
        <v>15</v>
      </c>
      <c r="G85">
        <v>0</v>
      </c>
      <c r="H85">
        <v>0</v>
      </c>
    </row>
    <row r="86" spans="1:8" ht="12.75">
      <c r="A86" t="s">
        <v>113</v>
      </c>
      <c r="C86">
        <v>1</v>
      </c>
      <c r="D86">
        <v>9</v>
      </c>
      <c r="E86" s="12">
        <f t="shared" si="1"/>
        <v>9</v>
      </c>
      <c r="F86">
        <v>9</v>
      </c>
      <c r="G86">
        <v>0</v>
      </c>
      <c r="H86">
        <v>0</v>
      </c>
    </row>
    <row r="87" spans="1:5" ht="12.75">
      <c r="A87" t="s">
        <v>109</v>
      </c>
      <c r="E87" s="12" t="e">
        <f t="shared" si="1"/>
        <v>#DIV/0!</v>
      </c>
    </row>
    <row r="88" spans="1:5" ht="12.75">
      <c r="A88" t="s">
        <v>114</v>
      </c>
      <c r="E88" s="12" t="e">
        <f t="shared" si="1"/>
        <v>#DIV/0!</v>
      </c>
    </row>
    <row r="89" spans="1:8" ht="12.75">
      <c r="A89" t="s">
        <v>119</v>
      </c>
      <c r="C89">
        <v>2</v>
      </c>
      <c r="D89">
        <v>9</v>
      </c>
      <c r="E89" s="12">
        <f t="shared" si="1"/>
        <v>4.5</v>
      </c>
      <c r="F89">
        <v>8</v>
      </c>
      <c r="G89">
        <v>0</v>
      </c>
      <c r="H89">
        <v>0</v>
      </c>
    </row>
    <row r="90" spans="1:5" ht="12.75">
      <c r="A90" t="s">
        <v>112</v>
      </c>
      <c r="E90" s="12" t="e">
        <f t="shared" si="1"/>
        <v>#DIV/0!</v>
      </c>
    </row>
    <row r="91" spans="1:5" ht="12.75">
      <c r="A91" t="s">
        <v>115</v>
      </c>
      <c r="E91" s="12" t="e">
        <f t="shared" si="1"/>
        <v>#DIV/0!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22</v>
      </c>
      <c r="D96">
        <v>12</v>
      </c>
      <c r="E96" s="12">
        <f>+D96/C96*100</f>
        <v>54.54545454545454</v>
      </c>
      <c r="F96">
        <v>126</v>
      </c>
      <c r="G96">
        <v>1</v>
      </c>
      <c r="H96">
        <v>33</v>
      </c>
      <c r="I96">
        <v>2</v>
      </c>
      <c r="J96" s="8">
        <f>+G96/C96*100</f>
        <v>4.545454545454546</v>
      </c>
      <c r="K96" s="12">
        <f>+I96/C96*100</f>
        <v>9.090909090909092</v>
      </c>
      <c r="L96" s="12">
        <f>+F96/C96</f>
        <v>5.7272727272727275</v>
      </c>
      <c r="M96" s="12">
        <f>100*(S96+U96+W96+Y96)/6</f>
        <v>48.67424242424243</v>
      </c>
      <c r="R96">
        <f>+(E96-30)/20</f>
        <v>1.227272727272727</v>
      </c>
      <c r="S96" s="2">
        <f>IF(R96&lt;0,0,R96)</f>
        <v>1.227272727272727</v>
      </c>
      <c r="T96" s="6">
        <f>+(L96-3)/4</f>
        <v>0.6818181818181819</v>
      </c>
      <c r="U96" s="2">
        <f>IF(T96&lt;0,0,T96)</f>
        <v>0.6818181818181819</v>
      </c>
      <c r="V96">
        <f>+J96/5</f>
        <v>0.9090909090909092</v>
      </c>
      <c r="W96" s="2">
        <f>IF(V96&lt;0,0,V96)</f>
        <v>0.9090909090909092</v>
      </c>
      <c r="X96">
        <f>(9.5-K96)/4</f>
        <v>0.10227272727272707</v>
      </c>
      <c r="Y96" s="2">
        <f>IF(X96&lt;0,0,X96)</f>
        <v>0.10227272727272707</v>
      </c>
    </row>
    <row r="97" spans="1:25" ht="12.75">
      <c r="A97" t="s">
        <v>106</v>
      </c>
      <c r="E97" s="12" t="e">
        <f>+D97/C97*100</f>
        <v>#DIV/0!</v>
      </c>
      <c r="J97" s="8"/>
      <c r="K97" s="12" t="e">
        <f>+I97/C97*100</f>
        <v>#DIV/0!</v>
      </c>
      <c r="L97" s="12" t="e">
        <f>+F97/C97</f>
        <v>#DIV/0!</v>
      </c>
      <c r="M97" s="12" t="e">
        <f>100*(S97+U97+W97+Y97)/6</f>
        <v>#DIV/0!</v>
      </c>
      <c r="R97" t="e">
        <f>+(E97-30)/20</f>
        <v>#DIV/0!</v>
      </c>
      <c r="S97" s="2" t="e">
        <f>IF(R97&lt;0,0,R97)</f>
        <v>#DIV/0!</v>
      </c>
      <c r="T97" s="6" t="e">
        <f>+(L97-3)/4</f>
        <v>#DIV/0!</v>
      </c>
      <c r="U97" s="2" t="e">
        <f>IF(T97&lt;0,0,T97)</f>
        <v>#DIV/0!</v>
      </c>
      <c r="V97">
        <f>+J97/5</f>
        <v>0</v>
      </c>
      <c r="W97" s="2">
        <f>IF(V97&lt;0,0,V97)</f>
        <v>0</v>
      </c>
      <c r="X97" t="e">
        <f>(9.5-K97)/4</f>
        <v>#DIV/0!</v>
      </c>
      <c r="Y97" s="2" t="e">
        <f>IF(X97&lt;0,0,X97)</f>
        <v>#DIV/0!</v>
      </c>
    </row>
    <row r="98" spans="1:25" ht="12.75">
      <c r="A98" t="s">
        <v>107</v>
      </c>
      <c r="E98" s="12" t="e">
        <f>+D98/C98*100</f>
        <v>#DIV/0!</v>
      </c>
      <c r="J98" s="8"/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>
        <f>+J98/5</f>
        <v>0</v>
      </c>
      <c r="W98" s="2">
        <f>IF(V98&lt;0,0,V98)</f>
        <v>0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E99" s="12" t="e">
        <f>+D99/C99*100</f>
        <v>#DIV/0!</v>
      </c>
      <c r="J99" s="8"/>
      <c r="K99" s="12" t="e">
        <f>+I99/C99*100</f>
        <v>#DIV/0!</v>
      </c>
      <c r="L99" s="12" t="e">
        <f>+F99/C99</f>
        <v>#DIV/0!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6" ht="12.75">
      <c r="A102" t="s">
        <v>118</v>
      </c>
      <c r="F102" s="12" t="e">
        <f>+E102/C102</f>
        <v>#DIV/0!</v>
      </c>
    </row>
    <row r="103" spans="1:6" ht="12.75">
      <c r="A103" t="s">
        <v>117</v>
      </c>
      <c r="F103" s="12" t="e">
        <f>+E103/C103</f>
        <v>#DIV/0!</v>
      </c>
    </row>
    <row r="104" spans="1:9" ht="12.75">
      <c r="A104" t="s">
        <v>121</v>
      </c>
      <c r="C104">
        <v>2</v>
      </c>
      <c r="D104">
        <v>3</v>
      </c>
      <c r="E104">
        <v>2</v>
      </c>
      <c r="F104" s="12">
        <f>+E104/C104</f>
        <v>1</v>
      </c>
      <c r="G104">
        <v>5</v>
      </c>
      <c r="H104">
        <v>0</v>
      </c>
      <c r="I104">
        <v>0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5" ht="12.75">
      <c r="A107" t="s">
        <v>111</v>
      </c>
      <c r="E107" s="12" t="e">
        <f aca="true" t="shared" si="2" ref="E107:E113">+D107/C107</f>
        <v>#DIV/0!</v>
      </c>
    </row>
    <row r="108" spans="1:5" ht="12.75">
      <c r="A108" t="s">
        <v>115</v>
      </c>
      <c r="E108" s="12" t="e">
        <f t="shared" si="2"/>
        <v>#DIV/0!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v>8</v>
      </c>
      <c r="D116">
        <v>308</v>
      </c>
      <c r="E116" s="12">
        <f>+D116/C116</f>
        <v>38.5</v>
      </c>
      <c r="F116">
        <v>52</v>
      </c>
      <c r="G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9" ht="12.75">
      <c r="A119" t="s">
        <v>116</v>
      </c>
      <c r="I119" s="12" t="e">
        <f>+H119/G119*100</f>
        <v>#DIV/0!</v>
      </c>
    </row>
    <row r="120" spans="1:10" ht="12.75">
      <c r="A120" t="s">
        <v>120</v>
      </c>
      <c r="C120">
        <v>4</v>
      </c>
      <c r="D120">
        <v>2</v>
      </c>
      <c r="E120">
        <v>2</v>
      </c>
      <c r="F120">
        <v>2</v>
      </c>
      <c r="G120">
        <v>2</v>
      </c>
      <c r="H120">
        <v>1</v>
      </c>
      <c r="I120" s="12">
        <f>+H120/G120*100</f>
        <v>50</v>
      </c>
      <c r="J120">
        <v>9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8" ht="12.75">
      <c r="A123" t="s">
        <v>121</v>
      </c>
      <c r="C123">
        <v>2</v>
      </c>
      <c r="D123">
        <v>-1</v>
      </c>
      <c r="E123" s="12">
        <f>+D123/C123</f>
        <v>-0.5</v>
      </c>
      <c r="F123">
        <v>0</v>
      </c>
      <c r="G123">
        <v>0</v>
      </c>
      <c r="H123">
        <v>0</v>
      </c>
    </row>
    <row r="124" spans="1:8" ht="12.75">
      <c r="A124" t="s">
        <v>124</v>
      </c>
      <c r="C124">
        <v>1</v>
      </c>
      <c r="D124">
        <v>8</v>
      </c>
      <c r="E124" s="12">
        <f aca="true" t="shared" si="3" ref="E124:E130">+D124/C124</f>
        <v>8</v>
      </c>
      <c r="F124">
        <v>8</v>
      </c>
      <c r="G124">
        <v>0</v>
      </c>
      <c r="H124">
        <v>0</v>
      </c>
    </row>
    <row r="125" spans="1:8" ht="12.75">
      <c r="A125" t="s">
        <v>125</v>
      </c>
      <c r="C125">
        <v>1</v>
      </c>
      <c r="D125">
        <v>14</v>
      </c>
      <c r="E125" s="12">
        <f t="shared" si="3"/>
        <v>14</v>
      </c>
      <c r="F125">
        <v>14</v>
      </c>
      <c r="G125">
        <v>0</v>
      </c>
      <c r="H125">
        <v>0</v>
      </c>
    </row>
    <row r="126" spans="1:8" ht="12.75">
      <c r="A126" t="s">
        <v>126</v>
      </c>
      <c r="C126">
        <v>1</v>
      </c>
      <c r="D126">
        <v>8</v>
      </c>
      <c r="E126" s="12">
        <f t="shared" si="3"/>
        <v>8</v>
      </c>
      <c r="F126">
        <v>8</v>
      </c>
      <c r="G126">
        <v>0</v>
      </c>
      <c r="H126">
        <v>0</v>
      </c>
    </row>
    <row r="127" spans="1:5" ht="12.75">
      <c r="A127" t="s">
        <v>127</v>
      </c>
      <c r="E127" s="12" t="e">
        <f t="shared" si="3"/>
        <v>#DIV/0!</v>
      </c>
    </row>
    <row r="128" spans="1:5" ht="12.75">
      <c r="A128" t="s">
        <v>128</v>
      </c>
      <c r="E128" s="12" t="e">
        <f t="shared" si="3"/>
        <v>#DIV/0!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2" t="s">
        <v>68</v>
      </c>
      <c r="D132" s="2"/>
    </row>
    <row r="133" spans="1:3" ht="12.75">
      <c r="A133" t="s">
        <v>132</v>
      </c>
      <c r="C133">
        <v>3</v>
      </c>
    </row>
    <row r="134" ht="12.75">
      <c r="A134" t="s">
        <v>123</v>
      </c>
    </row>
    <row r="135" spans="1:3" ht="12.75">
      <c r="A135" t="s">
        <v>126</v>
      </c>
      <c r="C135">
        <v>1</v>
      </c>
    </row>
    <row r="136" spans="1:3" ht="12.75">
      <c r="A136" t="s">
        <v>128</v>
      </c>
      <c r="C136">
        <v>1.5</v>
      </c>
    </row>
    <row r="137" spans="1:3" ht="12.75">
      <c r="A137" t="s">
        <v>129</v>
      </c>
      <c r="C137">
        <v>0.5</v>
      </c>
    </row>
    <row r="138" ht="12.75">
      <c r="A138" t="s">
        <v>125</v>
      </c>
    </row>
    <row r="139" ht="12.75">
      <c r="A139" t="s">
        <v>127</v>
      </c>
    </row>
    <row r="140" spans="1:3" ht="12.75">
      <c r="A140" t="s">
        <v>133</v>
      </c>
      <c r="C140">
        <v>2</v>
      </c>
    </row>
    <row r="141" ht="12.75">
      <c r="A141" t="s">
        <v>134</v>
      </c>
    </row>
    <row r="142" ht="12.75">
      <c r="A142" t="s">
        <v>135</v>
      </c>
    </row>
    <row r="143" spans="1:3" ht="12.75">
      <c r="A143" t="s">
        <v>136</v>
      </c>
      <c r="C143">
        <v>1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16</v>
      </c>
      <c r="H148" t="s">
        <v>93</v>
      </c>
      <c r="M148">
        <v>14</v>
      </c>
    </row>
    <row r="149" spans="1:13" ht="12.75">
      <c r="A149" t="s">
        <v>94</v>
      </c>
      <c r="D149">
        <v>4</v>
      </c>
      <c r="H149" t="s">
        <v>94</v>
      </c>
      <c r="M149">
        <v>4</v>
      </c>
    </row>
    <row r="150" spans="1:13" ht="12.75">
      <c r="A150" t="s">
        <v>95</v>
      </c>
      <c r="D150" s="8">
        <f>D149/D148*100</f>
        <v>25</v>
      </c>
      <c r="H150" t="s">
        <v>95</v>
      </c>
      <c r="M150" s="8">
        <f>+M149/M148*100</f>
        <v>28.57142857142857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150"/>
  <sheetViews>
    <sheetView zoomScalePageLayoutView="0" workbookViewId="0" topLeftCell="A53">
      <selection activeCell="O70" sqref="O7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21</v>
      </c>
      <c r="H6" s="1" t="s">
        <v>29</v>
      </c>
      <c r="M6" s="2">
        <v>14</v>
      </c>
    </row>
    <row r="8" spans="1:23" ht="12.75">
      <c r="A8" t="s">
        <v>1</v>
      </c>
      <c r="D8" s="2">
        <v>40</v>
      </c>
      <c r="H8" t="s">
        <v>1</v>
      </c>
      <c r="M8" s="2">
        <v>23</v>
      </c>
      <c r="V8">
        <f>+D8</f>
        <v>40</v>
      </c>
      <c r="W8">
        <f>+M8</f>
        <v>23</v>
      </c>
    </row>
    <row r="9" spans="1:23" ht="12.75">
      <c r="A9" t="s">
        <v>2</v>
      </c>
      <c r="D9" s="2">
        <v>205</v>
      </c>
      <c r="H9" t="s">
        <v>2</v>
      </c>
      <c r="M9" s="2">
        <v>66</v>
      </c>
      <c r="U9" s="13"/>
      <c r="V9">
        <f>+D13</f>
        <v>17</v>
      </c>
      <c r="W9">
        <f>+M13</f>
        <v>12</v>
      </c>
    </row>
    <row r="10" spans="1:23" ht="12.75">
      <c r="A10" s="1" t="s">
        <v>3</v>
      </c>
      <c r="D10" s="8">
        <f>+D9/D8</f>
        <v>5.125</v>
      </c>
      <c r="H10" s="1" t="s">
        <v>3</v>
      </c>
      <c r="M10" s="8">
        <f>+M9/M8</f>
        <v>2.869565217391304</v>
      </c>
      <c r="V10">
        <f>+(D12-D13)/2</f>
        <v>11</v>
      </c>
      <c r="W10">
        <f>+(M12-M13)/2</f>
        <v>7</v>
      </c>
    </row>
    <row r="11" spans="22:23" ht="12.75">
      <c r="V11">
        <f>+D35/2</f>
        <v>3.5</v>
      </c>
      <c r="W11">
        <f>+M35/2</f>
        <v>5</v>
      </c>
    </row>
    <row r="12" spans="1:23" ht="12.75">
      <c r="A12" t="s">
        <v>4</v>
      </c>
      <c r="D12" s="2">
        <v>39</v>
      </c>
      <c r="H12" t="s">
        <v>4</v>
      </c>
      <c r="M12" s="2">
        <v>26</v>
      </c>
      <c r="V12">
        <f>+D39/2</f>
        <v>3</v>
      </c>
      <c r="W12">
        <f>+M39/2</f>
        <v>1</v>
      </c>
    </row>
    <row r="13" spans="1:23" ht="12.75">
      <c r="A13" t="s">
        <v>5</v>
      </c>
      <c r="D13" s="2">
        <v>17</v>
      </c>
      <c r="H13" t="s">
        <v>5</v>
      </c>
      <c r="M13" s="2">
        <v>12</v>
      </c>
      <c r="V13">
        <f>+D44/2</f>
        <v>1</v>
      </c>
      <c r="W13">
        <f>+M44/2</f>
        <v>0.5</v>
      </c>
    </row>
    <row r="14" spans="1:13" ht="12.75">
      <c r="A14" t="s">
        <v>6</v>
      </c>
      <c r="D14" s="8">
        <f>+D13/D12*100</f>
        <v>43.58974358974359</v>
      </c>
      <c r="H14" t="s">
        <v>6</v>
      </c>
      <c r="M14" s="8">
        <f>+M13/M12*100</f>
        <v>46.15384615384615</v>
      </c>
    </row>
    <row r="15" spans="1:24" ht="12.75">
      <c r="A15" t="s">
        <v>7</v>
      </c>
      <c r="D15" s="2">
        <v>313</v>
      </c>
      <c r="H15" t="s">
        <v>7</v>
      </c>
      <c r="M15" s="2">
        <v>321</v>
      </c>
      <c r="V15">
        <f>SUM(V8:V13)</f>
        <v>75.5</v>
      </c>
      <c r="W15">
        <f>SUM(W8:W13)</f>
        <v>48.5</v>
      </c>
      <c r="X15">
        <f>+W15+V15</f>
        <v>124</v>
      </c>
    </row>
    <row r="16" spans="1:23" ht="12.75">
      <c r="A16" t="s">
        <v>8</v>
      </c>
      <c r="D16" s="2">
        <v>3</v>
      </c>
      <c r="H16" t="s">
        <v>8</v>
      </c>
      <c r="M16" s="2">
        <v>6</v>
      </c>
      <c r="V16">
        <f>+V15/X15</f>
        <v>0.6088709677419355</v>
      </c>
      <c r="W16">
        <f>+W15/X15</f>
        <v>0.3911290322580645</v>
      </c>
    </row>
    <row r="17" spans="1:23" ht="12.75">
      <c r="A17" t="s">
        <v>9</v>
      </c>
      <c r="D17" s="2">
        <v>16</v>
      </c>
      <c r="H17" t="s">
        <v>9</v>
      </c>
      <c r="M17" s="2">
        <v>29</v>
      </c>
      <c r="V17">
        <f>+V16*60</f>
        <v>36.53225806451613</v>
      </c>
      <c r="W17">
        <f>+W16*60</f>
        <v>23.467741935483872</v>
      </c>
    </row>
    <row r="18" spans="1:23" ht="12.75">
      <c r="A18" t="s">
        <v>10</v>
      </c>
      <c r="D18">
        <f>+D15-D17</f>
        <v>297</v>
      </c>
      <c r="H18" t="s">
        <v>10</v>
      </c>
      <c r="M18">
        <f>+M15-M17</f>
        <v>292</v>
      </c>
      <c r="V18">
        <f>+V17-INT(V17)</f>
        <v>0.5322580645161281</v>
      </c>
      <c r="W18">
        <f>+W17-INT(W17)</f>
        <v>0.4677419354838719</v>
      </c>
    </row>
    <row r="19" spans="1:23" ht="12.75">
      <c r="A19" t="s">
        <v>11</v>
      </c>
      <c r="D19" s="7">
        <f>+D18/(D12+D16)</f>
        <v>7.071428571428571</v>
      </c>
      <c r="H19" t="s">
        <v>11</v>
      </c>
      <c r="M19" s="7">
        <f>+M18/(M12+M16)</f>
        <v>9.125</v>
      </c>
      <c r="V19">
        <f>+V18*60</f>
        <v>31.935483870967687</v>
      </c>
      <c r="W19">
        <f>+W18*60</f>
        <v>28.064516129032313</v>
      </c>
    </row>
    <row r="20" spans="1:23" ht="12.75">
      <c r="A20" t="s">
        <v>12</v>
      </c>
      <c r="D20" s="7">
        <f>+D15/D13</f>
        <v>18.41176470588235</v>
      </c>
      <c r="H20" t="s">
        <v>12</v>
      </c>
      <c r="M20" s="7">
        <f>+M15/M13</f>
        <v>26.75</v>
      </c>
      <c r="U20">
        <v>0</v>
      </c>
      <c r="V20" s="11">
        <f>ROUND(V19,0)</f>
        <v>32</v>
      </c>
      <c r="W20">
        <f>ROUND(W19,0)</f>
        <v>28</v>
      </c>
    </row>
    <row r="21" spans="22:23" ht="12.75">
      <c r="V21">
        <f>INT(V17)</f>
        <v>36</v>
      </c>
      <c r="W21">
        <f>INT(W17)</f>
        <v>23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502</v>
      </c>
      <c r="H23" t="s">
        <v>14</v>
      </c>
      <c r="M23">
        <f>+M18+M9</f>
        <v>358</v>
      </c>
      <c r="Q23" s="9"/>
      <c r="R23" s="9"/>
      <c r="V23" s="14" t="str">
        <f>+V21&amp;V22&amp;V20</f>
        <v>36:32</v>
      </c>
      <c r="W23" s="9" t="str">
        <f>+W21&amp;W22&amp;W20</f>
        <v>23:28</v>
      </c>
    </row>
    <row r="24" spans="1:23" ht="12.75">
      <c r="A24" t="s">
        <v>15</v>
      </c>
      <c r="D24" s="7">
        <f>+D9/D23*100</f>
        <v>40.83665338645419</v>
      </c>
      <c r="H24" t="s">
        <v>15</v>
      </c>
      <c r="M24" s="7">
        <f>+M9/M23*100</f>
        <v>18.435754189944134</v>
      </c>
      <c r="V24" s="9" t="str">
        <f>IF(V20&lt;10,+V21&amp;V22&amp;$U$20&amp;V20,+V21&amp;V22&amp;V20)</f>
        <v>36:32</v>
      </c>
      <c r="W24" s="9" t="str">
        <f>IF(W20&lt;10,+W21&amp;W22&amp;$U$20&amp;W20,+W21&amp;W22&amp;W20)</f>
        <v>23:28</v>
      </c>
    </row>
    <row r="25" spans="1:13" ht="12.75">
      <c r="A25" s="1" t="s">
        <v>86</v>
      </c>
      <c r="D25" s="7">
        <f>+D18/D23*100</f>
        <v>59.16334661354582</v>
      </c>
      <c r="H25" s="1" t="s">
        <v>86</v>
      </c>
      <c r="M25" s="7">
        <f>+M18/M23*100</f>
        <v>81.56424581005587</v>
      </c>
    </row>
    <row r="27" spans="1:13" ht="12.75">
      <c r="A27" t="s">
        <v>16</v>
      </c>
      <c r="D27">
        <f>+D12+D8+D16</f>
        <v>82</v>
      </c>
      <c r="H27" t="s">
        <v>16</v>
      </c>
      <c r="M27">
        <f>+M8+M12+M16</f>
        <v>55</v>
      </c>
    </row>
    <row r="28" spans="1:13" ht="12.75">
      <c r="A28" t="s">
        <v>17</v>
      </c>
      <c r="D28" s="8">
        <f>+D23/D27</f>
        <v>6.121951219512195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6.509090909090909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0</v>
      </c>
      <c r="H31" t="s">
        <v>19</v>
      </c>
      <c r="M31" s="2">
        <v>1</v>
      </c>
    </row>
    <row r="32" spans="1:13" ht="12.75">
      <c r="A32" t="s">
        <v>20</v>
      </c>
      <c r="D32" s="2">
        <v>0</v>
      </c>
      <c r="H32" t="s">
        <v>20</v>
      </c>
      <c r="M32" s="2">
        <v>-1</v>
      </c>
    </row>
    <row r="33" spans="1:13" ht="12.75">
      <c r="A33" t="s">
        <v>21</v>
      </c>
      <c r="D33" s="2">
        <v>0</v>
      </c>
      <c r="H33" t="s">
        <v>21</v>
      </c>
      <c r="M33" s="2">
        <v>0</v>
      </c>
    </row>
    <row r="35" spans="1:13" ht="12.75">
      <c r="A35" t="s">
        <v>22</v>
      </c>
      <c r="D35" s="2">
        <v>7</v>
      </c>
      <c r="H35" t="s">
        <v>22</v>
      </c>
      <c r="M35" s="2">
        <v>10</v>
      </c>
    </row>
    <row r="36" spans="1:13" ht="12.75">
      <c r="A36" t="s">
        <v>23</v>
      </c>
      <c r="D36" s="2">
        <v>247</v>
      </c>
      <c r="H36" t="s">
        <v>23</v>
      </c>
      <c r="M36" s="2">
        <v>366</v>
      </c>
    </row>
    <row r="37" spans="1:13" ht="12.75">
      <c r="A37" t="s">
        <v>24</v>
      </c>
      <c r="D37" s="8">
        <f>+D36/D35</f>
        <v>35.285714285714285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36.6</v>
      </c>
    </row>
    <row r="39" spans="1:13" ht="12.75">
      <c r="A39" t="s">
        <v>25</v>
      </c>
      <c r="D39" s="2">
        <v>6</v>
      </c>
      <c r="H39" t="s">
        <v>25</v>
      </c>
      <c r="M39" s="2">
        <v>2</v>
      </c>
    </row>
    <row r="40" spans="1:13" ht="12.75">
      <c r="A40" t="s">
        <v>26</v>
      </c>
      <c r="D40" s="2">
        <v>64</v>
      </c>
      <c r="H40" t="s">
        <v>26</v>
      </c>
      <c r="M40" s="2">
        <v>18</v>
      </c>
    </row>
    <row r="41" spans="1:13" ht="12.75">
      <c r="A41" t="s">
        <v>27</v>
      </c>
      <c r="D41" s="8">
        <f>+D40/D39</f>
        <v>10.666666666666666</v>
      </c>
      <c r="H41" t="s">
        <v>27</v>
      </c>
      <c r="M41" s="8">
        <f>+M40/M39</f>
        <v>9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2</v>
      </c>
      <c r="H44" t="s">
        <v>30</v>
      </c>
      <c r="M44" s="2">
        <v>1</v>
      </c>
    </row>
    <row r="45" spans="1:13" ht="12.75">
      <c r="A45" t="s">
        <v>26</v>
      </c>
      <c r="D45" s="2">
        <v>23</v>
      </c>
      <c r="H45" t="s">
        <v>26</v>
      </c>
      <c r="M45" s="2">
        <v>19</v>
      </c>
    </row>
    <row r="46" spans="1:13" ht="12.75">
      <c r="A46" t="s">
        <v>27</v>
      </c>
      <c r="D46" s="8">
        <f>+D45/D44</f>
        <v>11.5</v>
      </c>
      <c r="H46" t="s">
        <v>27</v>
      </c>
      <c r="M46" s="8">
        <f>+M45/M44</f>
        <v>19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6</v>
      </c>
      <c r="H49" t="s">
        <v>31</v>
      </c>
      <c r="M49" s="2">
        <v>2</v>
      </c>
    </row>
    <row r="50" spans="1:13" ht="12.75">
      <c r="A50" t="s">
        <v>32</v>
      </c>
      <c r="D50" s="2">
        <v>55</v>
      </c>
      <c r="H50" t="s">
        <v>32</v>
      </c>
      <c r="M50" s="2">
        <v>20</v>
      </c>
    </row>
    <row r="52" spans="1:13" ht="12.75">
      <c r="A52" t="s">
        <v>33</v>
      </c>
      <c r="D52" s="2">
        <v>2</v>
      </c>
      <c r="H52" t="s">
        <v>33</v>
      </c>
      <c r="M52" s="2">
        <v>1</v>
      </c>
    </row>
    <row r="53" spans="1:13" ht="12.75">
      <c r="A53" t="s">
        <v>101</v>
      </c>
      <c r="D53" s="2">
        <v>1</v>
      </c>
      <c r="H53" t="s">
        <v>101</v>
      </c>
      <c r="M53" s="2">
        <v>0</v>
      </c>
    </row>
    <row r="55" spans="1:13" ht="12.75">
      <c r="A55" t="s">
        <v>34</v>
      </c>
      <c r="D55" s="2">
        <v>16</v>
      </c>
      <c r="H55" t="s">
        <v>34</v>
      </c>
      <c r="M55" s="2">
        <v>20</v>
      </c>
    </row>
    <row r="56" spans="1:13" ht="12.75">
      <c r="A56" t="s">
        <v>35</v>
      </c>
      <c r="D56" s="2">
        <v>2</v>
      </c>
      <c r="H56" t="s">
        <v>35</v>
      </c>
      <c r="M56" s="2">
        <v>3</v>
      </c>
    </row>
    <row r="57" spans="1:13" ht="12.75">
      <c r="A57" t="s">
        <v>36</v>
      </c>
      <c r="D57" s="2">
        <v>0</v>
      </c>
      <c r="H57" t="s">
        <v>36</v>
      </c>
      <c r="M57" s="2">
        <v>0</v>
      </c>
    </row>
    <row r="58" spans="1:13" ht="12.75">
      <c r="A58" t="s">
        <v>37</v>
      </c>
      <c r="D58" s="2">
        <v>2</v>
      </c>
      <c r="H58" t="s">
        <v>37</v>
      </c>
      <c r="M58" s="2">
        <v>3</v>
      </c>
    </row>
    <row r="59" spans="1:13" ht="12.75">
      <c r="A59" t="s">
        <v>38</v>
      </c>
      <c r="D59" s="2">
        <v>0</v>
      </c>
      <c r="H59" t="s">
        <v>38</v>
      </c>
      <c r="M59" s="2">
        <v>0</v>
      </c>
    </row>
    <row r="60" spans="1:13" ht="12.75">
      <c r="A60" t="s">
        <v>39</v>
      </c>
      <c r="D60" s="2">
        <v>1</v>
      </c>
      <c r="H60" t="s">
        <v>39</v>
      </c>
      <c r="M60" s="2">
        <v>2</v>
      </c>
    </row>
    <row r="61" spans="1:13" ht="12.75">
      <c r="A61" t="s">
        <v>40</v>
      </c>
      <c r="D61" s="2">
        <v>0</v>
      </c>
      <c r="H61" t="s">
        <v>40</v>
      </c>
      <c r="M61" s="2">
        <v>0</v>
      </c>
    </row>
    <row r="62" spans="1:13" ht="12.75">
      <c r="A62" t="s">
        <v>41</v>
      </c>
      <c r="D62" s="2">
        <v>1</v>
      </c>
      <c r="H62" t="s">
        <v>41</v>
      </c>
      <c r="M62" s="2">
        <v>0</v>
      </c>
    </row>
    <row r="63" spans="1:13" ht="12.75">
      <c r="A63" t="s">
        <v>42</v>
      </c>
      <c r="D63" s="2">
        <v>2</v>
      </c>
      <c r="H63" t="s">
        <v>42</v>
      </c>
      <c r="M63" s="2">
        <v>0</v>
      </c>
    </row>
    <row r="64" spans="1:13" ht="12.75">
      <c r="A64" t="s">
        <v>43</v>
      </c>
      <c r="D64" s="8">
        <f>+D62/D63*100</f>
        <v>50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v>0</v>
      </c>
    </row>
    <row r="65" spans="1:13" ht="12.75">
      <c r="A65" t="s">
        <v>92</v>
      </c>
      <c r="D65" s="10" t="str">
        <f>IF(V20&lt;10,V24,V23)</f>
        <v>36:32</v>
      </c>
      <c r="E65" s="8"/>
      <c r="F65" s="8"/>
      <c r="H65" t="s">
        <v>92</v>
      </c>
      <c r="M65" s="10" t="str">
        <f>IF(W20&lt;10,W24,W23)</f>
        <v>23:28</v>
      </c>
    </row>
    <row r="66" spans="1:13" ht="12.75">
      <c r="A66" t="s">
        <v>102</v>
      </c>
      <c r="D66" s="8">
        <f>D150</f>
        <v>42.857142857142854</v>
      </c>
      <c r="H66" t="s">
        <v>102</v>
      </c>
      <c r="M66" s="8">
        <f>M150</f>
        <v>16.666666666666664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2" t="s">
        <v>80</v>
      </c>
    </row>
    <row r="70" spans="1:8" ht="12.75">
      <c r="A70" t="s">
        <v>109</v>
      </c>
      <c r="C70">
        <v>13</v>
      </c>
      <c r="D70">
        <v>53</v>
      </c>
      <c r="E70" s="12">
        <f aca="true" t="shared" si="0" ref="E70:E80">+D70/C70</f>
        <v>4.076923076923077</v>
      </c>
      <c r="F70">
        <v>12</v>
      </c>
      <c r="G70">
        <v>0</v>
      </c>
      <c r="H70">
        <v>0</v>
      </c>
    </row>
    <row r="71" spans="1:8" ht="12.75">
      <c r="A71" t="s">
        <v>108</v>
      </c>
      <c r="C71">
        <v>17</v>
      </c>
      <c r="D71">
        <v>93</v>
      </c>
      <c r="E71" s="12">
        <f t="shared" si="0"/>
        <v>5.470588235294118</v>
      </c>
      <c r="F71">
        <v>14</v>
      </c>
      <c r="G71">
        <v>0</v>
      </c>
      <c r="H71">
        <v>0</v>
      </c>
    </row>
    <row r="72" spans="1:8" ht="12.75">
      <c r="A72" t="s">
        <v>110</v>
      </c>
      <c r="C72">
        <v>2</v>
      </c>
      <c r="D72">
        <v>5</v>
      </c>
      <c r="E72" s="12">
        <f t="shared" si="0"/>
        <v>2.5</v>
      </c>
      <c r="F72">
        <v>3</v>
      </c>
      <c r="G72">
        <v>0</v>
      </c>
      <c r="H72">
        <v>0</v>
      </c>
    </row>
    <row r="73" spans="1:8" ht="12.75">
      <c r="A73" t="s">
        <v>111</v>
      </c>
      <c r="C73">
        <v>1</v>
      </c>
      <c r="D73">
        <v>16</v>
      </c>
      <c r="E73" s="12">
        <f t="shared" si="0"/>
        <v>16</v>
      </c>
      <c r="F73">
        <v>16</v>
      </c>
      <c r="G73">
        <v>0</v>
      </c>
      <c r="H73">
        <v>0</v>
      </c>
    </row>
    <row r="74" spans="1:8" ht="12.75">
      <c r="A74" t="s">
        <v>112</v>
      </c>
      <c r="C74">
        <v>5</v>
      </c>
      <c r="D74">
        <v>0</v>
      </c>
      <c r="E74" s="12">
        <f t="shared" si="0"/>
        <v>0</v>
      </c>
      <c r="F74">
        <v>2</v>
      </c>
      <c r="G74">
        <v>0</v>
      </c>
      <c r="H74">
        <v>0</v>
      </c>
    </row>
    <row r="75" spans="1:5" ht="12.75">
      <c r="A75" t="s">
        <v>106</v>
      </c>
      <c r="E75" s="12" t="e">
        <f t="shared" si="0"/>
        <v>#DIV/0!</v>
      </c>
    </row>
    <row r="76" spans="1:8" ht="12.75">
      <c r="A76" t="s">
        <v>113</v>
      </c>
      <c r="C76">
        <v>2</v>
      </c>
      <c r="D76">
        <v>38</v>
      </c>
      <c r="E76" s="12">
        <f t="shared" si="0"/>
        <v>19</v>
      </c>
      <c r="F76">
        <v>27</v>
      </c>
      <c r="G76">
        <v>0</v>
      </c>
      <c r="H76">
        <v>0</v>
      </c>
    </row>
    <row r="77" spans="1:5" ht="12.75">
      <c r="A77" t="s">
        <v>114</v>
      </c>
      <c r="E77" s="12" t="e">
        <f t="shared" si="0"/>
        <v>#DIV/0!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7</v>
      </c>
      <c r="D83">
        <v>116</v>
      </c>
      <c r="E83" s="12">
        <f aca="true" t="shared" si="1" ref="E83:E92">+D83/C83</f>
        <v>16.571428571428573</v>
      </c>
      <c r="F83">
        <v>30</v>
      </c>
      <c r="G83">
        <v>0</v>
      </c>
      <c r="H83">
        <v>2</v>
      </c>
    </row>
    <row r="84" spans="1:8" ht="12.75">
      <c r="A84" t="s">
        <v>118</v>
      </c>
      <c r="C84">
        <v>7</v>
      </c>
      <c r="D84">
        <v>113</v>
      </c>
      <c r="E84" s="12">
        <f t="shared" si="1"/>
        <v>16.142857142857142</v>
      </c>
      <c r="F84">
        <v>30</v>
      </c>
      <c r="G84">
        <v>1</v>
      </c>
      <c r="H84">
        <v>0</v>
      </c>
    </row>
    <row r="85" spans="1:8" ht="12.75">
      <c r="A85" t="s">
        <v>108</v>
      </c>
      <c r="C85">
        <v>1</v>
      </c>
      <c r="D85">
        <v>3</v>
      </c>
      <c r="E85" s="12">
        <f t="shared" si="1"/>
        <v>3</v>
      </c>
      <c r="F85">
        <v>3</v>
      </c>
      <c r="G85">
        <v>0</v>
      </c>
      <c r="H85">
        <v>0</v>
      </c>
    </row>
    <row r="86" spans="1:8" ht="12.75">
      <c r="A86" t="s">
        <v>113</v>
      </c>
      <c r="C86">
        <v>1</v>
      </c>
      <c r="D86">
        <v>63</v>
      </c>
      <c r="E86" s="12">
        <f t="shared" si="1"/>
        <v>63</v>
      </c>
      <c r="F86">
        <v>63</v>
      </c>
      <c r="G86">
        <v>1</v>
      </c>
      <c r="H86">
        <v>0</v>
      </c>
    </row>
    <row r="87" spans="1:5" ht="12.75">
      <c r="A87" t="s">
        <v>109</v>
      </c>
      <c r="E87" s="12" t="e">
        <f t="shared" si="1"/>
        <v>#DIV/0!</v>
      </c>
    </row>
    <row r="88" spans="1:5" ht="12.75">
      <c r="A88" t="s">
        <v>114</v>
      </c>
      <c r="E88" s="12" t="e">
        <f t="shared" si="1"/>
        <v>#DIV/0!</v>
      </c>
    </row>
    <row r="89" spans="1:5" ht="12.75">
      <c r="A89" t="s">
        <v>119</v>
      </c>
      <c r="E89" s="12" t="e">
        <f t="shared" si="1"/>
        <v>#DIV/0!</v>
      </c>
    </row>
    <row r="90" spans="1:5" ht="12.75">
      <c r="A90" t="s">
        <v>112</v>
      </c>
      <c r="E90" s="12" t="e">
        <f t="shared" si="1"/>
        <v>#DIV/0!</v>
      </c>
    </row>
    <row r="91" spans="1:8" ht="12.75">
      <c r="A91" t="s">
        <v>115</v>
      </c>
      <c r="C91">
        <v>1</v>
      </c>
      <c r="D91">
        <v>18</v>
      </c>
      <c r="E91" s="12">
        <f t="shared" si="1"/>
        <v>18</v>
      </c>
      <c r="F91">
        <v>18</v>
      </c>
      <c r="G91">
        <v>0</v>
      </c>
      <c r="H91">
        <v>0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39</v>
      </c>
      <c r="D96">
        <v>17</v>
      </c>
      <c r="E96" s="12">
        <f>+D96/C96*100</f>
        <v>43.58974358974359</v>
      </c>
      <c r="F96">
        <v>313</v>
      </c>
      <c r="G96">
        <v>2</v>
      </c>
      <c r="H96">
        <v>63</v>
      </c>
      <c r="I96">
        <v>0</v>
      </c>
      <c r="J96" s="8">
        <f>+G96/C96*100</f>
        <v>5.128205128205128</v>
      </c>
      <c r="K96" s="12">
        <f>+I96/C96*100</f>
        <v>0</v>
      </c>
      <c r="L96" s="12">
        <f>+F96/C96</f>
        <v>8.025641025641026</v>
      </c>
      <c r="M96" s="12">
        <f>100*(S96+U96+W96+Y96)/6</f>
        <v>88.9423076923077</v>
      </c>
      <c r="R96">
        <f>+(E96-30)/20</f>
        <v>0.6794871794871795</v>
      </c>
      <c r="S96" s="2">
        <f>IF(R96&lt;0,0,R96)</f>
        <v>0.6794871794871795</v>
      </c>
      <c r="T96" s="6">
        <f>+(L96-3)/4</f>
        <v>1.2564102564102564</v>
      </c>
      <c r="U96" s="2">
        <f>IF(T96&lt;0,0,T96)</f>
        <v>1.2564102564102564</v>
      </c>
      <c r="V96">
        <f>+J96/5</f>
        <v>1.0256410256410255</v>
      </c>
      <c r="W96" s="2">
        <f>IF(V96&lt;0,0,V96)</f>
        <v>1.0256410256410255</v>
      </c>
      <c r="X96">
        <f>(9.5-K96)/4</f>
        <v>2.375</v>
      </c>
      <c r="Y96" s="2">
        <f>IF(X96&lt;0,0,X96)</f>
        <v>2.375</v>
      </c>
    </row>
    <row r="97" spans="1:25" ht="12.75">
      <c r="A97" t="s">
        <v>106</v>
      </c>
      <c r="E97" s="12"/>
      <c r="J97" s="8"/>
      <c r="K97" s="12"/>
      <c r="L97" s="12"/>
      <c r="M97" s="12"/>
      <c r="R97">
        <f>+(E97-30)/20</f>
        <v>-1.5</v>
      </c>
      <c r="S97" s="2">
        <f>IF(R97&lt;0,0,R97)</f>
        <v>0</v>
      </c>
      <c r="T97" s="6">
        <f>+(L97-3)/4</f>
        <v>-0.75</v>
      </c>
      <c r="U97" s="2">
        <f>IF(T97&lt;0,0,T97)</f>
        <v>0</v>
      </c>
      <c r="V97">
        <f>+J97/5</f>
        <v>0</v>
      </c>
      <c r="W97" s="2">
        <f>IF(V97&lt;0,0,V97)</f>
        <v>0</v>
      </c>
      <c r="X97">
        <f>(9.5-K97)/4</f>
        <v>2.375</v>
      </c>
      <c r="Y97" s="2">
        <f>IF(X97&lt;0,0,X97)</f>
        <v>2.375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E99" s="12" t="e">
        <f>+D99/C99*100</f>
        <v>#DIV/0!</v>
      </c>
      <c r="J99" s="8" t="e">
        <f>+G99/C99*100</f>
        <v>#DIV/0!</v>
      </c>
      <c r="K99" s="12" t="e">
        <f>+I99/C99*100</f>
        <v>#DIV/0!</v>
      </c>
      <c r="L99" s="12" t="e">
        <f>+F99/C99</f>
        <v>#DIV/0!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9" ht="12.75">
      <c r="A102" t="s">
        <v>118</v>
      </c>
      <c r="C102">
        <v>6</v>
      </c>
      <c r="D102">
        <v>2</v>
      </c>
      <c r="E102">
        <v>64</v>
      </c>
      <c r="F102" s="12">
        <f>+E102/C102</f>
        <v>10.666666666666666</v>
      </c>
      <c r="G102">
        <v>15</v>
      </c>
      <c r="H102">
        <v>0</v>
      </c>
      <c r="I102">
        <v>0</v>
      </c>
    </row>
    <row r="103" spans="1:6" ht="12.75">
      <c r="A103" t="s">
        <v>117</v>
      </c>
      <c r="F103" s="12" t="e">
        <f>+E103/C103</f>
        <v>#DIV/0!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8" ht="12.75">
      <c r="A107" t="s">
        <v>111</v>
      </c>
      <c r="C107">
        <v>2</v>
      </c>
      <c r="D107">
        <v>23</v>
      </c>
      <c r="E107" s="12">
        <f aca="true" t="shared" si="2" ref="E107:E113">+D107/C107</f>
        <v>11.5</v>
      </c>
      <c r="F107">
        <v>17</v>
      </c>
      <c r="G107">
        <v>0</v>
      </c>
      <c r="H107">
        <v>0</v>
      </c>
    </row>
    <row r="108" spans="1:5" ht="12.75">
      <c r="A108" t="s">
        <v>115</v>
      </c>
      <c r="E108" s="12" t="e">
        <f t="shared" si="2"/>
        <v>#DIV/0!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v>7</v>
      </c>
      <c r="D116">
        <v>247</v>
      </c>
      <c r="E116" s="12">
        <f>+D116/C116</f>
        <v>35.285714285714285</v>
      </c>
      <c r="F116">
        <v>46</v>
      </c>
      <c r="G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9" ht="12.75">
      <c r="A119" t="s">
        <v>116</v>
      </c>
      <c r="I119" s="12" t="e">
        <f>+H119/G119*100</f>
        <v>#DIV/0!</v>
      </c>
    </row>
    <row r="120" spans="1:10" ht="12.75">
      <c r="A120" t="s">
        <v>120</v>
      </c>
      <c r="C120">
        <v>4</v>
      </c>
      <c r="D120">
        <v>3</v>
      </c>
      <c r="E120">
        <v>2</v>
      </c>
      <c r="F120">
        <v>1</v>
      </c>
      <c r="G120">
        <v>2</v>
      </c>
      <c r="H120">
        <v>1</v>
      </c>
      <c r="I120" s="12">
        <f>+H120/G120*100</f>
        <v>50</v>
      </c>
      <c r="J120">
        <v>23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8" ht="12.75">
      <c r="A123" t="s">
        <v>121</v>
      </c>
      <c r="C123">
        <v>1</v>
      </c>
      <c r="D123">
        <v>-1</v>
      </c>
      <c r="E123" s="12">
        <f>+D123/C123</f>
        <v>-1</v>
      </c>
      <c r="F123">
        <v>-1</v>
      </c>
      <c r="G123">
        <v>0</v>
      </c>
      <c r="H123">
        <v>0</v>
      </c>
    </row>
    <row r="124" spans="1:5" ht="12.75">
      <c r="A124" t="s">
        <v>124</v>
      </c>
      <c r="E124" s="12" t="e">
        <f aca="true" t="shared" si="3" ref="E124:E130">+D124/C124</f>
        <v>#DIV/0!</v>
      </c>
    </row>
    <row r="125" spans="1:5" ht="12.75">
      <c r="A125" t="s">
        <v>125</v>
      </c>
      <c r="E125" s="12" t="e">
        <f t="shared" si="3"/>
        <v>#DIV/0!</v>
      </c>
    </row>
    <row r="126" spans="1:5" ht="12.75">
      <c r="A126" t="s">
        <v>126</v>
      </c>
      <c r="E126" s="12" t="e">
        <f t="shared" si="3"/>
        <v>#DIV/0!</v>
      </c>
    </row>
    <row r="127" spans="1:5" ht="12.75">
      <c r="A127" t="s">
        <v>127</v>
      </c>
      <c r="E127" s="12" t="e">
        <f t="shared" si="3"/>
        <v>#DIV/0!</v>
      </c>
    </row>
    <row r="128" spans="1:5" ht="12.75">
      <c r="A128" t="s">
        <v>128</v>
      </c>
      <c r="E128" s="12" t="e">
        <f t="shared" si="3"/>
        <v>#DIV/0!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2" t="s">
        <v>68</v>
      </c>
      <c r="D132" s="2"/>
    </row>
    <row r="133" spans="1:3" ht="12.75">
      <c r="A133" t="s">
        <v>132</v>
      </c>
      <c r="C133">
        <v>1.5</v>
      </c>
    </row>
    <row r="134" spans="1:3" ht="12.75">
      <c r="A134" t="s">
        <v>123</v>
      </c>
      <c r="C134">
        <v>1</v>
      </c>
    </row>
    <row r="135" ht="12.75">
      <c r="A135" t="s">
        <v>126</v>
      </c>
    </row>
    <row r="136" spans="1:3" ht="12.75">
      <c r="A136" t="s">
        <v>128</v>
      </c>
      <c r="C136">
        <v>1</v>
      </c>
    </row>
    <row r="137" spans="1:3" ht="12.75">
      <c r="A137" t="s">
        <v>129</v>
      </c>
      <c r="C137">
        <v>0.5</v>
      </c>
    </row>
    <row r="138" ht="12.75">
      <c r="A138" t="s">
        <v>125</v>
      </c>
    </row>
    <row r="139" ht="12.75">
      <c r="A139" t="s">
        <v>127</v>
      </c>
    </row>
    <row r="140" ht="12.75">
      <c r="A140" t="s">
        <v>133</v>
      </c>
    </row>
    <row r="141" ht="12.75">
      <c r="A141" t="s">
        <v>134</v>
      </c>
    </row>
    <row r="142" ht="12.75">
      <c r="A142" t="s">
        <v>135</v>
      </c>
    </row>
    <row r="143" spans="1:3" ht="12.75">
      <c r="A143" t="s">
        <v>136</v>
      </c>
      <c r="C143">
        <v>2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21</v>
      </c>
      <c r="H148" t="s">
        <v>93</v>
      </c>
      <c r="M148">
        <v>12</v>
      </c>
    </row>
    <row r="149" spans="1:13" ht="12.75">
      <c r="A149" t="s">
        <v>94</v>
      </c>
      <c r="D149">
        <v>9</v>
      </c>
      <c r="H149" t="s">
        <v>94</v>
      </c>
      <c r="M149">
        <v>2</v>
      </c>
    </row>
    <row r="150" spans="1:13" ht="12.75">
      <c r="A150" t="s">
        <v>95</v>
      </c>
      <c r="D150" s="8">
        <f>D149/D148*100</f>
        <v>42.857142857142854</v>
      </c>
      <c r="H150" t="s">
        <v>95</v>
      </c>
      <c r="M150" s="8">
        <f>+M149/M148*100</f>
        <v>16.666666666666664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Y150"/>
  <sheetViews>
    <sheetView zoomScalePageLayoutView="0" workbookViewId="0" topLeftCell="A53">
      <selection activeCell="A69" sqref="A69:M143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F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10</v>
      </c>
      <c r="H6" s="1" t="s">
        <v>29</v>
      </c>
      <c r="M6" s="2">
        <v>25</v>
      </c>
    </row>
    <row r="8" spans="1:23" ht="12.75">
      <c r="A8" t="s">
        <v>1</v>
      </c>
      <c r="D8" s="2">
        <v>25</v>
      </c>
      <c r="H8" t="s">
        <v>1</v>
      </c>
      <c r="M8" s="2">
        <v>40</v>
      </c>
      <c r="V8">
        <f>+D8</f>
        <v>25</v>
      </c>
      <c r="W8">
        <f>+M8</f>
        <v>40</v>
      </c>
    </row>
    <row r="9" spans="1:23" ht="12.75">
      <c r="A9" t="s">
        <v>2</v>
      </c>
      <c r="D9" s="2">
        <v>58</v>
      </c>
      <c r="H9" t="s">
        <v>2</v>
      </c>
      <c r="M9" s="2">
        <v>128</v>
      </c>
      <c r="U9" s="13"/>
      <c r="V9">
        <f>+D13</f>
        <v>10</v>
      </c>
      <c r="W9">
        <f>+M13</f>
        <v>24</v>
      </c>
    </row>
    <row r="10" spans="1:23" ht="12.75">
      <c r="A10" s="1" t="s">
        <v>3</v>
      </c>
      <c r="D10" s="8">
        <f>+D9/D8</f>
        <v>2.32</v>
      </c>
      <c r="H10" s="1" t="s">
        <v>3</v>
      </c>
      <c r="M10" s="8">
        <f>M9/M8</f>
        <v>3.2</v>
      </c>
      <c r="V10">
        <f>+(D12-D13)/2</f>
        <v>8.5</v>
      </c>
      <c r="W10">
        <f>+(M12-M13)/2</f>
        <v>5</v>
      </c>
    </row>
    <row r="11" spans="22:23" ht="12.75">
      <c r="V11">
        <f>+D35/2</f>
        <v>3.5</v>
      </c>
      <c r="W11">
        <f>+M35/2</f>
        <v>2</v>
      </c>
    </row>
    <row r="12" spans="1:23" ht="12.75">
      <c r="A12" t="s">
        <v>4</v>
      </c>
      <c r="D12" s="2">
        <v>27</v>
      </c>
      <c r="H12" t="s">
        <v>4</v>
      </c>
      <c r="M12" s="2">
        <v>34</v>
      </c>
      <c r="V12">
        <f>+D39/2</f>
        <v>0.5</v>
      </c>
      <c r="W12">
        <f>+M39/2</f>
        <v>2</v>
      </c>
    </row>
    <row r="13" spans="1:23" ht="12.75">
      <c r="A13" t="s">
        <v>5</v>
      </c>
      <c r="D13" s="2">
        <v>10</v>
      </c>
      <c r="H13" t="s">
        <v>5</v>
      </c>
      <c r="M13" s="2">
        <v>24</v>
      </c>
      <c r="V13">
        <f>+D44/2</f>
        <v>1</v>
      </c>
      <c r="W13">
        <f>+M44/2</f>
        <v>0.5</v>
      </c>
    </row>
    <row r="14" spans="1:13" ht="12.75">
      <c r="A14" t="s">
        <v>6</v>
      </c>
      <c r="D14" s="8">
        <f>+D13/D12*100</f>
        <v>37.03703703703704</v>
      </c>
      <c r="H14" t="s">
        <v>6</v>
      </c>
      <c r="M14" s="8">
        <f>+M13/M12*100</f>
        <v>70.58823529411765</v>
      </c>
    </row>
    <row r="15" spans="1:24" ht="12.75">
      <c r="A15" t="s">
        <v>7</v>
      </c>
      <c r="D15" s="2">
        <v>126</v>
      </c>
      <c r="H15" t="s">
        <v>7</v>
      </c>
      <c r="M15" s="2">
        <v>321</v>
      </c>
      <c r="V15">
        <f>SUM(V8:V13)</f>
        <v>48.5</v>
      </c>
      <c r="W15">
        <f>SUM(W8:W13)</f>
        <v>73.5</v>
      </c>
      <c r="X15">
        <f>+W15+V15</f>
        <v>122</v>
      </c>
    </row>
    <row r="16" spans="1:23" ht="12.75">
      <c r="A16" t="s">
        <v>8</v>
      </c>
      <c r="D16" s="2">
        <v>4</v>
      </c>
      <c r="H16" t="s">
        <v>8</v>
      </c>
      <c r="M16" s="2">
        <v>3</v>
      </c>
      <c r="V16">
        <f>+V15/X15</f>
        <v>0.3975409836065574</v>
      </c>
      <c r="W16">
        <f>+W15/X15</f>
        <v>0.6024590163934426</v>
      </c>
    </row>
    <row r="17" spans="1:23" ht="12.75">
      <c r="A17" t="s">
        <v>9</v>
      </c>
      <c r="D17" s="2">
        <v>42</v>
      </c>
      <c r="H17" t="s">
        <v>9</v>
      </c>
      <c r="M17" s="2">
        <v>26</v>
      </c>
      <c r="V17">
        <f>+V16*60</f>
        <v>23.852459016393443</v>
      </c>
      <c r="W17">
        <f>+W16*60</f>
        <v>36.147540983606554</v>
      </c>
    </row>
    <row r="18" spans="1:23" ht="12.75">
      <c r="A18" t="s">
        <v>10</v>
      </c>
      <c r="D18">
        <f>+D15-D17</f>
        <v>84</v>
      </c>
      <c r="H18" t="s">
        <v>10</v>
      </c>
      <c r="M18">
        <f>+M15-M17</f>
        <v>295</v>
      </c>
      <c r="V18">
        <f>+V17-INT(V17)</f>
        <v>0.8524590163934427</v>
      </c>
      <c r="W18">
        <f>+W17-INT(W17)</f>
        <v>0.14754098360655377</v>
      </c>
    </row>
    <row r="19" spans="1:23" ht="12.75">
      <c r="A19" t="s">
        <v>11</v>
      </c>
      <c r="D19" s="7">
        <f>+D18/(D12+D16)</f>
        <v>2.7096774193548385</v>
      </c>
      <c r="H19" t="s">
        <v>11</v>
      </c>
      <c r="M19" s="7">
        <f>+M18/(M12+M16)</f>
        <v>7.972972972972973</v>
      </c>
      <c r="V19">
        <f>+V18*60</f>
        <v>51.14754098360656</v>
      </c>
      <c r="W19">
        <f>+W18*60</f>
        <v>8.852459016393226</v>
      </c>
    </row>
    <row r="20" spans="1:23" ht="12.75">
      <c r="A20" t="s">
        <v>12</v>
      </c>
      <c r="D20" s="7">
        <f>+D15/D13</f>
        <v>12.6</v>
      </c>
      <c r="H20" t="s">
        <v>12</v>
      </c>
      <c r="M20" s="7">
        <f>+M15/M13</f>
        <v>13.375</v>
      </c>
      <c r="U20">
        <v>0</v>
      </c>
      <c r="V20" s="11">
        <f>ROUND(V19,0)</f>
        <v>51</v>
      </c>
      <c r="W20">
        <f>ROUND(W19,0)</f>
        <v>9</v>
      </c>
    </row>
    <row r="21" spans="22:23" ht="12.75">
      <c r="V21">
        <f>INT(V17)</f>
        <v>23</v>
      </c>
      <c r="W21">
        <f>INT(W17)</f>
        <v>36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142</v>
      </c>
      <c r="H23" t="s">
        <v>14</v>
      </c>
      <c r="M23">
        <f>+M18+M9</f>
        <v>423</v>
      </c>
      <c r="Q23" s="9"/>
      <c r="R23" s="9"/>
      <c r="V23" s="14" t="str">
        <f>+V21&amp;V22&amp;V20</f>
        <v>23:51</v>
      </c>
      <c r="W23" s="9" t="str">
        <f>+W21&amp;W22&amp;W20</f>
        <v>36:9</v>
      </c>
    </row>
    <row r="24" spans="1:23" ht="12.75">
      <c r="A24" t="s">
        <v>15</v>
      </c>
      <c r="D24" s="7">
        <f>+D9/D23*100</f>
        <v>40.845070422535215</v>
      </c>
      <c r="H24" t="s">
        <v>15</v>
      </c>
      <c r="M24" s="7">
        <f>+M9/M23*100</f>
        <v>30.260047281323878</v>
      </c>
      <c r="V24" s="9" t="str">
        <f>IF(V20&lt;10,+V21&amp;V22&amp;$U$20&amp;V20,+V21&amp;V22&amp;V20)</f>
        <v>23:51</v>
      </c>
      <c r="W24" s="9" t="str">
        <f>IF(W20&lt;10,+W21&amp;W22&amp;$U$20&amp;W20,+W21&amp;W22&amp;W20)</f>
        <v>36:09</v>
      </c>
    </row>
    <row r="25" spans="1:13" ht="12.75">
      <c r="A25" s="1" t="s">
        <v>86</v>
      </c>
      <c r="D25" s="7">
        <f>+D18/D23*100</f>
        <v>59.154929577464785</v>
      </c>
      <c r="H25" s="1" t="s">
        <v>86</v>
      </c>
      <c r="M25" s="7">
        <f>+M18/M23*100</f>
        <v>69.73995271867612</v>
      </c>
    </row>
    <row r="27" spans="1:13" ht="12.75">
      <c r="A27" t="s">
        <v>16</v>
      </c>
      <c r="D27">
        <f>+D8+D12+D16</f>
        <v>56</v>
      </c>
      <c r="H27" t="s">
        <v>16</v>
      </c>
      <c r="M27">
        <f>+M8+M12+M16</f>
        <v>77</v>
      </c>
    </row>
    <row r="28" spans="1:13" ht="12.75">
      <c r="A28" t="s">
        <v>17</v>
      </c>
      <c r="D28" s="8">
        <f>+D23/D27</f>
        <v>2.5357142857142856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5.4935064935064934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5</v>
      </c>
      <c r="H31" t="s">
        <v>19</v>
      </c>
      <c r="M31" s="2">
        <v>2</v>
      </c>
    </row>
    <row r="32" spans="1:13" ht="12.75">
      <c r="A32" t="s">
        <v>20</v>
      </c>
      <c r="D32" s="2">
        <v>50</v>
      </c>
      <c r="H32" t="s">
        <v>20</v>
      </c>
      <c r="M32" s="2">
        <v>10</v>
      </c>
    </row>
    <row r="33" spans="1:13" ht="12.75">
      <c r="A33" t="s">
        <v>21</v>
      </c>
      <c r="D33" s="2">
        <v>0</v>
      </c>
      <c r="H33" t="s">
        <v>21</v>
      </c>
      <c r="M33" s="2">
        <v>0</v>
      </c>
    </row>
    <row r="35" spans="1:13" ht="12.75">
      <c r="A35" t="s">
        <v>22</v>
      </c>
      <c r="D35" s="2">
        <v>7</v>
      </c>
      <c r="H35" t="s">
        <v>22</v>
      </c>
      <c r="M35" s="2">
        <v>4</v>
      </c>
    </row>
    <row r="36" spans="1:13" ht="12.75">
      <c r="A36" t="s">
        <v>23</v>
      </c>
      <c r="D36" s="2">
        <v>296</v>
      </c>
      <c r="H36" t="s">
        <v>23</v>
      </c>
      <c r="M36" s="2">
        <v>150</v>
      </c>
    </row>
    <row r="37" spans="1:13" ht="12.75">
      <c r="A37" t="s">
        <v>24</v>
      </c>
      <c r="D37" s="8">
        <f>+D36/D35</f>
        <v>42.285714285714285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37.5</v>
      </c>
    </row>
    <row r="39" spans="1:13" ht="12.75">
      <c r="A39" t="s">
        <v>25</v>
      </c>
      <c r="D39" s="2">
        <v>1</v>
      </c>
      <c r="H39" t="s">
        <v>25</v>
      </c>
      <c r="M39" s="2">
        <v>4</v>
      </c>
    </row>
    <row r="40" spans="1:13" ht="12.75">
      <c r="A40" t="s">
        <v>26</v>
      </c>
      <c r="D40" s="2">
        <v>-3</v>
      </c>
      <c r="H40" t="s">
        <v>26</v>
      </c>
      <c r="M40" s="2">
        <v>33</v>
      </c>
    </row>
    <row r="41" spans="1:13" ht="12.75">
      <c r="A41" t="s">
        <v>27</v>
      </c>
      <c r="D41" s="8">
        <f>+D40/D39</f>
        <v>-3</v>
      </c>
      <c r="H41" t="s">
        <v>27</v>
      </c>
      <c r="M41" s="8">
        <f>+M40/M39</f>
        <v>8.25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2</v>
      </c>
      <c r="H44" t="s">
        <v>30</v>
      </c>
      <c r="M44" s="2">
        <v>1</v>
      </c>
    </row>
    <row r="45" spans="1:13" ht="12.75">
      <c r="A45" t="s">
        <v>26</v>
      </c>
      <c r="D45" s="2">
        <v>34</v>
      </c>
      <c r="H45" t="s">
        <v>26</v>
      </c>
      <c r="M45" s="2">
        <v>13</v>
      </c>
    </row>
    <row r="46" spans="1:13" ht="12.75">
      <c r="A46" t="s">
        <v>27</v>
      </c>
      <c r="D46" s="8">
        <f>+D45/D44</f>
        <v>17</v>
      </c>
      <c r="H46" t="s">
        <v>27</v>
      </c>
      <c r="M46" s="8">
        <f>+M45/M44</f>
        <v>13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6</v>
      </c>
      <c r="H49" t="s">
        <v>31</v>
      </c>
      <c r="M49" s="2">
        <v>6</v>
      </c>
    </row>
    <row r="50" spans="1:13" ht="12.75">
      <c r="A50" t="s">
        <v>32</v>
      </c>
      <c r="D50" s="2">
        <v>59</v>
      </c>
      <c r="H50" t="s">
        <v>32</v>
      </c>
      <c r="M50" s="2">
        <v>65</v>
      </c>
    </row>
    <row r="52" spans="1:13" ht="12.75">
      <c r="A52" t="s">
        <v>33</v>
      </c>
      <c r="D52" s="2">
        <v>1</v>
      </c>
      <c r="H52" t="s">
        <v>33</v>
      </c>
      <c r="M52" s="2">
        <v>4</v>
      </c>
    </row>
    <row r="53" spans="1:13" ht="12.75">
      <c r="A53" t="s">
        <v>101</v>
      </c>
      <c r="D53" s="2">
        <v>1</v>
      </c>
      <c r="H53" t="s">
        <v>101</v>
      </c>
      <c r="M53" s="2">
        <v>3</v>
      </c>
    </row>
    <row r="55" spans="1:13" ht="12.75">
      <c r="A55" t="s">
        <v>34</v>
      </c>
      <c r="D55" s="2">
        <v>6</v>
      </c>
      <c r="H55" t="s">
        <v>34</v>
      </c>
      <c r="M55" s="2">
        <v>24</v>
      </c>
    </row>
    <row r="56" spans="1:13" ht="12.75">
      <c r="A56" t="s">
        <v>35</v>
      </c>
      <c r="D56" s="2">
        <v>1</v>
      </c>
      <c r="H56" t="s">
        <v>35</v>
      </c>
      <c r="M56" s="2">
        <v>3</v>
      </c>
    </row>
    <row r="57" spans="1:13" ht="12.75">
      <c r="A57" t="s">
        <v>36</v>
      </c>
      <c r="D57" s="2">
        <v>0</v>
      </c>
      <c r="H57" t="s">
        <v>36</v>
      </c>
      <c r="M57" s="2">
        <v>0</v>
      </c>
    </row>
    <row r="58" spans="1:13" ht="12.75">
      <c r="A58" t="s">
        <v>37</v>
      </c>
      <c r="D58" s="2">
        <v>1</v>
      </c>
      <c r="H58" t="s">
        <v>37</v>
      </c>
      <c r="M58" s="2">
        <v>3</v>
      </c>
    </row>
    <row r="59" spans="1:13" ht="12.75">
      <c r="A59" t="s">
        <v>38</v>
      </c>
      <c r="D59" s="2">
        <v>0</v>
      </c>
      <c r="H59" t="s">
        <v>38</v>
      </c>
      <c r="M59" s="2">
        <v>0</v>
      </c>
    </row>
    <row r="60" spans="1:13" ht="12.75">
      <c r="A60" t="s">
        <v>39</v>
      </c>
      <c r="D60" s="2">
        <v>0</v>
      </c>
      <c r="H60" t="s">
        <v>39</v>
      </c>
      <c r="M60" s="2">
        <v>3</v>
      </c>
    </row>
    <row r="61" spans="1:13" ht="12.75">
      <c r="A61" t="s">
        <v>40</v>
      </c>
      <c r="D61" s="2">
        <v>0</v>
      </c>
      <c r="H61" t="s">
        <v>40</v>
      </c>
      <c r="M61" s="2">
        <v>0</v>
      </c>
    </row>
    <row r="62" spans="1:13" ht="12.75">
      <c r="A62" t="s">
        <v>41</v>
      </c>
      <c r="D62" s="2">
        <v>0</v>
      </c>
      <c r="H62" t="s">
        <v>41</v>
      </c>
      <c r="M62" s="2">
        <v>1</v>
      </c>
    </row>
    <row r="63" spans="1:13" ht="12.75">
      <c r="A63" t="s">
        <v>42</v>
      </c>
      <c r="D63" s="2">
        <v>0</v>
      </c>
      <c r="H63" t="s">
        <v>42</v>
      </c>
      <c r="M63" s="2">
        <v>2</v>
      </c>
    </row>
    <row r="64" spans="1:13" ht="12.75">
      <c r="A64" t="s">
        <v>43</v>
      </c>
      <c r="D64" s="7">
        <v>0</v>
      </c>
      <c r="E64" s="7"/>
      <c r="F64" s="7"/>
      <c r="G64" s="7"/>
      <c r="H64" s="7" t="s">
        <v>43</v>
      </c>
      <c r="I64" s="7"/>
      <c r="J64" s="7"/>
      <c r="K64" s="7"/>
      <c r="L64" s="7"/>
      <c r="M64" s="8">
        <f>+M62/M63*100</f>
        <v>50</v>
      </c>
    </row>
    <row r="65" spans="1:13" ht="12.75">
      <c r="A65" t="s">
        <v>89</v>
      </c>
      <c r="D65" s="10" t="str">
        <f>IF(V20&lt;10,V24,V23)</f>
        <v>23:51</v>
      </c>
      <c r="E65" s="8"/>
      <c r="F65" s="8"/>
      <c r="H65" t="s">
        <v>89</v>
      </c>
      <c r="M65" s="10" t="str">
        <f>IF(W20&lt;10,W24,W23)</f>
        <v>36:09</v>
      </c>
    </row>
    <row r="66" spans="1:13" ht="12.75">
      <c r="A66" t="s">
        <v>102</v>
      </c>
      <c r="D66" s="8">
        <f>D150</f>
        <v>20</v>
      </c>
      <c r="H66" t="s">
        <v>102</v>
      </c>
      <c r="M66" s="8">
        <f>M150</f>
        <v>52.63157894736842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2" t="s">
        <v>80</v>
      </c>
    </row>
    <row r="70" spans="1:8" ht="12.75">
      <c r="A70" t="s">
        <v>109</v>
      </c>
      <c r="C70">
        <v>12</v>
      </c>
      <c r="D70">
        <v>33</v>
      </c>
      <c r="E70" s="12">
        <f aca="true" t="shared" si="0" ref="E70:E80">+D70/C70</f>
        <v>2.75</v>
      </c>
      <c r="F70">
        <v>9</v>
      </c>
      <c r="G70">
        <v>0</v>
      </c>
      <c r="H70">
        <v>0</v>
      </c>
    </row>
    <row r="71" spans="1:8" ht="12.75">
      <c r="A71" t="s">
        <v>108</v>
      </c>
      <c r="C71">
        <v>9</v>
      </c>
      <c r="D71">
        <v>20</v>
      </c>
      <c r="E71" s="12">
        <f t="shared" si="0"/>
        <v>2.2222222222222223</v>
      </c>
      <c r="F71">
        <v>6</v>
      </c>
      <c r="G71">
        <v>0</v>
      </c>
      <c r="H71">
        <v>1</v>
      </c>
    </row>
    <row r="72" spans="1:8" ht="12.75">
      <c r="A72" t="s">
        <v>110</v>
      </c>
      <c r="C72">
        <v>3</v>
      </c>
      <c r="D72">
        <v>3</v>
      </c>
      <c r="E72" s="12">
        <f t="shared" si="0"/>
        <v>1</v>
      </c>
      <c r="F72">
        <v>1</v>
      </c>
      <c r="G72">
        <v>0</v>
      </c>
      <c r="H72">
        <v>0</v>
      </c>
    </row>
    <row r="73" spans="1:5" ht="12.75">
      <c r="A73" t="s">
        <v>111</v>
      </c>
      <c r="E73" s="12" t="e">
        <f t="shared" si="0"/>
        <v>#DIV/0!</v>
      </c>
    </row>
    <row r="74" spans="1:5" ht="12.75">
      <c r="A74" t="s">
        <v>112</v>
      </c>
      <c r="E74" s="12" t="e">
        <f t="shared" si="0"/>
        <v>#DIV/0!</v>
      </c>
    </row>
    <row r="75" spans="1:5" ht="12.75">
      <c r="A75" t="s">
        <v>106</v>
      </c>
      <c r="E75" s="12" t="e">
        <f t="shared" si="0"/>
        <v>#DIV/0!</v>
      </c>
    </row>
    <row r="76" spans="1:8" ht="12.75">
      <c r="A76" t="s">
        <v>113</v>
      </c>
      <c r="C76">
        <v>1</v>
      </c>
      <c r="D76">
        <v>2</v>
      </c>
      <c r="E76" s="12">
        <f t="shared" si="0"/>
        <v>2</v>
      </c>
      <c r="F76">
        <v>2</v>
      </c>
      <c r="G76">
        <v>0</v>
      </c>
      <c r="H76">
        <v>0</v>
      </c>
    </row>
    <row r="77" spans="1:5" ht="12.75">
      <c r="A77" t="s">
        <v>114</v>
      </c>
      <c r="E77" s="12" t="e">
        <f t="shared" si="0"/>
        <v>#DIV/0!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2</v>
      </c>
      <c r="D83">
        <v>31</v>
      </c>
      <c r="E83" s="12">
        <f aca="true" t="shared" si="1" ref="E83:E92">+D83/C83</f>
        <v>15.5</v>
      </c>
      <c r="F83">
        <v>26</v>
      </c>
      <c r="G83">
        <v>0</v>
      </c>
      <c r="H83">
        <v>0</v>
      </c>
    </row>
    <row r="84" spans="1:8" ht="12.75">
      <c r="A84" t="s">
        <v>118</v>
      </c>
      <c r="C84">
        <v>3</v>
      </c>
      <c r="D84">
        <v>52</v>
      </c>
      <c r="E84" s="12">
        <f t="shared" si="1"/>
        <v>17.333333333333332</v>
      </c>
      <c r="F84">
        <v>29</v>
      </c>
      <c r="G84">
        <v>0</v>
      </c>
      <c r="H84">
        <v>0</v>
      </c>
    </row>
    <row r="85" spans="1:8" ht="12.75">
      <c r="A85" t="s">
        <v>108</v>
      </c>
      <c r="C85">
        <v>3</v>
      </c>
      <c r="D85">
        <v>34</v>
      </c>
      <c r="E85" s="12">
        <f t="shared" si="1"/>
        <v>11.333333333333334</v>
      </c>
      <c r="F85">
        <v>13</v>
      </c>
      <c r="G85">
        <v>0</v>
      </c>
      <c r="H85">
        <v>0</v>
      </c>
    </row>
    <row r="86" spans="1:8" ht="12.75">
      <c r="A86" t="s">
        <v>113</v>
      </c>
      <c r="C86">
        <v>2</v>
      </c>
      <c r="D86">
        <v>9</v>
      </c>
      <c r="E86" s="12">
        <f t="shared" si="1"/>
        <v>4.5</v>
      </c>
      <c r="F86">
        <v>7</v>
      </c>
      <c r="G86">
        <v>1</v>
      </c>
      <c r="H86">
        <v>0</v>
      </c>
    </row>
    <row r="87" spans="1:5" ht="12.75">
      <c r="A87" t="s">
        <v>109</v>
      </c>
      <c r="E87" s="12" t="e">
        <f t="shared" si="1"/>
        <v>#DIV/0!</v>
      </c>
    </row>
    <row r="88" spans="1:5" ht="12.75">
      <c r="A88" t="s">
        <v>114</v>
      </c>
      <c r="E88" s="12" t="e">
        <f t="shared" si="1"/>
        <v>#DIV/0!</v>
      </c>
    </row>
    <row r="89" spans="1:5" ht="12.75">
      <c r="A89" t="s">
        <v>119</v>
      </c>
      <c r="E89" s="12" t="e">
        <f t="shared" si="1"/>
        <v>#DIV/0!</v>
      </c>
    </row>
    <row r="90" spans="1:5" ht="12.75">
      <c r="A90" t="s">
        <v>112</v>
      </c>
      <c r="E90" s="12" t="e">
        <f t="shared" si="1"/>
        <v>#DIV/0!</v>
      </c>
    </row>
    <row r="91" spans="1:5" ht="12.75">
      <c r="A91" t="s">
        <v>115</v>
      </c>
      <c r="E91" s="12" t="e">
        <f t="shared" si="1"/>
        <v>#DIV/0!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27</v>
      </c>
      <c r="D96">
        <v>10</v>
      </c>
      <c r="E96" s="12">
        <f>+D96/C96*100</f>
        <v>37.03703703703704</v>
      </c>
      <c r="F96">
        <v>126</v>
      </c>
      <c r="G96">
        <v>1</v>
      </c>
      <c r="H96">
        <v>29</v>
      </c>
      <c r="I96">
        <v>5</v>
      </c>
      <c r="J96" s="8">
        <f>+G96/C96*100</f>
        <v>3.7037037037037033</v>
      </c>
      <c r="K96" s="12">
        <f>+I96/C96*100</f>
        <v>18.51851851851852</v>
      </c>
      <c r="L96" s="12">
        <f>+F96/C96</f>
        <v>4.666666666666667</v>
      </c>
      <c r="M96" s="12">
        <f>100*(S96+U96+W96+Y96)/6</f>
        <v>25.15432098765432</v>
      </c>
      <c r="R96">
        <f>+(E96-30)/20</f>
        <v>0.3518518518518519</v>
      </c>
      <c r="S96" s="2">
        <f>IF(R96&lt;0,0,R96)</f>
        <v>0.3518518518518519</v>
      </c>
      <c r="T96" s="6">
        <f>+(L96-3)/4</f>
        <v>0.41666666666666674</v>
      </c>
      <c r="U96" s="2">
        <f>IF(T96&lt;0,0,T96)</f>
        <v>0.41666666666666674</v>
      </c>
      <c r="V96">
        <f>+J96/5</f>
        <v>0.7407407407407407</v>
      </c>
      <c r="W96" s="2">
        <f>IF(V96&lt;0,0,V96)</f>
        <v>0.7407407407407407</v>
      </c>
      <c r="X96">
        <f>(9.5-K96)/4</f>
        <v>-2.2546296296296298</v>
      </c>
      <c r="Y96" s="2">
        <f>IF(X96&lt;0,0,X96)</f>
        <v>0</v>
      </c>
    </row>
    <row r="97" spans="1:25" ht="12.75">
      <c r="A97" t="s">
        <v>106</v>
      </c>
      <c r="E97" s="12" t="e">
        <f>+D97/C97*100</f>
        <v>#DIV/0!</v>
      </c>
      <c r="J97" s="8" t="e">
        <f>+G97/C97*100</f>
        <v>#DIV/0!</v>
      </c>
      <c r="K97" s="12" t="e">
        <f>+I97/C97*100</f>
        <v>#DIV/0!</v>
      </c>
      <c r="L97" s="12" t="e">
        <f>+F97/C97</f>
        <v>#DIV/0!</v>
      </c>
      <c r="M97" s="12" t="e">
        <f>100*(S97+U97+W97+Y97)/6</f>
        <v>#DIV/0!</v>
      </c>
      <c r="R97" t="e">
        <f>+(E97-30)/20</f>
        <v>#DIV/0!</v>
      </c>
      <c r="S97" s="2" t="e">
        <f>IF(R97&lt;0,0,R97)</f>
        <v>#DIV/0!</v>
      </c>
      <c r="T97" s="6" t="e">
        <f>+(L97-3)/4</f>
        <v>#DIV/0!</v>
      </c>
      <c r="U97" s="2" t="e">
        <f>IF(T97&lt;0,0,T97)</f>
        <v>#DIV/0!</v>
      </c>
      <c r="V97" t="e">
        <f>+J97/5</f>
        <v>#DIV/0!</v>
      </c>
      <c r="W97" s="2" t="e">
        <f>IF(V97&lt;0,0,V97)</f>
        <v>#DIV/0!</v>
      </c>
      <c r="X97" t="e">
        <f>(9.5-K97)/4</f>
        <v>#DIV/0!</v>
      </c>
      <c r="Y97" s="2" t="e">
        <f>IF(X97&lt;0,0,X97)</f>
        <v>#DIV/0!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E99" s="12" t="e">
        <f>+D99/C99*100</f>
        <v>#DIV/0!</v>
      </c>
      <c r="J99" s="8" t="e">
        <f>+G99/C99*100</f>
        <v>#DIV/0!</v>
      </c>
      <c r="K99" s="12" t="e">
        <f>+I99/C99*100</f>
        <v>#DIV/0!</v>
      </c>
      <c r="L99" s="12" t="e">
        <f>+F99/C99</f>
        <v>#DIV/0!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6" ht="12.75">
      <c r="A102" t="s">
        <v>118</v>
      </c>
      <c r="F102" s="12" t="e">
        <f>+E102/C102</f>
        <v>#DIV/0!</v>
      </c>
    </row>
    <row r="103" spans="1:6" ht="12.75">
      <c r="A103" t="s">
        <v>117</v>
      </c>
      <c r="F103" s="12" t="e">
        <f>+E103/C103</f>
        <v>#DIV/0!</v>
      </c>
    </row>
    <row r="104" spans="1:9" ht="12.75">
      <c r="A104" t="s">
        <v>121</v>
      </c>
      <c r="C104">
        <v>1</v>
      </c>
      <c r="D104">
        <v>0</v>
      </c>
      <c r="E104">
        <v>-3</v>
      </c>
      <c r="F104" s="12">
        <f>+E104/C104</f>
        <v>-3</v>
      </c>
      <c r="G104">
        <v>-3</v>
      </c>
      <c r="H104">
        <v>0</v>
      </c>
      <c r="I104">
        <v>0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5" ht="12.75">
      <c r="A107" t="s">
        <v>111</v>
      </c>
      <c r="E107" s="12" t="e">
        <f aca="true" t="shared" si="2" ref="E107:E113">+D107/C107</f>
        <v>#DIV/0!</v>
      </c>
    </row>
    <row r="108" spans="1:5" ht="12.75">
      <c r="A108" t="s">
        <v>115</v>
      </c>
      <c r="E108" s="12" t="e">
        <f t="shared" si="2"/>
        <v>#DIV/0!</v>
      </c>
    </row>
    <row r="109" spans="1:8" ht="12.75">
      <c r="A109" t="s">
        <v>121</v>
      </c>
      <c r="C109">
        <v>2</v>
      </c>
      <c r="D109">
        <v>34</v>
      </c>
      <c r="E109" s="12">
        <f t="shared" si="2"/>
        <v>17</v>
      </c>
      <c r="F109">
        <v>19</v>
      </c>
      <c r="G109">
        <v>0</v>
      </c>
      <c r="H109">
        <v>0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v>7</v>
      </c>
      <c r="D116">
        <v>296</v>
      </c>
      <c r="E116" s="12">
        <f>+D116/C116</f>
        <v>42.285714285714285</v>
      </c>
      <c r="F116">
        <v>60</v>
      </c>
      <c r="G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9" ht="12.75">
      <c r="A119" t="s">
        <v>116</v>
      </c>
      <c r="I119" s="12" t="e">
        <f>+H119/G119*100</f>
        <v>#DIV/0!</v>
      </c>
    </row>
    <row r="120" spans="1:10" ht="12.75">
      <c r="A120" t="s">
        <v>120</v>
      </c>
      <c r="C120">
        <v>2</v>
      </c>
      <c r="D120">
        <v>1</v>
      </c>
      <c r="E120">
        <v>1</v>
      </c>
      <c r="F120">
        <v>0</v>
      </c>
      <c r="G120">
        <v>0</v>
      </c>
      <c r="H120">
        <v>0</v>
      </c>
      <c r="I120" s="12">
        <v>0</v>
      </c>
      <c r="J120">
        <v>0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5" ht="12.75">
      <c r="A123" t="s">
        <v>121</v>
      </c>
      <c r="E123" s="12" t="e">
        <f>+D123/C123</f>
        <v>#DIV/0!</v>
      </c>
    </row>
    <row r="124" spans="1:5" ht="12.75">
      <c r="A124" t="s">
        <v>124</v>
      </c>
      <c r="E124" s="12" t="e">
        <f aca="true" t="shared" si="3" ref="E124:E130">+D124/C124</f>
        <v>#DIV/0!</v>
      </c>
    </row>
    <row r="125" spans="1:8" ht="12.75">
      <c r="A125" t="s">
        <v>125</v>
      </c>
      <c r="C125">
        <v>2</v>
      </c>
      <c r="D125">
        <v>10</v>
      </c>
      <c r="E125" s="12">
        <f t="shared" si="3"/>
        <v>5</v>
      </c>
      <c r="F125">
        <v>10</v>
      </c>
      <c r="G125">
        <v>0</v>
      </c>
      <c r="H125">
        <v>0</v>
      </c>
    </row>
    <row r="126" spans="1:5" ht="12.75">
      <c r="A126" t="s">
        <v>126</v>
      </c>
      <c r="E126" s="12" t="e">
        <f t="shared" si="3"/>
        <v>#DIV/0!</v>
      </c>
    </row>
    <row r="127" spans="1:5" ht="12.75">
      <c r="A127" t="s">
        <v>127</v>
      </c>
      <c r="E127" s="12" t="e">
        <f t="shared" si="3"/>
        <v>#DIV/0!</v>
      </c>
    </row>
    <row r="128" spans="1:5" ht="12.75">
      <c r="A128" t="s">
        <v>128</v>
      </c>
      <c r="E128" s="12" t="e">
        <f t="shared" si="3"/>
        <v>#DIV/0!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ht="12.75">
      <c r="A133" t="s">
        <v>132</v>
      </c>
    </row>
    <row r="134" ht="12.75">
      <c r="A134" t="s">
        <v>123</v>
      </c>
    </row>
    <row r="135" ht="12.75">
      <c r="A135" t="s">
        <v>126</v>
      </c>
    </row>
    <row r="136" ht="12.75">
      <c r="A136" t="s">
        <v>128</v>
      </c>
    </row>
    <row r="137" ht="12.75">
      <c r="A137" t="s">
        <v>129</v>
      </c>
    </row>
    <row r="138" ht="12.75">
      <c r="A138" t="s">
        <v>125</v>
      </c>
    </row>
    <row r="139" ht="12.75">
      <c r="A139" t="s">
        <v>127</v>
      </c>
    </row>
    <row r="140" spans="1:3" ht="12.75">
      <c r="A140" t="s">
        <v>133</v>
      </c>
      <c r="C140">
        <v>1</v>
      </c>
    </row>
    <row r="141" spans="1:3" ht="12.75">
      <c r="A141" t="s">
        <v>134</v>
      </c>
      <c r="C141">
        <v>0.5</v>
      </c>
    </row>
    <row r="142" spans="1:3" ht="12.75">
      <c r="A142" t="s">
        <v>135</v>
      </c>
      <c r="C142">
        <v>1</v>
      </c>
    </row>
    <row r="143" spans="1:3" ht="12.75">
      <c r="A143" t="s">
        <v>136</v>
      </c>
      <c r="C143">
        <v>0.5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15</v>
      </c>
      <c r="H148" t="s">
        <v>93</v>
      </c>
      <c r="M148">
        <v>19</v>
      </c>
    </row>
    <row r="149" spans="1:13" ht="12.75">
      <c r="A149" t="s">
        <v>94</v>
      </c>
      <c r="D149">
        <v>3</v>
      </c>
      <c r="H149" t="s">
        <v>94</v>
      </c>
      <c r="M149">
        <v>10</v>
      </c>
    </row>
    <row r="150" spans="1:13" ht="12.75">
      <c r="A150" t="s">
        <v>95</v>
      </c>
      <c r="D150" s="8">
        <f>D149/D148*100</f>
        <v>20</v>
      </c>
      <c r="H150" t="s">
        <v>95</v>
      </c>
      <c r="M150" s="8">
        <f>+M149/M148*100</f>
        <v>52.63157894736842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Y1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17</v>
      </c>
      <c r="H6" s="1" t="s">
        <v>29</v>
      </c>
      <c r="M6" s="2">
        <v>12</v>
      </c>
    </row>
    <row r="8" spans="1:23" ht="12.75">
      <c r="A8" t="s">
        <v>1</v>
      </c>
      <c r="D8" s="2">
        <v>37</v>
      </c>
      <c r="H8" t="s">
        <v>1</v>
      </c>
      <c r="M8" s="2">
        <v>19</v>
      </c>
      <c r="V8">
        <f>+D8</f>
        <v>37</v>
      </c>
      <c r="W8">
        <f>+M8</f>
        <v>19</v>
      </c>
    </row>
    <row r="9" spans="1:23" ht="12.75">
      <c r="A9" t="s">
        <v>2</v>
      </c>
      <c r="D9" s="2">
        <v>149</v>
      </c>
      <c r="H9" t="s">
        <v>2</v>
      </c>
      <c r="M9" s="2">
        <v>35</v>
      </c>
      <c r="U9" s="13"/>
      <c r="V9">
        <f>+D13</f>
        <v>17</v>
      </c>
      <c r="W9">
        <f>+M13</f>
        <v>21</v>
      </c>
    </row>
    <row r="10" spans="1:23" ht="12.75">
      <c r="A10" s="1" t="s">
        <v>3</v>
      </c>
      <c r="D10" s="8">
        <f>+D9/D8</f>
        <v>4.027027027027027</v>
      </c>
      <c r="H10" s="1" t="s">
        <v>3</v>
      </c>
      <c r="M10" s="8">
        <f>+M9/M8</f>
        <v>1.8421052631578947</v>
      </c>
      <c r="V10">
        <f>+(D12-D13)/2</f>
        <v>5.5</v>
      </c>
      <c r="W10">
        <f>+(M12-M13)/2</f>
        <v>8.5</v>
      </c>
    </row>
    <row r="11" spans="22:23" ht="12.75">
      <c r="V11">
        <f>+D35/2</f>
        <v>3</v>
      </c>
      <c r="W11">
        <f>+M35/2</f>
        <v>3.5</v>
      </c>
    </row>
    <row r="12" spans="1:23" ht="12.75">
      <c r="A12" t="s">
        <v>4</v>
      </c>
      <c r="D12" s="2">
        <v>28</v>
      </c>
      <c r="H12" t="s">
        <v>4</v>
      </c>
      <c r="M12" s="2">
        <v>38</v>
      </c>
      <c r="V12">
        <f>+D39/2</f>
        <v>1.5</v>
      </c>
      <c r="W12">
        <f>+M39/2</f>
        <v>1</v>
      </c>
    </row>
    <row r="13" spans="1:23" ht="12.75">
      <c r="A13" t="s">
        <v>5</v>
      </c>
      <c r="D13" s="2">
        <v>17</v>
      </c>
      <c r="H13" t="s">
        <v>5</v>
      </c>
      <c r="M13" s="2">
        <v>21</v>
      </c>
      <c r="V13">
        <f>+D44/2</f>
        <v>1</v>
      </c>
      <c r="W13">
        <f>+M44/2</f>
        <v>2</v>
      </c>
    </row>
    <row r="14" spans="1:13" ht="12.75">
      <c r="A14" t="s">
        <v>6</v>
      </c>
      <c r="D14" s="8">
        <f>+D13/D12*100</f>
        <v>60.71428571428571</v>
      </c>
      <c r="H14" t="s">
        <v>6</v>
      </c>
      <c r="M14" s="8">
        <f>+M13/M12*100</f>
        <v>55.26315789473685</v>
      </c>
    </row>
    <row r="15" spans="1:24" ht="12.75">
      <c r="A15" t="s">
        <v>7</v>
      </c>
      <c r="D15" s="2">
        <v>206</v>
      </c>
      <c r="H15" t="s">
        <v>7</v>
      </c>
      <c r="M15" s="2">
        <v>231</v>
      </c>
      <c r="V15">
        <f>SUM(V8:V13)</f>
        <v>65</v>
      </c>
      <c r="W15">
        <f>SUM(W8:W13)</f>
        <v>55</v>
      </c>
      <c r="X15">
        <f>+W15+V15</f>
        <v>120</v>
      </c>
    </row>
    <row r="16" spans="1:23" ht="12.75">
      <c r="A16" t="s">
        <v>8</v>
      </c>
      <c r="D16" s="2">
        <v>3</v>
      </c>
      <c r="H16" t="s">
        <v>8</v>
      </c>
      <c r="M16" s="2">
        <v>3</v>
      </c>
      <c r="V16">
        <f>+V15/X15</f>
        <v>0.5416666666666666</v>
      </c>
      <c r="W16">
        <f>+W15/X15</f>
        <v>0.4583333333333333</v>
      </c>
    </row>
    <row r="17" spans="1:23" ht="12.75">
      <c r="A17" t="s">
        <v>9</v>
      </c>
      <c r="D17" s="2">
        <v>20</v>
      </c>
      <c r="H17" t="s">
        <v>9</v>
      </c>
      <c r="M17" s="2">
        <v>43</v>
      </c>
      <c r="V17">
        <f>+V16*60</f>
        <v>32.5</v>
      </c>
      <c r="W17">
        <f>+W16*60</f>
        <v>27.5</v>
      </c>
    </row>
    <row r="18" spans="1:23" ht="12.75">
      <c r="A18" t="s">
        <v>10</v>
      </c>
      <c r="D18">
        <f>+D15-D17</f>
        <v>186</v>
      </c>
      <c r="H18" t="s">
        <v>10</v>
      </c>
      <c r="M18">
        <f>+M15-M17</f>
        <v>188</v>
      </c>
      <c r="V18">
        <f>+V17-INT(V17)</f>
        <v>0.5</v>
      </c>
      <c r="W18">
        <f>+W17-INT(W17)</f>
        <v>0.5</v>
      </c>
    </row>
    <row r="19" spans="1:23" ht="12.75">
      <c r="A19" t="s">
        <v>11</v>
      </c>
      <c r="D19" s="7">
        <f>+D18/(D12+D16)</f>
        <v>6</v>
      </c>
      <c r="H19" t="s">
        <v>11</v>
      </c>
      <c r="M19" s="7">
        <f>+M18/(M12+M16)</f>
        <v>4.585365853658536</v>
      </c>
      <c r="V19">
        <f>+V18*60</f>
        <v>30</v>
      </c>
      <c r="W19">
        <f>+W18*60</f>
        <v>30</v>
      </c>
    </row>
    <row r="20" spans="1:23" ht="12.75">
      <c r="A20" t="s">
        <v>12</v>
      </c>
      <c r="D20" s="7">
        <f>+D15/D13</f>
        <v>12.117647058823529</v>
      </c>
      <c r="H20" t="s">
        <v>12</v>
      </c>
      <c r="M20" s="7">
        <f>+M15/M13</f>
        <v>11</v>
      </c>
      <c r="U20">
        <v>0</v>
      </c>
      <c r="V20" s="11">
        <f>ROUND(V19,0)</f>
        <v>30</v>
      </c>
      <c r="W20">
        <f>ROUND(W19,0)</f>
        <v>30</v>
      </c>
    </row>
    <row r="21" spans="22:23" ht="12.75">
      <c r="V21">
        <f>INT(V17)</f>
        <v>32</v>
      </c>
      <c r="W21">
        <f>INT(W17)</f>
        <v>27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335</v>
      </c>
      <c r="H23" t="s">
        <v>14</v>
      </c>
      <c r="M23">
        <f>+M18+M9</f>
        <v>223</v>
      </c>
      <c r="Q23" s="9"/>
      <c r="R23" s="9"/>
      <c r="V23" s="14" t="str">
        <f>+V21&amp;V22&amp;V20</f>
        <v>32:30</v>
      </c>
      <c r="W23" s="9" t="str">
        <f>+W21&amp;W22&amp;W20</f>
        <v>27:30</v>
      </c>
    </row>
    <row r="24" spans="1:23" ht="12.75">
      <c r="A24" t="s">
        <v>15</v>
      </c>
      <c r="D24" s="7">
        <f>+D9/D23*100</f>
        <v>44.47761194029851</v>
      </c>
      <c r="H24" t="s">
        <v>15</v>
      </c>
      <c r="M24" s="7">
        <f>+M9/M23*100</f>
        <v>15.695067264573993</v>
      </c>
      <c r="V24" s="9" t="str">
        <f>IF(V20&lt;10,+V21&amp;V22&amp;$U$20&amp;V20,+V21&amp;V22&amp;V20)</f>
        <v>32:30</v>
      </c>
      <c r="W24" s="9" t="str">
        <f>IF(W20&lt;10,+W21&amp;W22&amp;$U$20&amp;W20,+W21&amp;W22&amp;W20)</f>
        <v>27:30</v>
      </c>
    </row>
    <row r="25" spans="1:13" ht="12.75">
      <c r="A25" s="1" t="s">
        <v>86</v>
      </c>
      <c r="D25" s="7">
        <f>+D18/D23*100</f>
        <v>55.52238805970149</v>
      </c>
      <c r="H25" s="1" t="s">
        <v>86</v>
      </c>
      <c r="M25" s="7">
        <f>+M18/M23*100</f>
        <v>84.30493273542601</v>
      </c>
    </row>
    <row r="27" spans="1:13" ht="12.75">
      <c r="A27" t="s">
        <v>16</v>
      </c>
      <c r="D27">
        <f>+D8+D12+D16</f>
        <v>68</v>
      </c>
      <c r="H27" t="s">
        <v>16</v>
      </c>
      <c r="M27">
        <f>+M8+M12+M16</f>
        <v>60</v>
      </c>
    </row>
    <row r="28" spans="1:13" ht="12.75">
      <c r="A28" t="s">
        <v>17</v>
      </c>
      <c r="D28" s="8">
        <f>+D23/D27</f>
        <v>4.926470588235294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3.716666666666667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0</v>
      </c>
      <c r="H31" t="s">
        <v>19</v>
      </c>
      <c r="M31" s="2">
        <v>1</v>
      </c>
    </row>
    <row r="32" spans="1:13" ht="12.75">
      <c r="A32" t="s">
        <v>20</v>
      </c>
      <c r="D32" s="2">
        <v>0</v>
      </c>
      <c r="H32" t="s">
        <v>20</v>
      </c>
      <c r="M32" s="2">
        <v>13</v>
      </c>
    </row>
    <row r="33" spans="1:13" ht="12.75">
      <c r="A33" t="s">
        <v>21</v>
      </c>
      <c r="D33" s="2">
        <v>0</v>
      </c>
      <c r="H33" t="s">
        <v>21</v>
      </c>
      <c r="M33" s="2">
        <v>0</v>
      </c>
    </row>
    <row r="35" spans="1:13" ht="12.75">
      <c r="A35" t="s">
        <v>22</v>
      </c>
      <c r="D35" s="2">
        <v>6</v>
      </c>
      <c r="H35" t="s">
        <v>22</v>
      </c>
      <c r="M35" s="2">
        <v>7</v>
      </c>
    </row>
    <row r="36" spans="1:13" ht="12.75">
      <c r="A36" t="s">
        <v>23</v>
      </c>
      <c r="D36" s="2">
        <v>238</v>
      </c>
      <c r="H36" t="s">
        <v>23</v>
      </c>
      <c r="M36" s="2">
        <v>240</v>
      </c>
    </row>
    <row r="37" spans="1:13" ht="12.75">
      <c r="A37" t="s">
        <v>24</v>
      </c>
      <c r="D37" s="8">
        <f>+D36/D35</f>
        <v>39.666666666666664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34.285714285714285</v>
      </c>
    </row>
    <row r="39" spans="1:13" ht="12.75">
      <c r="A39" t="s">
        <v>25</v>
      </c>
      <c r="D39" s="2">
        <v>3</v>
      </c>
      <c r="H39" t="s">
        <v>25</v>
      </c>
      <c r="M39" s="2">
        <v>2</v>
      </c>
    </row>
    <row r="40" spans="1:13" ht="12.75">
      <c r="A40" t="s">
        <v>26</v>
      </c>
      <c r="D40" s="2">
        <v>12</v>
      </c>
      <c r="H40" t="s">
        <v>26</v>
      </c>
      <c r="M40" s="2">
        <v>29</v>
      </c>
    </row>
    <row r="41" spans="1:13" ht="12.75">
      <c r="A41" t="s">
        <v>27</v>
      </c>
      <c r="D41" s="8">
        <f>+D40/D39</f>
        <v>4</v>
      </c>
      <c r="H41" t="s">
        <v>27</v>
      </c>
      <c r="M41" s="8">
        <f>+M40/M39</f>
        <v>14.5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2</v>
      </c>
      <c r="H44" t="s">
        <v>30</v>
      </c>
      <c r="M44" s="2">
        <v>4</v>
      </c>
    </row>
    <row r="45" spans="1:13" ht="12.75">
      <c r="A45" t="s">
        <v>26</v>
      </c>
      <c r="D45" s="2">
        <v>57</v>
      </c>
      <c r="H45" t="s">
        <v>26</v>
      </c>
      <c r="M45" s="2">
        <v>60</v>
      </c>
    </row>
    <row r="46" spans="1:13" ht="12.75">
      <c r="A46" t="s">
        <v>27</v>
      </c>
      <c r="D46" s="8">
        <f>+D45/D44</f>
        <v>28.5</v>
      </c>
      <c r="H46" t="s">
        <v>27</v>
      </c>
      <c r="M46" s="8">
        <f>+M45/M44</f>
        <v>15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3</v>
      </c>
      <c r="H49" t="s">
        <v>31</v>
      </c>
      <c r="M49" s="2">
        <v>4</v>
      </c>
    </row>
    <row r="50" spans="1:13" ht="12.75">
      <c r="A50" t="s">
        <v>32</v>
      </c>
      <c r="D50" s="2">
        <v>15</v>
      </c>
      <c r="H50" t="s">
        <v>32</v>
      </c>
      <c r="M50" s="2">
        <v>28</v>
      </c>
    </row>
    <row r="52" spans="1:13" ht="12.75">
      <c r="A52" t="s">
        <v>33</v>
      </c>
      <c r="D52" s="2">
        <v>1</v>
      </c>
      <c r="H52" t="s">
        <v>33</v>
      </c>
      <c r="M52" s="2">
        <v>2</v>
      </c>
    </row>
    <row r="53" spans="1:13" ht="12.75">
      <c r="A53" t="s">
        <v>101</v>
      </c>
      <c r="D53" s="2">
        <v>0</v>
      </c>
      <c r="H53" t="s">
        <v>101</v>
      </c>
      <c r="M53" s="2">
        <v>1</v>
      </c>
    </row>
    <row r="55" spans="1:13" ht="12.75">
      <c r="A55" t="s">
        <v>34</v>
      </c>
      <c r="D55" s="2">
        <v>16</v>
      </c>
      <c r="H55" t="s">
        <v>34</v>
      </c>
      <c r="M55" s="2">
        <v>7</v>
      </c>
    </row>
    <row r="56" spans="1:13" ht="12.75">
      <c r="A56" t="s">
        <v>35</v>
      </c>
      <c r="D56" s="2">
        <v>1</v>
      </c>
      <c r="H56" t="s">
        <v>35</v>
      </c>
      <c r="M56" s="2">
        <v>1</v>
      </c>
    </row>
    <row r="57" spans="1:13" ht="12.75">
      <c r="A57" t="s">
        <v>36</v>
      </c>
      <c r="D57" s="2">
        <v>1</v>
      </c>
      <c r="H57" t="s">
        <v>36</v>
      </c>
      <c r="M57" s="2">
        <v>0</v>
      </c>
    </row>
    <row r="58" spans="1:13" ht="12.75">
      <c r="A58" t="s">
        <v>37</v>
      </c>
      <c r="D58" s="2">
        <v>0</v>
      </c>
      <c r="H58" t="s">
        <v>37</v>
      </c>
      <c r="M58" s="2">
        <v>1</v>
      </c>
    </row>
    <row r="59" spans="1:13" ht="12.75">
      <c r="A59" t="s">
        <v>38</v>
      </c>
      <c r="D59" s="2">
        <v>0</v>
      </c>
      <c r="H59" t="s">
        <v>38</v>
      </c>
      <c r="M59" s="2">
        <v>0</v>
      </c>
    </row>
    <row r="60" spans="1:13" ht="12.75">
      <c r="A60" t="s">
        <v>39</v>
      </c>
      <c r="D60" s="2">
        <v>1</v>
      </c>
      <c r="H60" t="s">
        <v>39</v>
      </c>
      <c r="M60" s="2">
        <v>1</v>
      </c>
    </row>
    <row r="61" spans="1:13" ht="12.75">
      <c r="A61" t="s">
        <v>40</v>
      </c>
      <c r="D61" s="2">
        <v>0</v>
      </c>
      <c r="H61" t="s">
        <v>40</v>
      </c>
      <c r="M61" s="2">
        <v>0</v>
      </c>
    </row>
    <row r="62" spans="1:13" ht="12.75">
      <c r="A62" t="s">
        <v>41</v>
      </c>
      <c r="D62" s="2">
        <v>3</v>
      </c>
      <c r="H62" t="s">
        <v>41</v>
      </c>
      <c r="M62" s="2">
        <v>0</v>
      </c>
    </row>
    <row r="63" spans="1:13" ht="12.75">
      <c r="A63" t="s">
        <v>42</v>
      </c>
      <c r="D63" s="2">
        <v>4</v>
      </c>
      <c r="H63" t="s">
        <v>42</v>
      </c>
      <c r="M63" s="2">
        <v>0</v>
      </c>
    </row>
    <row r="64" spans="1:13" ht="12.75">
      <c r="A64" t="s">
        <v>43</v>
      </c>
      <c r="D64" s="7">
        <f>+D62/D63*100</f>
        <v>75</v>
      </c>
      <c r="E64" s="7"/>
      <c r="F64" s="7"/>
      <c r="G64" s="7"/>
      <c r="H64" s="7" t="s">
        <v>43</v>
      </c>
      <c r="I64" s="7"/>
      <c r="J64" s="7"/>
      <c r="K64" s="7"/>
      <c r="L64" s="7"/>
      <c r="M64" s="8" t="e">
        <f>+M62/M63*100</f>
        <v>#DIV/0!</v>
      </c>
    </row>
    <row r="65" spans="1:13" ht="12.75">
      <c r="A65" t="s">
        <v>89</v>
      </c>
      <c r="D65" s="10" t="str">
        <f>IF(V20&lt;10,V24,V23)</f>
        <v>32:30</v>
      </c>
      <c r="E65" s="8"/>
      <c r="F65" s="8"/>
      <c r="H65" t="s">
        <v>89</v>
      </c>
      <c r="M65" s="10" t="str">
        <f>IF(W20&lt;10,W24,W23)</f>
        <v>27:30</v>
      </c>
    </row>
    <row r="66" spans="1:13" ht="12.75">
      <c r="A66" t="s">
        <v>102</v>
      </c>
      <c r="D66" s="8">
        <f>D150</f>
        <v>36.84210526315789</v>
      </c>
      <c r="H66" t="s">
        <v>102</v>
      </c>
      <c r="M66" s="8">
        <f>M150</f>
        <v>40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8" ht="12.75">
      <c r="A70" t="s">
        <v>109</v>
      </c>
      <c r="C70">
        <v>12</v>
      </c>
      <c r="D70">
        <v>56</v>
      </c>
      <c r="E70" s="12">
        <f aca="true" t="shared" si="0" ref="E70:E80">+D70/C70</f>
        <v>4.666666666666667</v>
      </c>
      <c r="F70">
        <v>11</v>
      </c>
      <c r="G70">
        <v>0</v>
      </c>
      <c r="H70">
        <v>0</v>
      </c>
    </row>
    <row r="71" spans="1:8" ht="12.75">
      <c r="A71" t="s">
        <v>108</v>
      </c>
      <c r="C71">
        <v>21</v>
      </c>
      <c r="D71">
        <v>79</v>
      </c>
      <c r="E71" s="12">
        <f t="shared" si="0"/>
        <v>3.761904761904762</v>
      </c>
      <c r="F71">
        <v>28</v>
      </c>
      <c r="G71">
        <v>1</v>
      </c>
      <c r="H71">
        <v>0</v>
      </c>
    </row>
    <row r="72" spans="1:8" ht="12.75">
      <c r="A72" t="s">
        <v>110</v>
      </c>
      <c r="C72">
        <v>4</v>
      </c>
      <c r="D72">
        <v>14</v>
      </c>
      <c r="E72" s="12">
        <f t="shared" si="0"/>
        <v>3.5</v>
      </c>
      <c r="F72">
        <v>16</v>
      </c>
      <c r="G72">
        <v>0</v>
      </c>
      <c r="H72">
        <v>1</v>
      </c>
    </row>
    <row r="73" spans="1:5" ht="12.75">
      <c r="A73" t="s">
        <v>111</v>
      </c>
      <c r="E73" s="12" t="e">
        <f t="shared" si="0"/>
        <v>#DIV/0!</v>
      </c>
    </row>
    <row r="74" spans="1:5" ht="12.75">
      <c r="A74" t="s">
        <v>112</v>
      </c>
      <c r="E74" s="12" t="e">
        <f t="shared" si="0"/>
        <v>#DIV/0!</v>
      </c>
    </row>
    <row r="75" spans="1:5" ht="12.75">
      <c r="A75" t="s">
        <v>106</v>
      </c>
      <c r="E75" s="12" t="e">
        <f t="shared" si="0"/>
        <v>#DIV/0!</v>
      </c>
    </row>
    <row r="76" spans="1:5" ht="12.75">
      <c r="A76" t="s">
        <v>113</v>
      </c>
      <c r="E76" s="12" t="e">
        <f t="shared" si="0"/>
        <v>#DIV/0!</v>
      </c>
    </row>
    <row r="77" spans="1:5" ht="12.75">
      <c r="A77" t="s">
        <v>114</v>
      </c>
      <c r="E77" s="12" t="e">
        <f t="shared" si="0"/>
        <v>#DIV/0!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6</v>
      </c>
      <c r="D83">
        <v>75</v>
      </c>
      <c r="E83" s="12">
        <f aca="true" t="shared" si="1" ref="E83:E92">+D83/C83</f>
        <v>12.5</v>
      </c>
      <c r="F83">
        <v>23</v>
      </c>
      <c r="G83">
        <v>0</v>
      </c>
      <c r="H83">
        <v>0</v>
      </c>
    </row>
    <row r="84" spans="1:8" ht="12.75">
      <c r="A84" t="s">
        <v>118</v>
      </c>
      <c r="C84">
        <v>3</v>
      </c>
      <c r="D84">
        <v>80</v>
      </c>
      <c r="E84" s="12">
        <f t="shared" si="1"/>
        <v>26.666666666666668</v>
      </c>
      <c r="F84">
        <v>37</v>
      </c>
      <c r="G84">
        <v>0</v>
      </c>
      <c r="H84">
        <v>0</v>
      </c>
    </row>
    <row r="85" spans="1:8" ht="12.75">
      <c r="A85" t="s">
        <v>108</v>
      </c>
      <c r="C85">
        <v>2</v>
      </c>
      <c r="D85">
        <v>14</v>
      </c>
      <c r="E85" s="12">
        <f t="shared" si="1"/>
        <v>7</v>
      </c>
      <c r="F85">
        <v>10</v>
      </c>
      <c r="G85">
        <v>0</v>
      </c>
      <c r="H85">
        <v>0</v>
      </c>
    </row>
    <row r="86" spans="1:8" ht="12.75">
      <c r="A86" t="s">
        <v>113</v>
      </c>
      <c r="C86">
        <v>3</v>
      </c>
      <c r="D86">
        <v>14</v>
      </c>
      <c r="E86" s="12">
        <f t="shared" si="1"/>
        <v>4.666666666666667</v>
      </c>
      <c r="F86">
        <v>7</v>
      </c>
      <c r="G86">
        <v>0</v>
      </c>
      <c r="H86">
        <v>0</v>
      </c>
    </row>
    <row r="87" spans="1:8" ht="12.75">
      <c r="A87" t="s">
        <v>109</v>
      </c>
      <c r="C87">
        <v>2</v>
      </c>
      <c r="D87">
        <v>14</v>
      </c>
      <c r="E87" s="12">
        <f t="shared" si="1"/>
        <v>7</v>
      </c>
      <c r="F87">
        <v>9</v>
      </c>
      <c r="G87">
        <v>0</v>
      </c>
      <c r="H87">
        <v>0</v>
      </c>
    </row>
    <row r="88" spans="1:5" ht="12.75">
      <c r="A88" t="s">
        <v>114</v>
      </c>
      <c r="E88" s="12" t="e">
        <f t="shared" si="1"/>
        <v>#DIV/0!</v>
      </c>
    </row>
    <row r="89" spans="1:8" ht="12.75">
      <c r="A89" t="s">
        <v>119</v>
      </c>
      <c r="C89">
        <v>1</v>
      </c>
      <c r="D89">
        <v>9</v>
      </c>
      <c r="E89" s="12">
        <f t="shared" si="1"/>
        <v>9</v>
      </c>
      <c r="F89">
        <v>9</v>
      </c>
      <c r="G89">
        <v>0</v>
      </c>
      <c r="H89">
        <v>0</v>
      </c>
    </row>
    <row r="90" spans="1:5" ht="12.75">
      <c r="A90" t="s">
        <v>112</v>
      </c>
      <c r="E90" s="12" t="e">
        <f t="shared" si="1"/>
        <v>#DIV/0!</v>
      </c>
    </row>
    <row r="91" spans="1:5" ht="12.75">
      <c r="A91" t="s">
        <v>115</v>
      </c>
      <c r="E91" s="12" t="e">
        <f t="shared" si="1"/>
        <v>#DIV/0!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28</v>
      </c>
      <c r="D96">
        <v>17</v>
      </c>
      <c r="E96" s="12">
        <f>+D96/C96*100</f>
        <v>60.71428571428571</v>
      </c>
      <c r="F96">
        <v>206</v>
      </c>
      <c r="G96">
        <v>0</v>
      </c>
      <c r="H96">
        <v>37</v>
      </c>
      <c r="I96">
        <v>0</v>
      </c>
      <c r="J96" s="8">
        <f>+G96/C96*100</f>
        <v>0</v>
      </c>
      <c r="K96" s="12">
        <f>+I96/C96*100</f>
        <v>0</v>
      </c>
      <c r="L96" s="12">
        <f>+F96/C96</f>
        <v>7.357142857142857</v>
      </c>
      <c r="M96" s="12">
        <f>100*(S96+U96+W96+Y96)/6</f>
        <v>83.33333333333333</v>
      </c>
      <c r="N96">
        <v>1</v>
      </c>
      <c r="R96">
        <f>+(E96-30)/20</f>
        <v>1.5357142857142854</v>
      </c>
      <c r="S96" s="2">
        <f>IF(R96&lt;0,0,R96)</f>
        <v>1.5357142857142854</v>
      </c>
      <c r="T96" s="6">
        <f>+(L96-3)/4</f>
        <v>1.0892857142857142</v>
      </c>
      <c r="U96" s="2">
        <f>IF(T96&lt;0,0,T96)</f>
        <v>1.0892857142857142</v>
      </c>
      <c r="V96">
        <f>+J96/5</f>
        <v>0</v>
      </c>
      <c r="W96" s="2">
        <f>IF(V96&lt;0,0,V96)</f>
        <v>0</v>
      </c>
      <c r="X96">
        <f>(9.5-K96)/4</f>
        <v>2.375</v>
      </c>
      <c r="Y96" s="2">
        <f>IF(X96&lt;0,0,X96)</f>
        <v>2.375</v>
      </c>
    </row>
    <row r="97" spans="1:25" ht="12.75">
      <c r="A97" t="s">
        <v>106</v>
      </c>
      <c r="E97" s="12"/>
      <c r="J97" s="8"/>
      <c r="K97" s="12"/>
      <c r="L97" s="12"/>
      <c r="M97" s="12"/>
      <c r="R97">
        <f>+(E97-30)/20</f>
        <v>-1.5</v>
      </c>
      <c r="S97" s="2">
        <f>IF(R97&lt;0,0,R97)</f>
        <v>0</v>
      </c>
      <c r="T97" s="6">
        <f>+(L97-3)/4</f>
        <v>-0.75</v>
      </c>
      <c r="U97" s="2">
        <f>IF(T97&lt;0,0,T97)</f>
        <v>0</v>
      </c>
      <c r="V97">
        <f>+J97/5</f>
        <v>0</v>
      </c>
      <c r="W97" s="2">
        <f>IF(V97&lt;0,0,V97)</f>
        <v>0</v>
      </c>
      <c r="X97">
        <f>(9.5-K97)/4</f>
        <v>2.375</v>
      </c>
      <c r="Y97" s="2">
        <f>IF(X97&lt;0,0,X97)</f>
        <v>2.375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E99" s="12" t="e">
        <f>+D99/C99*100</f>
        <v>#DIV/0!</v>
      </c>
      <c r="J99" s="8" t="e">
        <f>+G99/C99*100</f>
        <v>#DIV/0!</v>
      </c>
      <c r="K99" s="12" t="e">
        <f>+I99/C99*100</f>
        <v>#DIV/0!</v>
      </c>
      <c r="L99" s="12" t="e">
        <f>+F99/C99</f>
        <v>#DIV/0!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9" ht="12.75">
      <c r="A102" t="s">
        <v>118</v>
      </c>
      <c r="C102">
        <v>3</v>
      </c>
      <c r="D102">
        <v>1</v>
      </c>
      <c r="E102">
        <v>12</v>
      </c>
      <c r="F102" s="12">
        <f>+E102/C102</f>
        <v>4</v>
      </c>
      <c r="G102">
        <v>12</v>
      </c>
      <c r="H102">
        <v>0</v>
      </c>
      <c r="I102">
        <v>0</v>
      </c>
    </row>
    <row r="103" spans="1:6" ht="12.75">
      <c r="A103" t="s">
        <v>117</v>
      </c>
      <c r="F103" s="12" t="e">
        <f>+E103/C103</f>
        <v>#DIV/0!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5" ht="12.75">
      <c r="A107" t="s">
        <v>111</v>
      </c>
      <c r="E107" s="12" t="e">
        <f aca="true" t="shared" si="2" ref="E107:E113">+D107/C107</f>
        <v>#DIV/0!</v>
      </c>
    </row>
    <row r="108" spans="1:8" ht="12.75">
      <c r="A108" t="s">
        <v>115</v>
      </c>
      <c r="C108">
        <v>2</v>
      </c>
      <c r="D108">
        <v>57</v>
      </c>
      <c r="E108" s="12">
        <f t="shared" si="2"/>
        <v>28.5</v>
      </c>
      <c r="F108">
        <v>31</v>
      </c>
      <c r="G108">
        <v>0</v>
      </c>
      <c r="H108">
        <v>0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v>6</v>
      </c>
      <c r="D116">
        <v>238</v>
      </c>
      <c r="E116" s="12">
        <f>+D116/C116</f>
        <v>39.666666666666664</v>
      </c>
      <c r="F116">
        <v>48</v>
      </c>
      <c r="G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4</v>
      </c>
      <c r="D119">
        <v>0</v>
      </c>
      <c r="E119">
        <v>1</v>
      </c>
      <c r="F119">
        <v>1</v>
      </c>
      <c r="G119">
        <v>4</v>
      </c>
      <c r="H119">
        <v>3</v>
      </c>
      <c r="I119" s="12">
        <f>+H119/G119*100</f>
        <v>75</v>
      </c>
      <c r="J119">
        <v>22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8" ht="12.75">
      <c r="A123" t="s">
        <v>121</v>
      </c>
      <c r="C123">
        <v>1</v>
      </c>
      <c r="D123">
        <v>13</v>
      </c>
      <c r="E123" s="12">
        <f>+D123/C123</f>
        <v>13</v>
      </c>
      <c r="F123">
        <v>13</v>
      </c>
      <c r="G123">
        <v>0</v>
      </c>
      <c r="H123">
        <v>0</v>
      </c>
    </row>
    <row r="124" spans="1:5" ht="12.75">
      <c r="A124" t="s">
        <v>124</v>
      </c>
      <c r="E124" s="12" t="e">
        <f aca="true" t="shared" si="3" ref="E124:E130">+D124/C124</f>
        <v>#DIV/0!</v>
      </c>
    </row>
    <row r="125" spans="1:5" ht="12.75">
      <c r="A125" t="s">
        <v>125</v>
      </c>
      <c r="E125" s="12" t="e">
        <f t="shared" si="3"/>
        <v>#DIV/0!</v>
      </c>
    </row>
    <row r="126" spans="1:5" ht="12.75">
      <c r="A126" t="s">
        <v>126</v>
      </c>
      <c r="E126" s="12" t="e">
        <f t="shared" si="3"/>
        <v>#DIV/0!</v>
      </c>
    </row>
    <row r="127" spans="1:5" ht="12.75">
      <c r="A127" t="s">
        <v>127</v>
      </c>
      <c r="E127" s="12" t="e">
        <f t="shared" si="3"/>
        <v>#DIV/0!</v>
      </c>
    </row>
    <row r="128" spans="1:5" ht="12.75">
      <c r="A128" t="s">
        <v>128</v>
      </c>
      <c r="E128" s="12" t="e">
        <f t="shared" si="3"/>
        <v>#DIV/0!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spans="1:3" ht="12.75">
      <c r="A133" t="s">
        <v>132</v>
      </c>
      <c r="C133">
        <v>1</v>
      </c>
    </row>
    <row r="134" ht="12.75">
      <c r="A134" t="s">
        <v>123</v>
      </c>
    </row>
    <row r="135" ht="12.75">
      <c r="A135" t="s">
        <v>126</v>
      </c>
    </row>
    <row r="136" ht="12.75">
      <c r="A136" t="s">
        <v>128</v>
      </c>
    </row>
    <row r="137" ht="12.75">
      <c r="A137" t="s">
        <v>129</v>
      </c>
    </row>
    <row r="138" ht="12.75">
      <c r="A138" t="s">
        <v>125</v>
      </c>
    </row>
    <row r="139" spans="1:3" ht="12.75">
      <c r="A139" t="s">
        <v>127</v>
      </c>
      <c r="C139">
        <v>1</v>
      </c>
    </row>
    <row r="140" ht="12.75">
      <c r="A140" t="s">
        <v>133</v>
      </c>
    </row>
    <row r="141" spans="1:3" ht="12.75">
      <c r="A141" t="s">
        <v>134</v>
      </c>
      <c r="C141">
        <v>1</v>
      </c>
    </row>
    <row r="142" ht="12.75">
      <c r="A142" t="s">
        <v>135</v>
      </c>
    </row>
    <row r="143" ht="12.75">
      <c r="A143" t="s">
        <v>136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19</v>
      </c>
      <c r="H148" t="s">
        <v>93</v>
      </c>
      <c r="M148">
        <v>15</v>
      </c>
    </row>
    <row r="149" spans="1:13" ht="12.75">
      <c r="A149" t="s">
        <v>94</v>
      </c>
      <c r="D149">
        <v>7</v>
      </c>
      <c r="H149" t="s">
        <v>94</v>
      </c>
      <c r="M149">
        <v>6</v>
      </c>
    </row>
    <row r="150" spans="1:13" ht="12.75">
      <c r="A150" t="s">
        <v>95</v>
      </c>
      <c r="D150" s="8">
        <f>D149/D148*100</f>
        <v>36.84210526315789</v>
      </c>
      <c r="H150" t="s">
        <v>95</v>
      </c>
      <c r="M150" s="8">
        <f>+M149/M148*100</f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Y150"/>
  <sheetViews>
    <sheetView zoomScalePageLayoutView="0" workbookViewId="0" topLeftCell="A56">
      <selection activeCell="A69" sqref="A69:M14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16" ht="12.75">
      <c r="A3" s="2" t="s">
        <v>0</v>
      </c>
      <c r="H3" s="2" t="s">
        <v>44</v>
      </c>
      <c r="P3" s="16"/>
    </row>
    <row r="6" spans="1:13" ht="12.75">
      <c r="A6" s="1" t="s">
        <v>29</v>
      </c>
      <c r="D6" s="2">
        <v>33</v>
      </c>
      <c r="H6" s="1" t="s">
        <v>29</v>
      </c>
      <c r="M6" s="2">
        <v>6</v>
      </c>
    </row>
    <row r="8" spans="1:23" ht="12.75">
      <c r="A8" t="s">
        <v>1</v>
      </c>
      <c r="D8" s="2">
        <v>45</v>
      </c>
      <c r="H8" t="s">
        <v>1</v>
      </c>
      <c r="M8" s="2">
        <v>16</v>
      </c>
      <c r="V8">
        <f>+D8</f>
        <v>45</v>
      </c>
      <c r="W8">
        <f>+M8</f>
        <v>16</v>
      </c>
    </row>
    <row r="9" spans="1:23" ht="12.75">
      <c r="A9" t="s">
        <v>2</v>
      </c>
      <c r="D9" s="2">
        <v>254</v>
      </c>
      <c r="H9" t="s">
        <v>2</v>
      </c>
      <c r="M9" s="2">
        <v>42</v>
      </c>
      <c r="U9" s="13"/>
      <c r="V9">
        <f>+D13</f>
        <v>22</v>
      </c>
      <c r="W9">
        <f>+M13</f>
        <v>12</v>
      </c>
    </row>
    <row r="10" spans="1:23" ht="12.75">
      <c r="A10" s="1" t="s">
        <v>3</v>
      </c>
      <c r="D10" s="8">
        <f>+D9/D8</f>
        <v>5.644444444444445</v>
      </c>
      <c r="H10" s="1" t="s">
        <v>3</v>
      </c>
      <c r="M10" s="8">
        <f>+M9/M8</f>
        <v>2.625</v>
      </c>
      <c r="V10">
        <f>+(D12-D13)/2</f>
        <v>4.5</v>
      </c>
      <c r="W10">
        <f>+(M12-M13)/2</f>
        <v>8</v>
      </c>
    </row>
    <row r="11" spans="16:23" ht="12.75">
      <c r="P11" s="18"/>
      <c r="V11">
        <f>+D35/2</f>
        <v>2</v>
      </c>
      <c r="W11">
        <f>+M35/2</f>
        <v>5</v>
      </c>
    </row>
    <row r="12" spans="1:23" ht="12.75">
      <c r="A12" t="s">
        <v>4</v>
      </c>
      <c r="D12" s="2">
        <v>31</v>
      </c>
      <c r="F12" s="17"/>
      <c r="H12" t="s">
        <v>4</v>
      </c>
      <c r="M12" s="2">
        <v>28</v>
      </c>
      <c r="V12">
        <f>+D39/2</f>
        <v>2.5</v>
      </c>
      <c r="W12">
        <f>+M39/2</f>
        <v>0</v>
      </c>
    </row>
    <row r="13" spans="1:23" ht="12.75">
      <c r="A13" t="s">
        <v>5</v>
      </c>
      <c r="D13" s="2">
        <v>22</v>
      </c>
      <c r="F13" s="19"/>
      <c r="H13" t="s">
        <v>5</v>
      </c>
      <c r="M13" s="2">
        <v>12</v>
      </c>
      <c r="V13">
        <f>+D44/2</f>
        <v>0.5</v>
      </c>
      <c r="W13">
        <f>+M44/2</f>
        <v>3</v>
      </c>
    </row>
    <row r="14" spans="1:13" ht="12.75">
      <c r="A14" t="s">
        <v>6</v>
      </c>
      <c r="D14" s="8">
        <f>+D13/D12*100</f>
        <v>70.96774193548387</v>
      </c>
      <c r="F14" s="19"/>
      <c r="H14" t="s">
        <v>6</v>
      </c>
      <c r="M14" s="8">
        <f>+M13/M12*100</f>
        <v>42.857142857142854</v>
      </c>
    </row>
    <row r="15" spans="1:24" ht="12.75">
      <c r="A15" t="s">
        <v>7</v>
      </c>
      <c r="D15" s="2">
        <v>320</v>
      </c>
      <c r="F15" s="19"/>
      <c r="H15" t="s">
        <v>7</v>
      </c>
      <c r="M15" s="2">
        <v>120</v>
      </c>
      <c r="V15">
        <f>SUM(V8:V13)</f>
        <v>76.5</v>
      </c>
      <c r="W15">
        <f>SUM(W8:W13)</f>
        <v>44</v>
      </c>
      <c r="X15">
        <f>+W15+V15</f>
        <v>120.5</v>
      </c>
    </row>
    <row r="16" spans="1:23" ht="12.75">
      <c r="A16" t="s">
        <v>8</v>
      </c>
      <c r="D16" s="2">
        <v>1</v>
      </c>
      <c r="F16" s="19"/>
      <c r="H16" t="s">
        <v>8</v>
      </c>
      <c r="M16" s="2">
        <v>2</v>
      </c>
      <c r="V16">
        <f>+V15/X15</f>
        <v>0.6348547717842323</v>
      </c>
      <c r="W16">
        <f>+W15/X15</f>
        <v>0.3651452282157676</v>
      </c>
    </row>
    <row r="17" spans="1:23" ht="12.75">
      <c r="A17" t="s">
        <v>9</v>
      </c>
      <c r="D17" s="2">
        <v>4</v>
      </c>
      <c r="F17" s="19"/>
      <c r="H17" t="s">
        <v>9</v>
      </c>
      <c r="M17" s="2">
        <v>20</v>
      </c>
      <c r="V17">
        <f>+V16*60</f>
        <v>38.09128630705394</v>
      </c>
      <c r="W17">
        <f>+W16*60</f>
        <v>21.90871369294606</v>
      </c>
    </row>
    <row r="18" spans="1:23" ht="12.75">
      <c r="A18" t="s">
        <v>10</v>
      </c>
      <c r="D18">
        <f>+D15-D17</f>
        <v>316</v>
      </c>
      <c r="F18" s="19"/>
      <c r="H18" t="s">
        <v>10</v>
      </c>
      <c r="M18">
        <f>+M15-M17</f>
        <v>100</v>
      </c>
      <c r="V18">
        <f>+V17-INT(V17)</f>
        <v>0.09128630705394158</v>
      </c>
      <c r="W18">
        <f>+W17-INT(W17)</f>
        <v>0.9087136929460584</v>
      </c>
    </row>
    <row r="19" spans="1:23" ht="12.75">
      <c r="A19" t="s">
        <v>11</v>
      </c>
      <c r="D19" s="7">
        <f>+D18/(D12+D16)</f>
        <v>9.875</v>
      </c>
      <c r="F19" s="19"/>
      <c r="H19" t="s">
        <v>11</v>
      </c>
      <c r="M19" s="7">
        <f>+M18/(M12+M16)</f>
        <v>3.3333333333333335</v>
      </c>
      <c r="V19">
        <f>+V18*60</f>
        <v>5.477178423236495</v>
      </c>
      <c r="W19">
        <f>+W18*60</f>
        <v>54.522821576763505</v>
      </c>
    </row>
    <row r="20" spans="1:23" ht="12.75">
      <c r="A20" t="s">
        <v>12</v>
      </c>
      <c r="D20" s="7">
        <f>+D15/D13</f>
        <v>14.545454545454545</v>
      </c>
      <c r="F20" s="19"/>
      <c r="H20" t="s">
        <v>12</v>
      </c>
      <c r="M20" s="7">
        <f>+M15/M13</f>
        <v>10</v>
      </c>
      <c r="U20">
        <v>0</v>
      </c>
      <c r="V20" s="11">
        <f>ROUND(V19,0)</f>
        <v>5</v>
      </c>
      <c r="W20">
        <f>ROUND(W19,0)</f>
        <v>55</v>
      </c>
    </row>
    <row r="21" spans="6:23" ht="12.75">
      <c r="F21" s="19"/>
      <c r="V21">
        <f>INT(V17)</f>
        <v>38</v>
      </c>
      <c r="W21">
        <f>INT(W17)</f>
        <v>21</v>
      </c>
    </row>
    <row r="22" spans="1:23" ht="12.75">
      <c r="A22" t="s">
        <v>13</v>
      </c>
      <c r="F22" s="19"/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570</v>
      </c>
      <c r="F23" s="19"/>
      <c r="H23" t="s">
        <v>14</v>
      </c>
      <c r="M23">
        <f>+M18+M9</f>
        <v>142</v>
      </c>
      <c r="Q23" s="9"/>
      <c r="R23" s="9"/>
      <c r="V23" s="14" t="str">
        <f>+V21&amp;V22&amp;V20</f>
        <v>38:5</v>
      </c>
      <c r="W23" s="9" t="str">
        <f>+W21&amp;W22&amp;W20</f>
        <v>21:55</v>
      </c>
    </row>
    <row r="24" spans="1:23" ht="12.75">
      <c r="A24" t="s">
        <v>15</v>
      </c>
      <c r="D24" s="7">
        <f>+D9/D23*100</f>
        <v>44.56140350877193</v>
      </c>
      <c r="F24" s="19"/>
      <c r="H24" t="s">
        <v>15</v>
      </c>
      <c r="M24" s="7">
        <f>+M9/M23*100</f>
        <v>29.577464788732392</v>
      </c>
      <c r="V24" s="9" t="str">
        <f>IF(V20&lt;10,+V21&amp;V22&amp;$U$20&amp;V20,+V21&amp;V22&amp;V20)</f>
        <v>38:05</v>
      </c>
      <c r="W24" s="9" t="str">
        <f>IF(W20&lt;10,+W21&amp;W22&amp;$U$20&amp;W20,+W21&amp;W22&amp;W20)</f>
        <v>21:55</v>
      </c>
    </row>
    <row r="25" spans="1:13" ht="12.75">
      <c r="A25" s="1" t="s">
        <v>86</v>
      </c>
      <c r="D25" s="7">
        <f>+D18/D23*100</f>
        <v>55.43859649122807</v>
      </c>
      <c r="F25" s="19"/>
      <c r="H25" s="1" t="s">
        <v>86</v>
      </c>
      <c r="M25" s="7">
        <f>+M18/M23*100</f>
        <v>70.4225352112676</v>
      </c>
    </row>
    <row r="26" ht="12.75">
      <c r="F26" s="19"/>
    </row>
    <row r="27" spans="1:13" ht="12.75">
      <c r="A27" t="s">
        <v>16</v>
      </c>
      <c r="D27">
        <f>+D6+D12+D16</f>
        <v>65</v>
      </c>
      <c r="F27" s="19"/>
      <c r="H27" t="s">
        <v>16</v>
      </c>
      <c r="M27">
        <f>+M8+M12+M16</f>
        <v>46</v>
      </c>
    </row>
    <row r="28" spans="1:13" ht="12.75">
      <c r="A28" t="s">
        <v>17</v>
      </c>
      <c r="D28" s="8">
        <f>+D23/D27</f>
        <v>8.76923076923077</v>
      </c>
      <c r="E28" s="7"/>
      <c r="F28" s="20"/>
      <c r="G28" s="7"/>
      <c r="H28" s="7" t="s">
        <v>17</v>
      </c>
      <c r="I28" s="7"/>
      <c r="J28" s="7"/>
      <c r="K28" s="7"/>
      <c r="L28" s="7"/>
      <c r="M28" s="8">
        <f>+M23/M27</f>
        <v>3.0869565217391304</v>
      </c>
    </row>
    <row r="29" ht="12.75">
      <c r="F29" s="19"/>
    </row>
    <row r="30" spans="1:8" ht="12.75">
      <c r="A30" t="s">
        <v>18</v>
      </c>
      <c r="F30" s="17"/>
      <c r="H30" t="s">
        <v>18</v>
      </c>
    </row>
    <row r="31" spans="1:13" ht="12.75">
      <c r="A31" t="s">
        <v>19</v>
      </c>
      <c r="D31" s="2">
        <v>3</v>
      </c>
      <c r="H31" t="s">
        <v>19</v>
      </c>
      <c r="M31" s="2">
        <v>2</v>
      </c>
    </row>
    <row r="32" spans="1:13" ht="12.75">
      <c r="A32" t="s">
        <v>20</v>
      </c>
      <c r="D32" s="2">
        <v>23</v>
      </c>
      <c r="H32" t="s">
        <v>20</v>
      </c>
      <c r="M32" s="2">
        <v>33</v>
      </c>
    </row>
    <row r="33" spans="1:13" ht="12.75">
      <c r="A33" t="s">
        <v>21</v>
      </c>
      <c r="D33" s="2">
        <v>0</v>
      </c>
      <c r="H33" t="s">
        <v>21</v>
      </c>
      <c r="M33" s="2">
        <v>0</v>
      </c>
    </row>
    <row r="35" spans="1:13" ht="12.75">
      <c r="A35" t="s">
        <v>22</v>
      </c>
      <c r="D35" s="2">
        <v>4</v>
      </c>
      <c r="H35" t="s">
        <v>22</v>
      </c>
      <c r="M35" s="2">
        <v>10</v>
      </c>
    </row>
    <row r="36" spans="1:13" ht="12.75">
      <c r="A36" t="s">
        <v>23</v>
      </c>
      <c r="D36" s="2">
        <v>129</v>
      </c>
      <c r="H36" t="s">
        <v>23</v>
      </c>
      <c r="M36" s="2">
        <v>447</v>
      </c>
    </row>
    <row r="37" spans="1:13" ht="12.75">
      <c r="A37" t="s">
        <v>24</v>
      </c>
      <c r="D37" s="8">
        <f>+D36/D35</f>
        <v>32.25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44.7</v>
      </c>
    </row>
    <row r="39" spans="1:13" ht="12.75">
      <c r="A39" t="s">
        <v>25</v>
      </c>
      <c r="D39" s="2">
        <v>5</v>
      </c>
      <c r="H39" t="s">
        <v>25</v>
      </c>
      <c r="M39" s="2">
        <v>0</v>
      </c>
    </row>
    <row r="40" spans="1:13" ht="12.75">
      <c r="A40" t="s">
        <v>26</v>
      </c>
      <c r="D40" s="2">
        <v>44</v>
      </c>
      <c r="H40" t="s">
        <v>26</v>
      </c>
      <c r="M40" s="2">
        <v>0</v>
      </c>
    </row>
    <row r="41" spans="1:13" ht="12.75">
      <c r="A41" t="s">
        <v>27</v>
      </c>
      <c r="D41" s="8">
        <f>+D40/D39</f>
        <v>8.8</v>
      </c>
      <c r="H41" t="s">
        <v>27</v>
      </c>
      <c r="M41" s="8">
        <v>0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1</v>
      </c>
      <c r="H44" t="s">
        <v>30</v>
      </c>
      <c r="M44" s="2">
        <v>6</v>
      </c>
    </row>
    <row r="45" spans="1:13" ht="12.75">
      <c r="A45" t="s">
        <v>26</v>
      </c>
      <c r="D45" s="2">
        <v>17</v>
      </c>
      <c r="H45" t="s">
        <v>26</v>
      </c>
      <c r="M45" s="2">
        <v>159</v>
      </c>
    </row>
    <row r="46" spans="1:13" ht="12.75">
      <c r="A46" t="s">
        <v>27</v>
      </c>
      <c r="D46" s="8">
        <f>+D45/D44</f>
        <v>17</v>
      </c>
      <c r="H46" t="s">
        <v>27</v>
      </c>
      <c r="M46" s="8">
        <f>+M45/M44</f>
        <v>26.5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5</v>
      </c>
      <c r="H49" t="s">
        <v>31</v>
      </c>
      <c r="M49" s="2">
        <v>6</v>
      </c>
    </row>
    <row r="50" spans="1:13" ht="12.75">
      <c r="A50" t="s">
        <v>32</v>
      </c>
      <c r="D50" s="2">
        <v>57</v>
      </c>
      <c r="H50" t="s">
        <v>32</v>
      </c>
      <c r="M50" s="2">
        <v>49</v>
      </c>
    </row>
    <row r="52" spans="1:13" ht="12.75">
      <c r="A52" t="s">
        <v>33</v>
      </c>
      <c r="D52" s="2">
        <v>0</v>
      </c>
      <c r="H52" t="s">
        <v>33</v>
      </c>
      <c r="M52" s="2">
        <v>1</v>
      </c>
    </row>
    <row r="53" spans="1:13" ht="12.75">
      <c r="A53" t="s">
        <v>101</v>
      </c>
      <c r="D53" s="2">
        <v>0</v>
      </c>
      <c r="H53" t="s">
        <v>101</v>
      </c>
      <c r="M53" s="2">
        <v>1</v>
      </c>
    </row>
    <row r="55" spans="1:13" ht="12.75">
      <c r="A55" t="s">
        <v>34</v>
      </c>
      <c r="D55" s="2">
        <v>45</v>
      </c>
      <c r="H55" t="s">
        <v>34</v>
      </c>
      <c r="M55" s="2">
        <v>0</v>
      </c>
    </row>
    <row r="56" spans="1:13" ht="12.75">
      <c r="A56" t="s">
        <v>35</v>
      </c>
      <c r="D56" s="2">
        <v>6</v>
      </c>
      <c r="H56" t="s">
        <v>35</v>
      </c>
      <c r="M56" s="2">
        <v>0</v>
      </c>
    </row>
    <row r="57" spans="1:13" ht="12.75">
      <c r="A57" t="s">
        <v>36</v>
      </c>
      <c r="D57" s="2">
        <v>2</v>
      </c>
      <c r="H57" t="s">
        <v>36</v>
      </c>
      <c r="M57" s="2">
        <v>0</v>
      </c>
    </row>
    <row r="58" spans="1:13" ht="12.75">
      <c r="A58" t="s">
        <v>37</v>
      </c>
      <c r="D58" s="2">
        <v>4</v>
      </c>
      <c r="H58" t="s">
        <v>37</v>
      </c>
      <c r="M58" s="2">
        <v>0</v>
      </c>
    </row>
    <row r="59" spans="1:13" ht="12.75">
      <c r="A59" t="s">
        <v>38</v>
      </c>
      <c r="D59" s="2">
        <v>0</v>
      </c>
      <c r="H59" t="s">
        <v>38</v>
      </c>
      <c r="M59" s="2">
        <v>0</v>
      </c>
    </row>
    <row r="60" spans="1:13" ht="12.75">
      <c r="A60" t="s">
        <v>39</v>
      </c>
      <c r="D60" s="2">
        <v>6</v>
      </c>
      <c r="H60" t="s">
        <v>39</v>
      </c>
      <c r="M60" s="2">
        <v>0</v>
      </c>
    </row>
    <row r="61" spans="1:13" ht="12.75">
      <c r="A61" t="s">
        <v>40</v>
      </c>
      <c r="D61" s="2">
        <v>0</v>
      </c>
      <c r="H61" t="s">
        <v>40</v>
      </c>
      <c r="M61" s="2">
        <v>0</v>
      </c>
    </row>
    <row r="62" spans="1:13" ht="12.75">
      <c r="A62" t="s">
        <v>41</v>
      </c>
      <c r="D62" s="2">
        <v>1</v>
      </c>
      <c r="H62" t="s">
        <v>41</v>
      </c>
      <c r="M62" s="2">
        <v>0</v>
      </c>
    </row>
    <row r="63" spans="1:13" ht="12.75">
      <c r="A63" t="s">
        <v>42</v>
      </c>
      <c r="D63" s="2">
        <v>2</v>
      </c>
      <c r="H63" t="s">
        <v>42</v>
      </c>
      <c r="M63" s="2">
        <v>1</v>
      </c>
    </row>
    <row r="64" spans="1:13" ht="12.75">
      <c r="A64" t="s">
        <v>43</v>
      </c>
      <c r="D64" s="7">
        <f>+D62/D63*100</f>
        <v>50</v>
      </c>
      <c r="E64" s="7"/>
      <c r="F64" s="7"/>
      <c r="G64" s="7"/>
      <c r="H64" s="7" t="s">
        <v>43</v>
      </c>
      <c r="I64" s="7"/>
      <c r="J64" s="7"/>
      <c r="K64" s="7"/>
      <c r="L64" s="7"/>
      <c r="M64" s="8">
        <f>+M62/M63*100</f>
        <v>0</v>
      </c>
    </row>
    <row r="65" spans="1:13" ht="12.75">
      <c r="A65" t="s">
        <v>89</v>
      </c>
      <c r="D65" s="10" t="str">
        <f>IF(V20&lt;10,V24,V23)</f>
        <v>38:05</v>
      </c>
      <c r="E65" s="8"/>
      <c r="F65" s="8"/>
      <c r="H65" t="s">
        <v>89</v>
      </c>
      <c r="M65" s="10" t="str">
        <f>IF(W20&lt;10,W24,W23)</f>
        <v>21:55</v>
      </c>
    </row>
    <row r="66" spans="1:13" ht="12.75">
      <c r="A66" t="s">
        <v>102</v>
      </c>
      <c r="D66" s="8">
        <f>D150</f>
        <v>58.333333333333336</v>
      </c>
      <c r="H66" t="s">
        <v>102</v>
      </c>
      <c r="M66" s="8">
        <f>M150</f>
        <v>0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8" ht="12.75">
      <c r="A70" t="s">
        <v>109</v>
      </c>
      <c r="C70">
        <v>19</v>
      </c>
      <c r="D70">
        <v>86</v>
      </c>
      <c r="E70" s="12">
        <f aca="true" t="shared" si="0" ref="E70:E80">+D70/C70</f>
        <v>4.526315789473684</v>
      </c>
      <c r="F70">
        <v>30</v>
      </c>
      <c r="G70">
        <v>2</v>
      </c>
      <c r="H70">
        <v>0</v>
      </c>
    </row>
    <row r="71" spans="1:8" ht="12.75">
      <c r="A71" t="s">
        <v>108</v>
      </c>
      <c r="C71">
        <v>16</v>
      </c>
      <c r="D71">
        <v>90</v>
      </c>
      <c r="E71" s="12">
        <f t="shared" si="0"/>
        <v>5.625</v>
      </c>
      <c r="F71">
        <v>18</v>
      </c>
      <c r="G71">
        <v>0</v>
      </c>
      <c r="H71">
        <v>0</v>
      </c>
    </row>
    <row r="72" spans="1:5" ht="12.75">
      <c r="A72" t="s">
        <v>110</v>
      </c>
      <c r="E72" s="12" t="e">
        <f t="shared" si="0"/>
        <v>#DIV/0!</v>
      </c>
    </row>
    <row r="73" spans="1:8" ht="12.75">
      <c r="A73" t="s">
        <v>111</v>
      </c>
      <c r="C73">
        <v>3</v>
      </c>
      <c r="D73">
        <v>11</v>
      </c>
      <c r="E73" s="12">
        <f t="shared" si="0"/>
        <v>3.6666666666666665</v>
      </c>
      <c r="F73">
        <v>4</v>
      </c>
      <c r="G73">
        <v>0</v>
      </c>
      <c r="H73">
        <v>0</v>
      </c>
    </row>
    <row r="74" spans="1:8" ht="12.75">
      <c r="A74" t="s">
        <v>112</v>
      </c>
      <c r="C74">
        <v>1</v>
      </c>
      <c r="D74">
        <v>9</v>
      </c>
      <c r="E74" s="12">
        <f t="shared" si="0"/>
        <v>9</v>
      </c>
      <c r="F74">
        <v>9</v>
      </c>
      <c r="G74">
        <v>0</v>
      </c>
      <c r="H74">
        <v>0</v>
      </c>
    </row>
    <row r="75" spans="1:8" ht="12.75">
      <c r="A75" t="s">
        <v>106</v>
      </c>
      <c r="C75">
        <v>4</v>
      </c>
      <c r="D75">
        <v>6</v>
      </c>
      <c r="E75" s="12">
        <f t="shared" si="0"/>
        <v>1.5</v>
      </c>
      <c r="F75">
        <v>4</v>
      </c>
      <c r="G75">
        <v>0</v>
      </c>
      <c r="H75">
        <v>0</v>
      </c>
    </row>
    <row r="76" spans="1:8" ht="12.75">
      <c r="A76" t="s">
        <v>113</v>
      </c>
      <c r="C76">
        <v>2</v>
      </c>
      <c r="D76">
        <v>52</v>
      </c>
      <c r="E76" s="12">
        <f t="shared" si="0"/>
        <v>26</v>
      </c>
      <c r="F76">
        <v>27</v>
      </c>
      <c r="G76">
        <v>0</v>
      </c>
      <c r="H76">
        <v>0</v>
      </c>
    </row>
    <row r="77" spans="1:5" ht="12.75">
      <c r="A77" t="s">
        <v>114</v>
      </c>
      <c r="E77" s="12" t="e">
        <f t="shared" si="0"/>
        <v>#DIV/0!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5</v>
      </c>
      <c r="D83">
        <v>89</v>
      </c>
      <c r="E83" s="12">
        <f aca="true" t="shared" si="1" ref="E83:E92">+D83/C83</f>
        <v>17.8</v>
      </c>
      <c r="F83">
        <v>34</v>
      </c>
      <c r="G83">
        <v>0</v>
      </c>
      <c r="H83">
        <v>0</v>
      </c>
    </row>
    <row r="84" spans="1:8" ht="12.75">
      <c r="A84" t="s">
        <v>118</v>
      </c>
      <c r="C84">
        <v>8</v>
      </c>
      <c r="D84">
        <v>93</v>
      </c>
      <c r="E84" s="12">
        <f t="shared" si="1"/>
        <v>11.625</v>
      </c>
      <c r="F84">
        <v>30</v>
      </c>
      <c r="G84">
        <v>2</v>
      </c>
      <c r="H84">
        <v>0</v>
      </c>
    </row>
    <row r="85" spans="1:8" ht="12.75">
      <c r="A85" t="s">
        <v>108</v>
      </c>
      <c r="C85">
        <v>2</v>
      </c>
      <c r="D85">
        <v>18</v>
      </c>
      <c r="E85" s="12">
        <f t="shared" si="1"/>
        <v>9</v>
      </c>
      <c r="F85">
        <v>11</v>
      </c>
      <c r="G85">
        <v>1</v>
      </c>
      <c r="H85">
        <v>0</v>
      </c>
    </row>
    <row r="86" spans="1:8" ht="12.75">
      <c r="A86" t="s">
        <v>113</v>
      </c>
      <c r="C86">
        <v>2</v>
      </c>
      <c r="D86">
        <v>28</v>
      </c>
      <c r="E86" s="12">
        <f t="shared" si="1"/>
        <v>14</v>
      </c>
      <c r="F86">
        <v>14</v>
      </c>
      <c r="G86">
        <v>0</v>
      </c>
      <c r="H86">
        <v>0</v>
      </c>
    </row>
    <row r="87" spans="1:8" ht="12.75">
      <c r="A87" t="s">
        <v>109</v>
      </c>
      <c r="C87">
        <v>2</v>
      </c>
      <c r="D87">
        <v>58</v>
      </c>
      <c r="E87" s="12">
        <f t="shared" si="1"/>
        <v>29</v>
      </c>
      <c r="F87">
        <v>45</v>
      </c>
      <c r="G87">
        <v>1</v>
      </c>
      <c r="H87">
        <v>0</v>
      </c>
    </row>
    <row r="88" spans="1:8" ht="12.75">
      <c r="A88" t="s">
        <v>114</v>
      </c>
      <c r="C88">
        <v>1</v>
      </c>
      <c r="D88">
        <v>19</v>
      </c>
      <c r="E88" s="12">
        <f t="shared" si="1"/>
        <v>19</v>
      </c>
      <c r="F88">
        <v>19</v>
      </c>
      <c r="G88">
        <v>19</v>
      </c>
      <c r="H88">
        <v>0</v>
      </c>
    </row>
    <row r="89" spans="1:8" ht="12.75">
      <c r="A89" t="s">
        <v>119</v>
      </c>
      <c r="C89">
        <v>1</v>
      </c>
      <c r="D89">
        <v>6</v>
      </c>
      <c r="E89" s="12">
        <f t="shared" si="1"/>
        <v>6</v>
      </c>
      <c r="F89">
        <v>6</v>
      </c>
      <c r="G89">
        <v>0</v>
      </c>
      <c r="H89">
        <v>0</v>
      </c>
    </row>
    <row r="90" spans="1:5" ht="12.75">
      <c r="A90" t="s">
        <v>112</v>
      </c>
      <c r="E90" s="12" t="e">
        <f t="shared" si="1"/>
        <v>#DIV/0!</v>
      </c>
    </row>
    <row r="91" spans="1:8" ht="12.75">
      <c r="A91" t="s">
        <v>115</v>
      </c>
      <c r="C91">
        <v>1</v>
      </c>
      <c r="D91">
        <v>9</v>
      </c>
      <c r="E91" s="12">
        <f t="shared" si="1"/>
        <v>9</v>
      </c>
      <c r="F91">
        <v>9</v>
      </c>
      <c r="G91">
        <v>0</v>
      </c>
      <c r="H91">
        <v>0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E96" s="12" t="e">
        <f>+D96/C96*100</f>
        <v>#DIV/0!</v>
      </c>
      <c r="J96" s="8" t="e">
        <f>+G96/C96*100</f>
        <v>#DIV/0!</v>
      </c>
      <c r="K96" s="12" t="e">
        <f>+I96/C96*100</f>
        <v>#DIV/0!</v>
      </c>
      <c r="L96" s="12" t="e">
        <f>+F96/C96</f>
        <v>#DIV/0!</v>
      </c>
      <c r="M96" s="12" t="e">
        <f>100*(S96+U96+W96+Y96)/6</f>
        <v>#DIV/0!</v>
      </c>
      <c r="R96" t="e">
        <f>+(E96-30)/20</f>
        <v>#DIV/0!</v>
      </c>
      <c r="S96" s="2" t="e">
        <f>IF(R96&lt;0,0,R96)</f>
        <v>#DIV/0!</v>
      </c>
      <c r="T96" s="6" t="e">
        <f>+(L96-3)/4</f>
        <v>#DIV/0!</v>
      </c>
      <c r="U96" s="2" t="e">
        <f>IF(T96&lt;0,0,T96)</f>
        <v>#DIV/0!</v>
      </c>
      <c r="V96" t="e">
        <f>+J96/5</f>
        <v>#DIV/0!</v>
      </c>
      <c r="W96" s="2" t="e">
        <f>IF(V96&lt;0,0,V96)</f>
        <v>#DIV/0!</v>
      </c>
      <c r="X96" t="e">
        <f>(9.5-K96)/4</f>
        <v>#DIV/0!</v>
      </c>
      <c r="Y96" s="2" t="e">
        <f>IF(X96&lt;0,0,X96)</f>
        <v>#DIV/0!</v>
      </c>
    </row>
    <row r="97" spans="1:25" ht="12.75">
      <c r="A97" t="s">
        <v>106</v>
      </c>
      <c r="C97">
        <v>30</v>
      </c>
      <c r="D97">
        <v>21</v>
      </c>
      <c r="E97" s="12">
        <f>+D97/C97*100</f>
        <v>70</v>
      </c>
      <c r="F97">
        <v>275</v>
      </c>
      <c r="G97">
        <v>3</v>
      </c>
      <c r="H97">
        <v>34</v>
      </c>
      <c r="I97">
        <v>3</v>
      </c>
      <c r="J97" s="8">
        <f>+G97/C97*100</f>
        <v>10</v>
      </c>
      <c r="K97" s="12">
        <f>+I97/C97*100</f>
        <v>10</v>
      </c>
      <c r="L97" s="12">
        <f>+F97/C97</f>
        <v>9.166666666666666</v>
      </c>
      <c r="M97" s="12">
        <f>100*(S97+U97+W97+Y97)/6</f>
        <v>92.3611111111111</v>
      </c>
      <c r="R97">
        <f>+(E97-30)/20</f>
        <v>2</v>
      </c>
      <c r="S97" s="2">
        <f>IF(R97&lt;0,0,R97)</f>
        <v>2</v>
      </c>
      <c r="T97" s="6">
        <f>+(L97-3)/4</f>
        <v>1.5416666666666665</v>
      </c>
      <c r="U97" s="2">
        <f>IF(T97&lt;0,0,T97)</f>
        <v>1.5416666666666665</v>
      </c>
      <c r="V97">
        <f>+J97/5</f>
        <v>2</v>
      </c>
      <c r="W97" s="2">
        <f>IF(V97&lt;0,0,V97)</f>
        <v>2</v>
      </c>
      <c r="X97">
        <f>(9.5-K97)/4</f>
        <v>-0.125</v>
      </c>
      <c r="Y97" s="2">
        <f>IF(X97&lt;0,0,X97)</f>
        <v>0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C99">
        <v>1</v>
      </c>
      <c r="D99">
        <v>1</v>
      </c>
      <c r="E99" s="12">
        <f>+D99/C99*100</f>
        <v>100</v>
      </c>
      <c r="F99">
        <v>45</v>
      </c>
      <c r="G99">
        <v>1</v>
      </c>
      <c r="H99">
        <v>45</v>
      </c>
      <c r="I99">
        <v>0</v>
      </c>
      <c r="J99" s="8">
        <f>+G99/C99*100</f>
        <v>100</v>
      </c>
      <c r="K99" s="12">
        <f>+I99/C99*100</f>
        <v>0</v>
      </c>
      <c r="L99" s="12">
        <f>+F99/C99</f>
        <v>45</v>
      </c>
      <c r="M99" s="12">
        <v>158.3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9" ht="12.75">
      <c r="A102" t="s">
        <v>118</v>
      </c>
      <c r="C102">
        <v>3</v>
      </c>
      <c r="D102">
        <v>2</v>
      </c>
      <c r="E102">
        <v>27</v>
      </c>
      <c r="F102" s="12">
        <f>+E102/C102</f>
        <v>9</v>
      </c>
      <c r="G102">
        <v>10</v>
      </c>
      <c r="H102">
        <v>0</v>
      </c>
      <c r="I102">
        <v>0</v>
      </c>
    </row>
    <row r="103" spans="1:9" ht="12.75">
      <c r="A103" t="s">
        <v>117</v>
      </c>
      <c r="C103">
        <v>2</v>
      </c>
      <c r="D103">
        <v>2</v>
      </c>
      <c r="E103">
        <v>17</v>
      </c>
      <c r="F103" s="12">
        <f>+E103/C103</f>
        <v>8.5</v>
      </c>
      <c r="G103">
        <v>13</v>
      </c>
      <c r="H103">
        <v>0</v>
      </c>
      <c r="I103">
        <v>0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8" ht="12.75">
      <c r="A107" t="s">
        <v>111</v>
      </c>
      <c r="C107">
        <v>1</v>
      </c>
      <c r="D107">
        <v>17</v>
      </c>
      <c r="E107" s="12">
        <f aca="true" t="shared" si="2" ref="E107:E113">+D107/C107</f>
        <v>17</v>
      </c>
      <c r="F107">
        <v>17</v>
      </c>
      <c r="G107">
        <v>0</v>
      </c>
      <c r="H107">
        <v>0</v>
      </c>
    </row>
    <row r="108" spans="1:5" ht="12.75">
      <c r="A108" t="s">
        <v>115</v>
      </c>
      <c r="E108" s="12" t="e">
        <f t="shared" si="2"/>
        <v>#DIV/0!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v>4</v>
      </c>
      <c r="D116">
        <v>129</v>
      </c>
      <c r="E116" s="12">
        <f>+D116/C116</f>
        <v>32.25</v>
      </c>
      <c r="F116">
        <v>40</v>
      </c>
      <c r="G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8</v>
      </c>
      <c r="D119">
        <v>1</v>
      </c>
      <c r="E119">
        <v>6</v>
      </c>
      <c r="F119">
        <v>6</v>
      </c>
      <c r="G119">
        <v>2</v>
      </c>
      <c r="H119">
        <v>1</v>
      </c>
      <c r="I119" s="12">
        <f>+H119/G119*100</f>
        <v>50</v>
      </c>
      <c r="J119">
        <v>12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5" ht="12.75">
      <c r="A123" t="s">
        <v>121</v>
      </c>
      <c r="E123" s="12" t="e">
        <f>+D123/C123</f>
        <v>#DIV/0!</v>
      </c>
    </row>
    <row r="124" spans="1:8" ht="12.75">
      <c r="A124" t="s">
        <v>124</v>
      </c>
      <c r="C124">
        <v>1</v>
      </c>
      <c r="D124">
        <v>16</v>
      </c>
      <c r="E124" s="12">
        <f aca="true" t="shared" si="3" ref="E124:E130">+D124/C124</f>
        <v>16</v>
      </c>
      <c r="F124">
        <v>16</v>
      </c>
      <c r="G124">
        <v>0</v>
      </c>
      <c r="H124">
        <v>0</v>
      </c>
    </row>
    <row r="125" spans="1:5" ht="12.75">
      <c r="A125" t="s">
        <v>125</v>
      </c>
      <c r="E125" s="12" t="e">
        <f t="shared" si="3"/>
        <v>#DIV/0!</v>
      </c>
    </row>
    <row r="126" spans="1:5" ht="12.75">
      <c r="A126" t="s">
        <v>126</v>
      </c>
      <c r="E126" s="12" t="e">
        <f t="shared" si="3"/>
        <v>#DIV/0!</v>
      </c>
    </row>
    <row r="127" spans="1:8" ht="12.75">
      <c r="A127" t="s">
        <v>127</v>
      </c>
      <c r="C127">
        <v>1</v>
      </c>
      <c r="D127">
        <v>17</v>
      </c>
      <c r="E127" s="12">
        <f t="shared" si="3"/>
        <v>17</v>
      </c>
      <c r="F127">
        <v>17</v>
      </c>
      <c r="G127">
        <v>0</v>
      </c>
      <c r="H127">
        <v>0</v>
      </c>
    </row>
    <row r="128" spans="1:8" ht="12.75">
      <c r="A128" t="s">
        <v>128</v>
      </c>
      <c r="C128">
        <v>1</v>
      </c>
      <c r="D128">
        <v>0</v>
      </c>
      <c r="E128" s="12">
        <f t="shared" si="3"/>
        <v>0</v>
      </c>
      <c r="F128">
        <v>0</v>
      </c>
      <c r="G128">
        <v>0</v>
      </c>
      <c r="H128">
        <v>0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ht="12.75">
      <c r="A133" t="s">
        <v>132</v>
      </c>
    </row>
    <row r="134" ht="12.75">
      <c r="A134" t="s">
        <v>123</v>
      </c>
    </row>
    <row r="135" ht="12.75">
      <c r="A135" t="s">
        <v>126</v>
      </c>
    </row>
    <row r="136" ht="12.75">
      <c r="A136" t="s">
        <v>128</v>
      </c>
    </row>
    <row r="137" ht="12.75">
      <c r="A137" t="s">
        <v>129</v>
      </c>
    </row>
    <row r="138" spans="1:3" ht="12.75">
      <c r="A138" t="s">
        <v>125</v>
      </c>
      <c r="C138">
        <v>1</v>
      </c>
    </row>
    <row r="139" ht="12.75">
      <c r="A139" t="s">
        <v>127</v>
      </c>
    </row>
    <row r="140" spans="1:3" ht="12.75">
      <c r="A140" t="s">
        <v>133</v>
      </c>
      <c r="C140">
        <v>1</v>
      </c>
    </row>
    <row r="141" ht="12.75">
      <c r="A141" t="s">
        <v>134</v>
      </c>
    </row>
    <row r="142" ht="12.75">
      <c r="A142" t="s">
        <v>135</v>
      </c>
    </row>
    <row r="143" ht="12.75">
      <c r="A143" t="s">
        <v>136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12</v>
      </c>
      <c r="H148" t="s">
        <v>93</v>
      </c>
      <c r="M148">
        <v>11</v>
      </c>
    </row>
    <row r="149" spans="1:13" ht="12.75">
      <c r="A149" t="s">
        <v>94</v>
      </c>
      <c r="D149">
        <v>7</v>
      </c>
      <c r="H149" t="s">
        <v>94</v>
      </c>
      <c r="M149">
        <v>0</v>
      </c>
    </row>
    <row r="150" spans="1:13" ht="12.75">
      <c r="A150" t="s">
        <v>95</v>
      </c>
      <c r="D150" s="8">
        <f>D149/D148*100</f>
        <v>58.333333333333336</v>
      </c>
      <c r="H150" t="s">
        <v>95</v>
      </c>
      <c r="M150" s="8">
        <f>+M149/M148*100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Y150"/>
  <sheetViews>
    <sheetView zoomScalePageLayoutView="0" workbookViewId="0" topLeftCell="A124">
      <selection activeCell="M150" sqref="M15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17</v>
      </c>
      <c r="H6" s="1" t="s">
        <v>29</v>
      </c>
      <c r="M6" s="2">
        <v>17</v>
      </c>
    </row>
    <row r="8" spans="1:23" ht="12.75">
      <c r="A8" t="s">
        <v>1</v>
      </c>
      <c r="D8" s="2">
        <v>32</v>
      </c>
      <c r="H8" t="s">
        <v>1</v>
      </c>
      <c r="M8" s="2">
        <v>26</v>
      </c>
      <c r="V8">
        <f>+D8</f>
        <v>32</v>
      </c>
      <c r="W8">
        <f>+M8</f>
        <v>26</v>
      </c>
    </row>
    <row r="9" spans="1:23" ht="12.75">
      <c r="A9" t="s">
        <v>2</v>
      </c>
      <c r="D9" s="2">
        <v>104</v>
      </c>
      <c r="H9" t="s">
        <v>2</v>
      </c>
      <c r="M9" s="2">
        <v>72</v>
      </c>
      <c r="U9" s="13"/>
      <c r="V9">
        <f>+D13</f>
        <v>13</v>
      </c>
      <c r="W9">
        <f>+M13</f>
        <v>21</v>
      </c>
    </row>
    <row r="10" spans="1:23" ht="12.75">
      <c r="A10" s="1" t="s">
        <v>3</v>
      </c>
      <c r="D10" s="8">
        <f>+D9/D8</f>
        <v>3.25</v>
      </c>
      <c r="H10" s="1" t="s">
        <v>3</v>
      </c>
      <c r="M10" s="8">
        <f>+M9/M8</f>
        <v>2.769230769230769</v>
      </c>
      <c r="V10">
        <f>+(D12-D13)/2</f>
        <v>7</v>
      </c>
      <c r="W10">
        <f>+(M12-M13)/2</f>
        <v>14</v>
      </c>
    </row>
    <row r="11" spans="22:23" ht="12.75">
      <c r="V11">
        <f>+D35/2</f>
        <v>2</v>
      </c>
      <c r="W11">
        <f>+M35/2</f>
        <v>2.5</v>
      </c>
    </row>
    <row r="12" spans="1:23" ht="12.75">
      <c r="A12" t="s">
        <v>4</v>
      </c>
      <c r="D12" s="2">
        <v>27</v>
      </c>
      <c r="H12" t="s">
        <v>4</v>
      </c>
      <c r="M12" s="2">
        <v>49</v>
      </c>
      <c r="V12">
        <f>+D39/2</f>
        <v>2</v>
      </c>
      <c r="W12">
        <f>+M39/2</f>
        <v>1.5</v>
      </c>
    </row>
    <row r="13" spans="1:23" ht="12.75">
      <c r="A13" t="s">
        <v>5</v>
      </c>
      <c r="D13" s="2">
        <v>13</v>
      </c>
      <c r="H13" t="s">
        <v>5</v>
      </c>
      <c r="M13" s="2">
        <v>21</v>
      </c>
      <c r="V13">
        <f>+D44/2</f>
        <v>1.5</v>
      </c>
      <c r="W13">
        <f>+M44/2</f>
        <v>2.5</v>
      </c>
    </row>
    <row r="14" spans="1:13" ht="12.75">
      <c r="A14" t="s">
        <v>6</v>
      </c>
      <c r="D14" s="8">
        <f>+D13/D12*100</f>
        <v>48.148148148148145</v>
      </c>
      <c r="H14" t="s">
        <v>6</v>
      </c>
      <c r="M14" s="8">
        <f>+M13/M12*100</f>
        <v>42.857142857142854</v>
      </c>
    </row>
    <row r="15" spans="1:24" ht="12.75">
      <c r="A15" t="s">
        <v>7</v>
      </c>
      <c r="D15" s="2">
        <v>228</v>
      </c>
      <c r="H15" t="s">
        <v>7</v>
      </c>
      <c r="M15" s="2">
        <v>334</v>
      </c>
      <c r="V15">
        <f>SUM(V8:V13)</f>
        <v>57.5</v>
      </c>
      <c r="W15">
        <f>SUM(W8:W13)</f>
        <v>67.5</v>
      </c>
      <c r="X15">
        <f>+W15+V15</f>
        <v>125</v>
      </c>
    </row>
    <row r="16" spans="1:23" ht="12.75">
      <c r="A16" t="s">
        <v>8</v>
      </c>
      <c r="D16" s="2">
        <v>0</v>
      </c>
      <c r="H16" t="s">
        <v>8</v>
      </c>
      <c r="M16" s="2">
        <v>2</v>
      </c>
      <c r="V16">
        <f>+V15/X15</f>
        <v>0.46</v>
      </c>
      <c r="W16">
        <f>+W15/X15</f>
        <v>0.54</v>
      </c>
    </row>
    <row r="17" spans="1:23" ht="12.75">
      <c r="A17" t="s">
        <v>9</v>
      </c>
      <c r="D17" s="2">
        <v>0</v>
      </c>
      <c r="H17" t="s">
        <v>9</v>
      </c>
      <c r="M17" s="2">
        <v>16</v>
      </c>
      <c r="V17">
        <f>+V16*60</f>
        <v>27.6</v>
      </c>
      <c r="W17">
        <f>+W16*60</f>
        <v>32.400000000000006</v>
      </c>
    </row>
    <row r="18" spans="1:23" ht="12.75">
      <c r="A18" t="s">
        <v>10</v>
      </c>
      <c r="D18">
        <f>+D15-D17</f>
        <v>228</v>
      </c>
      <c r="H18" t="s">
        <v>10</v>
      </c>
      <c r="M18">
        <f>+M15-M17</f>
        <v>318</v>
      </c>
      <c r="V18">
        <f>+V17-INT(V17)</f>
        <v>0.6000000000000014</v>
      </c>
      <c r="W18">
        <f>+W17-INT(W17)</f>
        <v>0.4000000000000057</v>
      </c>
    </row>
    <row r="19" spans="1:23" ht="12.75">
      <c r="A19" t="s">
        <v>11</v>
      </c>
      <c r="D19" s="7">
        <f>+D18/(D12+D16)</f>
        <v>8.444444444444445</v>
      </c>
      <c r="H19" t="s">
        <v>11</v>
      </c>
      <c r="M19" s="7">
        <f>+M18/(M12+M16)</f>
        <v>6.235294117647059</v>
      </c>
      <c r="V19">
        <f>+V18*60</f>
        <v>36.000000000000085</v>
      </c>
      <c r="W19">
        <f>+W18*60</f>
        <v>24.00000000000034</v>
      </c>
    </row>
    <row r="20" spans="1:23" ht="12.75">
      <c r="A20" t="s">
        <v>12</v>
      </c>
      <c r="D20" s="7">
        <f>+D15/D13</f>
        <v>17.53846153846154</v>
      </c>
      <c r="H20" t="s">
        <v>12</v>
      </c>
      <c r="M20" s="7">
        <f>+M15/M13</f>
        <v>15.904761904761905</v>
      </c>
      <c r="U20">
        <v>0</v>
      </c>
      <c r="V20" s="11">
        <f>ROUND(V19,0)</f>
        <v>36</v>
      </c>
      <c r="W20">
        <f>ROUND(W19,0)</f>
        <v>24</v>
      </c>
    </row>
    <row r="21" spans="22:23" ht="12.75">
      <c r="V21">
        <f>INT(V17)</f>
        <v>27</v>
      </c>
      <c r="W21">
        <f>INT(W17)</f>
        <v>32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332</v>
      </c>
      <c r="H23" t="s">
        <v>14</v>
      </c>
      <c r="M23">
        <f>+M18+M9</f>
        <v>390</v>
      </c>
      <c r="Q23" s="9"/>
      <c r="R23" s="9"/>
      <c r="V23" s="14" t="str">
        <f>+V21&amp;V22&amp;V20</f>
        <v>27:36</v>
      </c>
      <c r="W23" s="9" t="str">
        <f>+W21&amp;W22&amp;W20</f>
        <v>32:24</v>
      </c>
    </row>
    <row r="24" spans="1:23" ht="12.75">
      <c r="A24" t="s">
        <v>15</v>
      </c>
      <c r="D24" s="7">
        <f>+D9/D23*100</f>
        <v>31.32530120481928</v>
      </c>
      <c r="H24" t="s">
        <v>15</v>
      </c>
      <c r="M24" s="7">
        <f>+M9/M23*100</f>
        <v>18.461538461538463</v>
      </c>
      <c r="V24" s="9" t="str">
        <f>IF(V20&lt;10,+V21&amp;V22&amp;$U$20&amp;V20,+V21&amp;V22&amp;V20)</f>
        <v>27:36</v>
      </c>
      <c r="W24" s="9" t="str">
        <f>IF(W20&lt;10,+W21&amp;W22&amp;$U$20&amp;W20,+W21&amp;W22&amp;W20)</f>
        <v>32:24</v>
      </c>
    </row>
    <row r="25" spans="1:13" ht="12.75">
      <c r="A25" s="1" t="s">
        <v>86</v>
      </c>
      <c r="D25" s="7">
        <f>+D18/D23*100</f>
        <v>68.67469879518072</v>
      </c>
      <c r="H25" s="1" t="s">
        <v>86</v>
      </c>
      <c r="M25" s="7">
        <f>+M18/M23*100</f>
        <v>81.53846153846153</v>
      </c>
    </row>
    <row r="27" spans="1:13" ht="12.75">
      <c r="A27" t="s">
        <v>16</v>
      </c>
      <c r="D27">
        <f>+D8+D12+D16</f>
        <v>59</v>
      </c>
      <c r="H27" t="s">
        <v>16</v>
      </c>
      <c r="M27">
        <f>+M8+M12+M16</f>
        <v>77</v>
      </c>
    </row>
    <row r="28" spans="1:13" ht="12.75">
      <c r="A28" t="s">
        <v>17</v>
      </c>
      <c r="D28" s="8">
        <f>+D23/D27</f>
        <v>5.627118644067797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5.064935064935065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2</v>
      </c>
      <c r="H31" t="s">
        <v>19</v>
      </c>
      <c r="M31" s="2">
        <v>3</v>
      </c>
    </row>
    <row r="32" spans="1:13" ht="12.75">
      <c r="A32" t="s">
        <v>20</v>
      </c>
      <c r="D32" s="2">
        <v>16</v>
      </c>
      <c r="H32" t="s">
        <v>20</v>
      </c>
      <c r="M32" s="2">
        <v>70</v>
      </c>
    </row>
    <row r="33" spans="1:13" ht="12.75">
      <c r="A33" t="s">
        <v>21</v>
      </c>
      <c r="D33" s="2">
        <v>0</v>
      </c>
      <c r="H33" t="s">
        <v>21</v>
      </c>
      <c r="M33" s="2">
        <v>1</v>
      </c>
    </row>
    <row r="35" spans="1:13" ht="12.75">
      <c r="A35" t="s">
        <v>22</v>
      </c>
      <c r="D35" s="2">
        <v>4</v>
      </c>
      <c r="H35" t="s">
        <v>22</v>
      </c>
      <c r="M35" s="2">
        <v>5</v>
      </c>
    </row>
    <row r="36" spans="1:13" ht="12.75">
      <c r="A36" t="s">
        <v>23</v>
      </c>
      <c r="D36" s="2">
        <v>175</v>
      </c>
      <c r="H36" t="s">
        <v>23</v>
      </c>
      <c r="M36" s="2">
        <v>197</v>
      </c>
    </row>
    <row r="37" spans="1:13" ht="12.75">
      <c r="A37" t="s">
        <v>24</v>
      </c>
      <c r="D37" s="8">
        <f>+D36/D35</f>
        <v>43.75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39.4</v>
      </c>
    </row>
    <row r="39" spans="1:13" ht="12.75">
      <c r="A39" t="s">
        <v>25</v>
      </c>
      <c r="D39" s="2">
        <v>4</v>
      </c>
      <c r="H39" t="s">
        <v>25</v>
      </c>
      <c r="M39" s="2">
        <v>3</v>
      </c>
    </row>
    <row r="40" spans="1:13" ht="12.75">
      <c r="A40" t="s">
        <v>26</v>
      </c>
      <c r="D40" s="2">
        <v>54</v>
      </c>
      <c r="H40" t="s">
        <v>26</v>
      </c>
      <c r="M40" s="2">
        <v>16</v>
      </c>
    </row>
    <row r="41" spans="1:13" ht="12.75">
      <c r="A41" t="s">
        <v>27</v>
      </c>
      <c r="D41" s="8">
        <f>+D40/D39</f>
        <v>13.5</v>
      </c>
      <c r="H41" t="s">
        <v>27</v>
      </c>
      <c r="M41" s="8">
        <f>+M40/M39</f>
        <v>5.333333333333333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3</v>
      </c>
      <c r="H44" t="s">
        <v>30</v>
      </c>
      <c r="M44" s="2">
        <v>5</v>
      </c>
    </row>
    <row r="45" spans="1:13" ht="12.75">
      <c r="A45" t="s">
        <v>26</v>
      </c>
      <c r="D45" s="2">
        <v>36</v>
      </c>
      <c r="H45" t="s">
        <v>26</v>
      </c>
      <c r="M45" s="2">
        <v>136</v>
      </c>
    </row>
    <row r="46" spans="1:13" ht="12.75">
      <c r="A46" t="s">
        <v>27</v>
      </c>
      <c r="D46" s="8">
        <f>+D45/D44</f>
        <v>12</v>
      </c>
      <c r="H46" t="s">
        <v>27</v>
      </c>
      <c r="M46" s="8">
        <f>+M45/M44</f>
        <v>27.2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4</v>
      </c>
      <c r="H49" t="s">
        <v>31</v>
      </c>
      <c r="M49" s="2">
        <v>2</v>
      </c>
    </row>
    <row r="50" spans="1:13" ht="12.75">
      <c r="A50" t="s">
        <v>32</v>
      </c>
      <c r="D50" s="2">
        <v>35</v>
      </c>
      <c r="H50" t="s">
        <v>32</v>
      </c>
      <c r="M50" s="2">
        <v>20</v>
      </c>
    </row>
    <row r="52" spans="1:13" ht="12.75">
      <c r="A52" t="s">
        <v>33</v>
      </c>
      <c r="D52" s="2">
        <v>2</v>
      </c>
      <c r="H52" t="s">
        <v>33</v>
      </c>
      <c r="M52" s="2">
        <v>3</v>
      </c>
    </row>
    <row r="53" spans="1:13" ht="12.75">
      <c r="A53" t="s">
        <v>101</v>
      </c>
      <c r="D53" s="2">
        <v>2</v>
      </c>
      <c r="H53" t="s">
        <v>101</v>
      </c>
      <c r="M53" s="2">
        <v>1</v>
      </c>
    </row>
    <row r="55" spans="1:13" ht="12.75">
      <c r="A55" t="s">
        <v>34</v>
      </c>
      <c r="D55" s="2">
        <v>28</v>
      </c>
      <c r="H55" t="s">
        <v>34</v>
      </c>
      <c r="M55" s="2">
        <v>14</v>
      </c>
    </row>
    <row r="56" spans="1:13" ht="12.75">
      <c r="A56" t="s">
        <v>35</v>
      </c>
      <c r="D56" s="2">
        <v>4</v>
      </c>
      <c r="H56" t="s">
        <v>35</v>
      </c>
      <c r="M56" s="2">
        <v>1</v>
      </c>
    </row>
    <row r="57" spans="1:13" ht="12.75">
      <c r="A57" t="s">
        <v>36</v>
      </c>
      <c r="D57" s="2">
        <v>1</v>
      </c>
      <c r="H57" t="s">
        <v>36</v>
      </c>
      <c r="M57" s="2">
        <v>0</v>
      </c>
    </row>
    <row r="58" spans="1:13" ht="12.75">
      <c r="A58" t="s">
        <v>37</v>
      </c>
      <c r="D58" s="2">
        <v>2</v>
      </c>
      <c r="H58" t="s">
        <v>37</v>
      </c>
      <c r="M58" s="2">
        <v>1</v>
      </c>
    </row>
    <row r="59" spans="1:13" ht="12.75">
      <c r="A59" t="s">
        <v>38</v>
      </c>
      <c r="D59" s="2">
        <v>1</v>
      </c>
      <c r="H59" t="s">
        <v>38</v>
      </c>
      <c r="M59" s="2">
        <v>0</v>
      </c>
    </row>
    <row r="60" spans="1:13" ht="12.75">
      <c r="A60" t="s">
        <v>39</v>
      </c>
      <c r="D60" s="2">
        <v>4</v>
      </c>
      <c r="H60" t="s">
        <v>39</v>
      </c>
      <c r="M60" s="2">
        <v>0</v>
      </c>
    </row>
    <row r="61" spans="1:13" ht="12.75">
      <c r="A61" t="s">
        <v>40</v>
      </c>
      <c r="D61" s="2">
        <v>0</v>
      </c>
      <c r="H61" t="s">
        <v>40</v>
      </c>
      <c r="M61" s="2">
        <v>0</v>
      </c>
    </row>
    <row r="62" spans="1:13" ht="12.75">
      <c r="A62" t="s">
        <v>41</v>
      </c>
      <c r="D62" s="2">
        <v>0</v>
      </c>
      <c r="H62" t="s">
        <v>41</v>
      </c>
      <c r="M62" s="2">
        <v>2</v>
      </c>
    </row>
    <row r="63" spans="1:13" ht="12.75">
      <c r="A63" t="s">
        <v>42</v>
      </c>
      <c r="D63" s="2">
        <v>0</v>
      </c>
      <c r="H63" t="s">
        <v>42</v>
      </c>
      <c r="M63" s="2">
        <v>3</v>
      </c>
    </row>
    <row r="64" spans="1:13" ht="12.75">
      <c r="A64" t="s">
        <v>43</v>
      </c>
      <c r="D64" s="7">
        <v>0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f>+M62/M63*100</f>
        <v>66.66666666666666</v>
      </c>
    </row>
    <row r="65" spans="1:13" ht="12.75">
      <c r="A65" t="s">
        <v>89</v>
      </c>
      <c r="D65" s="10" t="str">
        <f>IF(V20&lt;10,V24,V23)</f>
        <v>27:36</v>
      </c>
      <c r="E65" s="8"/>
      <c r="F65" s="8"/>
      <c r="H65" t="s">
        <v>89</v>
      </c>
      <c r="M65" s="10" t="str">
        <f>IF(W20&lt;10,W24,W23)</f>
        <v>32:24</v>
      </c>
    </row>
    <row r="66" spans="1:13" ht="12.75">
      <c r="A66" t="s">
        <v>102</v>
      </c>
      <c r="D66" s="12">
        <f>D150</f>
        <v>38.46153846153847</v>
      </c>
      <c r="H66" t="s">
        <v>102</v>
      </c>
      <c r="M66" s="12">
        <f>M150</f>
        <v>21.052631578947366</v>
      </c>
    </row>
    <row r="67" spans="4:13" ht="12.75">
      <c r="D67" s="2"/>
      <c r="M67" s="2"/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8" ht="12.75">
      <c r="A70" t="s">
        <v>109</v>
      </c>
      <c r="C70">
        <v>15</v>
      </c>
      <c r="D70">
        <v>53</v>
      </c>
      <c r="E70" s="12">
        <f aca="true" t="shared" si="0" ref="E70:E80">+D70/C70</f>
        <v>3.533333333333333</v>
      </c>
      <c r="F70">
        <v>13</v>
      </c>
      <c r="G70">
        <v>0</v>
      </c>
      <c r="H70">
        <v>0</v>
      </c>
    </row>
    <row r="71" spans="1:8" ht="12.75">
      <c r="A71" t="s">
        <v>108</v>
      </c>
      <c r="C71">
        <v>11</v>
      </c>
      <c r="D71">
        <v>26</v>
      </c>
      <c r="E71" s="12">
        <f t="shared" si="0"/>
        <v>2.3636363636363638</v>
      </c>
      <c r="F71">
        <v>8</v>
      </c>
      <c r="G71">
        <v>0</v>
      </c>
      <c r="H71">
        <v>1</v>
      </c>
    </row>
    <row r="72" spans="1:5" ht="12.75">
      <c r="A72" t="s">
        <v>110</v>
      </c>
      <c r="E72" s="12" t="e">
        <f t="shared" si="0"/>
        <v>#DIV/0!</v>
      </c>
    </row>
    <row r="73" spans="1:8" ht="12.75">
      <c r="A73" t="s">
        <v>111</v>
      </c>
      <c r="C73">
        <v>3</v>
      </c>
      <c r="D73">
        <v>15</v>
      </c>
      <c r="E73" s="12">
        <f t="shared" si="0"/>
        <v>5</v>
      </c>
      <c r="F73">
        <v>8</v>
      </c>
      <c r="G73">
        <v>1</v>
      </c>
      <c r="H73">
        <v>0</v>
      </c>
    </row>
    <row r="74" spans="1:5" ht="12.75">
      <c r="A74" t="s">
        <v>112</v>
      </c>
      <c r="E74" s="12" t="e">
        <f t="shared" si="0"/>
        <v>#DIV/0!</v>
      </c>
    </row>
    <row r="75" spans="1:8" ht="12.75">
      <c r="A75" t="s">
        <v>106</v>
      </c>
      <c r="C75">
        <v>3</v>
      </c>
      <c r="D75">
        <v>10</v>
      </c>
      <c r="E75" s="12">
        <f t="shared" si="0"/>
        <v>3.3333333333333335</v>
      </c>
      <c r="F75">
        <v>9</v>
      </c>
      <c r="G75">
        <v>0</v>
      </c>
      <c r="H75">
        <v>0</v>
      </c>
    </row>
    <row r="76" spans="1:5" ht="12.75">
      <c r="A76" t="s">
        <v>113</v>
      </c>
      <c r="E76" s="12" t="e">
        <f t="shared" si="0"/>
        <v>#DIV/0!</v>
      </c>
    </row>
    <row r="77" spans="1:5" ht="12.75">
      <c r="A77" t="s">
        <v>114</v>
      </c>
      <c r="E77" s="12" t="e">
        <f t="shared" si="0"/>
        <v>#DIV/0!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6</v>
      </c>
      <c r="D83">
        <v>70</v>
      </c>
      <c r="E83" s="12">
        <f aca="true" t="shared" si="1" ref="E83:E92">+D83/C83</f>
        <v>11.666666666666666</v>
      </c>
      <c r="F83">
        <v>34</v>
      </c>
      <c r="G83">
        <v>0</v>
      </c>
      <c r="H83">
        <v>0</v>
      </c>
    </row>
    <row r="84" spans="1:8" ht="12.75">
      <c r="A84" t="s">
        <v>118</v>
      </c>
      <c r="C84">
        <v>3</v>
      </c>
      <c r="D84">
        <v>97</v>
      </c>
      <c r="E84" s="12">
        <f t="shared" si="1"/>
        <v>32.333333333333336</v>
      </c>
      <c r="F84">
        <v>39</v>
      </c>
      <c r="G84">
        <v>2</v>
      </c>
      <c r="H84">
        <v>0</v>
      </c>
    </row>
    <row r="85" spans="1:8" ht="12.75">
      <c r="A85" t="s">
        <v>108</v>
      </c>
      <c r="C85">
        <v>3</v>
      </c>
      <c r="D85">
        <v>52</v>
      </c>
      <c r="E85" s="12">
        <f t="shared" si="1"/>
        <v>17.333333333333332</v>
      </c>
      <c r="F85">
        <v>27</v>
      </c>
      <c r="G85">
        <v>0</v>
      </c>
      <c r="H85">
        <v>0</v>
      </c>
    </row>
    <row r="86" spans="1:5" ht="12.75">
      <c r="A86" t="s">
        <v>113</v>
      </c>
      <c r="E86" s="12" t="e">
        <f t="shared" si="1"/>
        <v>#DIV/0!</v>
      </c>
    </row>
    <row r="87" spans="1:8" ht="12.75">
      <c r="A87" t="s">
        <v>109</v>
      </c>
      <c r="C87">
        <v>1</v>
      </c>
      <c r="D87">
        <v>9</v>
      </c>
      <c r="E87" s="12">
        <f t="shared" si="1"/>
        <v>9</v>
      </c>
      <c r="F87">
        <v>9</v>
      </c>
      <c r="G87">
        <v>0</v>
      </c>
      <c r="H87">
        <v>0</v>
      </c>
    </row>
    <row r="88" spans="1:5" ht="12.75">
      <c r="A88" t="s">
        <v>114</v>
      </c>
      <c r="E88" s="12" t="e">
        <f t="shared" si="1"/>
        <v>#DIV/0!</v>
      </c>
    </row>
    <row r="89" spans="1:5" ht="12.75">
      <c r="A89" t="s">
        <v>119</v>
      </c>
      <c r="E89" s="12" t="e">
        <f t="shared" si="1"/>
        <v>#DIV/0!</v>
      </c>
    </row>
    <row r="90" spans="1:5" ht="12.75">
      <c r="A90" t="s">
        <v>112</v>
      </c>
      <c r="E90" s="12" t="e">
        <f t="shared" si="1"/>
        <v>#DIV/0!</v>
      </c>
    </row>
    <row r="91" spans="1:5" ht="12.75">
      <c r="A91" t="s">
        <v>115</v>
      </c>
      <c r="E91" s="12" t="e">
        <f t="shared" si="1"/>
        <v>#DIV/0!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E96" s="12" t="e">
        <f>+D96/C96*100</f>
        <v>#DIV/0!</v>
      </c>
      <c r="J96" s="8" t="e">
        <f>+G96/C96*100</f>
        <v>#DIV/0!</v>
      </c>
      <c r="K96" s="12" t="e">
        <f>+I96/C96*100</f>
        <v>#DIV/0!</v>
      </c>
      <c r="L96" s="12" t="e">
        <f>+F96/C96</f>
        <v>#DIV/0!</v>
      </c>
      <c r="M96" s="12" t="e">
        <f>100*(S96+U96+W96+Y96)/6</f>
        <v>#DIV/0!</v>
      </c>
      <c r="R96" t="e">
        <f>+(E96-30)/20</f>
        <v>#DIV/0!</v>
      </c>
      <c r="S96" s="2" t="e">
        <f>IF(R96&lt;0,0,R96)</f>
        <v>#DIV/0!</v>
      </c>
      <c r="T96" s="6" t="e">
        <f>+(L96-3)/4</f>
        <v>#DIV/0!</v>
      </c>
      <c r="U96" s="2" t="e">
        <f>IF(T96&lt;0,0,T96)</f>
        <v>#DIV/0!</v>
      </c>
      <c r="V96" t="e">
        <f>+J96/5</f>
        <v>#DIV/0!</v>
      </c>
      <c r="W96" s="2" t="e">
        <f>IF(V96&lt;0,0,V96)</f>
        <v>#DIV/0!</v>
      </c>
      <c r="X96" t="e">
        <f>(9.5-K96)/4</f>
        <v>#DIV/0!</v>
      </c>
      <c r="Y96" s="2" t="e">
        <f>IF(X96&lt;0,0,X96)</f>
        <v>#DIV/0!</v>
      </c>
    </row>
    <row r="97" spans="1:25" ht="12.75">
      <c r="A97" t="s">
        <v>106</v>
      </c>
      <c r="C97">
        <v>18</v>
      </c>
      <c r="D97">
        <v>9</v>
      </c>
      <c r="E97" s="12">
        <f>+D97/C97*100</f>
        <v>50</v>
      </c>
      <c r="F97">
        <v>182</v>
      </c>
      <c r="G97">
        <v>2</v>
      </c>
      <c r="H97">
        <v>39</v>
      </c>
      <c r="I97">
        <v>2</v>
      </c>
      <c r="J97" s="8">
        <f>+G97/C97*100</f>
        <v>11.11111111111111</v>
      </c>
      <c r="K97" s="12">
        <f>+I97/C97*100</f>
        <v>11.11111111111111</v>
      </c>
      <c r="L97" s="12">
        <f>+F97/C97</f>
        <v>10.11111111111111</v>
      </c>
      <c r="M97" s="12">
        <f>100*(S97+U97+W97+Y97)/6</f>
        <v>83.33333333333333</v>
      </c>
      <c r="R97">
        <f>+(E97-30)/20</f>
        <v>1</v>
      </c>
      <c r="S97" s="2">
        <f>IF(R97&lt;0,0,R97)</f>
        <v>1</v>
      </c>
      <c r="T97" s="6">
        <f>+(L97-3)/4</f>
        <v>1.7777777777777777</v>
      </c>
      <c r="U97" s="2">
        <f>IF(T97&lt;0,0,T97)</f>
        <v>1.7777777777777777</v>
      </c>
      <c r="V97">
        <f>+J97/5</f>
        <v>2.2222222222222223</v>
      </c>
      <c r="W97" s="2">
        <f>IF(V97&lt;0,0,V97)</f>
        <v>2.2222222222222223</v>
      </c>
      <c r="X97">
        <f>(9.5-K97)/4</f>
        <v>-0.4027777777777777</v>
      </c>
      <c r="Y97" s="2">
        <f>IF(X97&lt;0,0,X97)</f>
        <v>0</v>
      </c>
    </row>
    <row r="98" spans="1:25" ht="12.75">
      <c r="A98" t="s">
        <v>107</v>
      </c>
      <c r="C98">
        <v>9</v>
      </c>
      <c r="D98">
        <v>4</v>
      </c>
      <c r="E98" s="12">
        <f>+D98/C98*100</f>
        <v>44.44444444444444</v>
      </c>
      <c r="F98">
        <v>46</v>
      </c>
      <c r="G98">
        <v>0</v>
      </c>
      <c r="H98">
        <v>22</v>
      </c>
      <c r="I98">
        <v>1</v>
      </c>
      <c r="J98" s="8">
        <f>+G98/C98*100</f>
        <v>0</v>
      </c>
      <c r="K98" s="12">
        <f>+I98/C98*100</f>
        <v>11.11111111111111</v>
      </c>
      <c r="L98" s="12">
        <f>+F98/C98</f>
        <v>5.111111111111111</v>
      </c>
      <c r="M98" s="12">
        <f>100*(S98+U98+W98+Y98)/6</f>
        <v>20.83333333333333</v>
      </c>
      <c r="N98">
        <v>1</v>
      </c>
      <c r="R98">
        <f>+(E98-30)/20</f>
        <v>0.7222222222222221</v>
      </c>
      <c r="S98" s="2">
        <f>IF(R98&lt;0,0,R98)</f>
        <v>0.7222222222222221</v>
      </c>
      <c r="T98" s="6">
        <f>+(L98-3)/4</f>
        <v>0.5277777777777777</v>
      </c>
      <c r="U98" s="2">
        <f>IF(T98&lt;0,0,T98)</f>
        <v>0.5277777777777777</v>
      </c>
      <c r="V98">
        <f>+J98/5</f>
        <v>0</v>
      </c>
      <c r="W98" s="2">
        <f>IF(V98&lt;0,0,V98)</f>
        <v>0</v>
      </c>
      <c r="X98">
        <f>(9.5-K98)/4</f>
        <v>-0.4027777777777777</v>
      </c>
      <c r="Y98" s="2">
        <f>IF(X98&lt;0,0,X98)</f>
        <v>0</v>
      </c>
    </row>
    <row r="99" spans="1:13" ht="12.75">
      <c r="A99" t="s">
        <v>108</v>
      </c>
      <c r="E99" s="12" t="e">
        <f>+D99/C99*100</f>
        <v>#DIV/0!</v>
      </c>
      <c r="J99" s="8" t="e">
        <f>+G99/C99*100</f>
        <v>#DIV/0!</v>
      </c>
      <c r="K99" s="12" t="e">
        <f>+I99/C99*100</f>
        <v>#DIV/0!</v>
      </c>
      <c r="L99" s="12" t="e">
        <f>+F99/C99</f>
        <v>#DIV/0!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9" ht="12.75">
      <c r="A102" t="s">
        <v>118</v>
      </c>
      <c r="C102">
        <v>4</v>
      </c>
      <c r="D102">
        <v>1</v>
      </c>
      <c r="E102">
        <v>54</v>
      </c>
      <c r="F102" s="12">
        <f>+E102/C102</f>
        <v>13.5</v>
      </c>
      <c r="G102">
        <v>38</v>
      </c>
      <c r="H102">
        <v>0</v>
      </c>
      <c r="I102">
        <v>0</v>
      </c>
    </row>
    <row r="103" spans="1:6" ht="12.75">
      <c r="A103" t="s">
        <v>117</v>
      </c>
      <c r="F103" s="12" t="e">
        <f>+E103/C103</f>
        <v>#DIV/0!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8" ht="12.75">
      <c r="A107" t="s">
        <v>111</v>
      </c>
      <c r="C107">
        <v>2</v>
      </c>
      <c r="D107">
        <v>36</v>
      </c>
      <c r="E107" s="12">
        <f aca="true" t="shared" si="2" ref="E107:E113">+D107/C107</f>
        <v>18</v>
      </c>
      <c r="F107">
        <v>19</v>
      </c>
      <c r="G107">
        <v>0</v>
      </c>
      <c r="H107">
        <v>0</v>
      </c>
    </row>
    <row r="108" spans="1:5" ht="12.75">
      <c r="A108" t="s">
        <v>115</v>
      </c>
      <c r="E108" s="12" t="e">
        <f t="shared" si="2"/>
        <v>#DIV/0!</v>
      </c>
    </row>
    <row r="109" spans="1:5" ht="12.75">
      <c r="A109" t="s">
        <v>121</v>
      </c>
      <c r="E109" s="12" t="e">
        <f t="shared" si="2"/>
        <v>#DIV/0!</v>
      </c>
    </row>
    <row r="110" spans="1:8" ht="12.75">
      <c r="A110" t="s">
        <v>112</v>
      </c>
      <c r="C110">
        <v>1</v>
      </c>
      <c r="D110">
        <v>0</v>
      </c>
      <c r="E110" s="12">
        <f t="shared" si="2"/>
        <v>0</v>
      </c>
      <c r="F110">
        <v>0</v>
      </c>
      <c r="G110">
        <v>0</v>
      </c>
      <c r="H110">
        <v>0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v>4</v>
      </c>
      <c r="D116">
        <v>133</v>
      </c>
      <c r="E116" s="12">
        <f>+D116/C116</f>
        <v>33.25</v>
      </c>
      <c r="F116">
        <v>47</v>
      </c>
      <c r="G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5</v>
      </c>
      <c r="D119">
        <v>0</v>
      </c>
      <c r="E119">
        <v>4</v>
      </c>
      <c r="F119">
        <v>4</v>
      </c>
      <c r="G119">
        <v>0</v>
      </c>
      <c r="H119">
        <v>0</v>
      </c>
      <c r="I119" s="12">
        <v>0</v>
      </c>
      <c r="J119">
        <v>0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8" ht="12.75">
      <c r="A123" t="s">
        <v>121</v>
      </c>
      <c r="C123">
        <v>1</v>
      </c>
      <c r="D123">
        <v>0</v>
      </c>
      <c r="E123" s="12">
        <f>+D123/C123</f>
        <v>0</v>
      </c>
      <c r="F123">
        <v>0</v>
      </c>
      <c r="G123">
        <v>0</v>
      </c>
      <c r="H123">
        <v>0</v>
      </c>
    </row>
    <row r="124" spans="1:5" ht="12.75">
      <c r="A124" t="s">
        <v>124</v>
      </c>
      <c r="E124" s="12" t="e">
        <f aca="true" t="shared" si="3" ref="E124:E130">+D124/C124</f>
        <v>#DIV/0!</v>
      </c>
    </row>
    <row r="125" spans="1:5" ht="12.75">
      <c r="A125" t="s">
        <v>125</v>
      </c>
      <c r="E125" s="12" t="e">
        <f t="shared" si="3"/>
        <v>#DIV/0!</v>
      </c>
    </row>
    <row r="126" spans="1:8" ht="12.75">
      <c r="A126" t="s">
        <v>126</v>
      </c>
      <c r="C126">
        <v>1</v>
      </c>
      <c r="D126">
        <v>72</v>
      </c>
      <c r="E126" s="12">
        <f t="shared" si="3"/>
        <v>72</v>
      </c>
      <c r="F126">
        <v>72</v>
      </c>
      <c r="G126">
        <v>1</v>
      </c>
      <c r="H126">
        <v>0</v>
      </c>
    </row>
    <row r="127" spans="1:5" ht="12.75">
      <c r="A127" t="s">
        <v>127</v>
      </c>
      <c r="E127" s="12" t="e">
        <f t="shared" si="3"/>
        <v>#DIV/0!</v>
      </c>
    </row>
    <row r="128" spans="1:8" ht="12.75">
      <c r="A128" t="s">
        <v>128</v>
      </c>
      <c r="C128">
        <v>1</v>
      </c>
      <c r="D128">
        <v>-2</v>
      </c>
      <c r="E128" s="12">
        <f t="shared" si="3"/>
        <v>-2</v>
      </c>
      <c r="F128">
        <v>-2</v>
      </c>
      <c r="G128">
        <v>0</v>
      </c>
      <c r="H128">
        <v>0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spans="1:3" ht="12.75">
      <c r="A133" t="s">
        <v>132</v>
      </c>
      <c r="C133">
        <v>1</v>
      </c>
    </row>
    <row r="134" ht="12.75">
      <c r="A134" t="s">
        <v>123</v>
      </c>
    </row>
    <row r="135" ht="12.75">
      <c r="A135" t="s">
        <v>126</v>
      </c>
    </row>
    <row r="136" ht="12.75">
      <c r="A136" t="s">
        <v>128</v>
      </c>
    </row>
    <row r="137" ht="12.75">
      <c r="A137" t="s">
        <v>129</v>
      </c>
    </row>
    <row r="138" ht="12.75">
      <c r="A138" t="s">
        <v>125</v>
      </c>
    </row>
    <row r="139" ht="12.75">
      <c r="A139" t="s">
        <v>127</v>
      </c>
    </row>
    <row r="140" ht="12.75">
      <c r="A140" t="s">
        <v>133</v>
      </c>
    </row>
    <row r="141" ht="12.75">
      <c r="A141" t="s">
        <v>134</v>
      </c>
    </row>
    <row r="142" spans="1:3" ht="12.75">
      <c r="A142" t="s">
        <v>135</v>
      </c>
      <c r="C142">
        <v>1</v>
      </c>
    </row>
    <row r="143" ht="12.75">
      <c r="A143" t="s">
        <v>136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13</v>
      </c>
      <c r="H148" t="s">
        <v>93</v>
      </c>
      <c r="M148">
        <v>19</v>
      </c>
    </row>
    <row r="149" spans="1:13" ht="12.75">
      <c r="A149" t="s">
        <v>94</v>
      </c>
      <c r="D149">
        <v>5</v>
      </c>
      <c r="H149" t="s">
        <v>94</v>
      </c>
      <c r="M149">
        <v>4</v>
      </c>
    </row>
    <row r="150" spans="1:13" ht="12.75">
      <c r="A150" t="s">
        <v>95</v>
      </c>
      <c r="D150" s="8">
        <f>D149/D148*100</f>
        <v>38.46153846153847</v>
      </c>
      <c r="H150" t="s">
        <v>95</v>
      </c>
      <c r="M150" s="8">
        <f>+M149/M148*100</f>
        <v>21.052631578947366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Y150"/>
  <sheetViews>
    <sheetView zoomScalePageLayoutView="0" workbookViewId="0" topLeftCell="A124">
      <selection activeCell="M150" sqref="M15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25</v>
      </c>
      <c r="H6" s="1" t="s">
        <v>29</v>
      </c>
      <c r="M6" s="2">
        <v>19</v>
      </c>
    </row>
    <row r="8" spans="1:23" ht="12.75">
      <c r="A8" t="s">
        <v>1</v>
      </c>
      <c r="D8" s="2">
        <v>36</v>
      </c>
      <c r="H8" t="s">
        <v>1</v>
      </c>
      <c r="M8" s="2">
        <v>23</v>
      </c>
      <c r="V8">
        <f>+D8</f>
        <v>36</v>
      </c>
      <c r="W8">
        <f>+M8</f>
        <v>23</v>
      </c>
    </row>
    <row r="9" spans="1:23" ht="12.75">
      <c r="A9" t="s">
        <v>2</v>
      </c>
      <c r="D9" s="2">
        <v>174</v>
      </c>
      <c r="H9" t="s">
        <v>2</v>
      </c>
      <c r="M9" s="2">
        <v>96</v>
      </c>
      <c r="U9" s="13"/>
      <c r="V9">
        <f>+D13</f>
        <v>18</v>
      </c>
      <c r="W9">
        <f>+M13</f>
        <v>22</v>
      </c>
    </row>
    <row r="10" spans="1:23" ht="12.75">
      <c r="A10" s="1" t="s">
        <v>3</v>
      </c>
      <c r="D10" s="8">
        <f>+D9/D8</f>
        <v>4.833333333333333</v>
      </c>
      <c r="H10" s="1" t="s">
        <v>3</v>
      </c>
      <c r="M10" s="8">
        <f>+M9/M8</f>
        <v>4.173913043478261</v>
      </c>
      <c r="V10">
        <f>+(D12-D13)/2</f>
        <v>8</v>
      </c>
      <c r="W10">
        <f>+(M12-M13)/2</f>
        <v>6</v>
      </c>
    </row>
    <row r="11" spans="22:23" ht="12.75">
      <c r="V11">
        <f>+D35/2</f>
        <v>1.5</v>
      </c>
      <c r="W11">
        <f>+M35/2</f>
        <v>1.5</v>
      </c>
    </row>
    <row r="12" spans="1:23" ht="12.75">
      <c r="A12" t="s">
        <v>4</v>
      </c>
      <c r="D12" s="2">
        <v>34</v>
      </c>
      <c r="H12" t="s">
        <v>4</v>
      </c>
      <c r="M12" s="2">
        <v>34</v>
      </c>
      <c r="V12">
        <f>+D39/2</f>
        <v>1.5</v>
      </c>
      <c r="W12">
        <f>+M39/2</f>
        <v>0.5</v>
      </c>
    </row>
    <row r="13" spans="1:23" ht="12.75">
      <c r="A13" t="s">
        <v>5</v>
      </c>
      <c r="D13" s="2">
        <v>18</v>
      </c>
      <c r="H13" t="s">
        <v>5</v>
      </c>
      <c r="M13" s="2">
        <v>22</v>
      </c>
      <c r="V13">
        <f>+D44/2</f>
        <v>1.5</v>
      </c>
      <c r="W13">
        <f>+M44/2</f>
        <v>3</v>
      </c>
    </row>
    <row r="14" spans="1:13" ht="12.75">
      <c r="A14" t="s">
        <v>6</v>
      </c>
      <c r="D14" s="8">
        <f>+D13/D12*100</f>
        <v>52.94117647058824</v>
      </c>
      <c r="H14" t="s">
        <v>6</v>
      </c>
      <c r="M14" s="8">
        <f>+M13/M12*100</f>
        <v>64.70588235294117</v>
      </c>
    </row>
    <row r="15" spans="1:24" ht="12.75">
      <c r="A15" t="s">
        <v>7</v>
      </c>
      <c r="D15" s="2">
        <v>279</v>
      </c>
      <c r="H15" t="s">
        <v>7</v>
      </c>
      <c r="M15" s="2">
        <v>260</v>
      </c>
      <c r="V15">
        <f>SUM(V8:V13)</f>
        <v>66.5</v>
      </c>
      <c r="W15">
        <f>SUM(W8:W13)</f>
        <v>56</v>
      </c>
      <c r="X15">
        <f>+W15+V15</f>
        <v>122.5</v>
      </c>
    </row>
    <row r="16" spans="1:23" ht="12.75">
      <c r="A16" t="s">
        <v>8</v>
      </c>
      <c r="D16" s="2">
        <v>0</v>
      </c>
      <c r="H16" t="s">
        <v>8</v>
      </c>
      <c r="M16" s="2">
        <v>2</v>
      </c>
      <c r="V16">
        <f>+V15/X15</f>
        <v>0.5428571428571428</v>
      </c>
      <c r="W16">
        <f>+W15/X15</f>
        <v>0.45714285714285713</v>
      </c>
    </row>
    <row r="17" spans="1:23" ht="12.75">
      <c r="A17" t="s">
        <v>9</v>
      </c>
      <c r="D17" s="2">
        <v>0</v>
      </c>
      <c r="H17" t="s">
        <v>9</v>
      </c>
      <c r="M17" s="2">
        <v>17</v>
      </c>
      <c r="V17">
        <f>+V16*60</f>
        <v>32.57142857142857</v>
      </c>
      <c r="W17">
        <f>+W16*60</f>
        <v>27.428571428571427</v>
      </c>
    </row>
    <row r="18" spans="1:23" ht="12.75">
      <c r="A18" t="s">
        <v>10</v>
      </c>
      <c r="D18">
        <f>+D15-D17</f>
        <v>279</v>
      </c>
      <c r="H18" t="s">
        <v>10</v>
      </c>
      <c r="M18">
        <f>+M15-M17</f>
        <v>243</v>
      </c>
      <c r="V18">
        <f>+V17-INT(V17)</f>
        <v>0.5714285714285694</v>
      </c>
      <c r="W18">
        <f>+W17-INT(W17)</f>
        <v>0.42857142857142705</v>
      </c>
    </row>
    <row r="19" spans="1:23" ht="12.75">
      <c r="A19" t="s">
        <v>11</v>
      </c>
      <c r="D19" s="7">
        <f>+D18/(D12+D16)</f>
        <v>8.205882352941176</v>
      </c>
      <c r="H19" t="s">
        <v>11</v>
      </c>
      <c r="M19" s="7">
        <f>+M18/(M12+M16)</f>
        <v>6.75</v>
      </c>
      <c r="V19">
        <f>+V18*60</f>
        <v>34.285714285714164</v>
      </c>
      <c r="W19">
        <f>+W18*60</f>
        <v>25.714285714285623</v>
      </c>
    </row>
    <row r="20" spans="1:23" ht="12.75">
      <c r="A20" t="s">
        <v>12</v>
      </c>
      <c r="D20" s="7">
        <f>+D15/D13</f>
        <v>15.5</v>
      </c>
      <c r="H20" t="s">
        <v>12</v>
      </c>
      <c r="M20" s="7">
        <f>+M15/M13</f>
        <v>11.818181818181818</v>
      </c>
      <c r="U20">
        <v>0</v>
      </c>
      <c r="V20" s="11">
        <f>ROUND(V19,0)</f>
        <v>34</v>
      </c>
      <c r="W20">
        <f>ROUND(W19,0)</f>
        <v>26</v>
      </c>
    </row>
    <row r="21" spans="22:23" ht="12.75">
      <c r="V21">
        <f>INT(V17)</f>
        <v>32</v>
      </c>
      <c r="W21">
        <f>INT(W17)</f>
        <v>27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453</v>
      </c>
      <c r="H23" t="s">
        <v>14</v>
      </c>
      <c r="M23">
        <f>+M18+M9</f>
        <v>339</v>
      </c>
      <c r="Q23" s="9"/>
      <c r="R23" s="9"/>
      <c r="V23" s="14" t="str">
        <f>+V21&amp;V22&amp;V20</f>
        <v>32:34</v>
      </c>
      <c r="W23" s="9" t="str">
        <f>+W21&amp;W22&amp;W20</f>
        <v>27:26</v>
      </c>
    </row>
    <row r="24" spans="1:23" ht="12.75">
      <c r="A24" t="s">
        <v>15</v>
      </c>
      <c r="D24" s="7">
        <f>+D9/D23*100</f>
        <v>38.41059602649007</v>
      </c>
      <c r="H24" t="s">
        <v>15</v>
      </c>
      <c r="M24" s="7">
        <f>+M9/M23*100</f>
        <v>28.31858407079646</v>
      </c>
      <c r="V24" s="9" t="str">
        <f>IF(V20&lt;10,+V21&amp;V22&amp;$U$20&amp;V20,+V21&amp;V22&amp;V20)</f>
        <v>32:34</v>
      </c>
      <c r="W24" s="9" t="str">
        <f>IF(W20&lt;10,+W21&amp;W22&amp;$U$20&amp;W20,+W21&amp;W22&amp;W20)</f>
        <v>27:26</v>
      </c>
    </row>
    <row r="25" spans="1:13" ht="12.75">
      <c r="A25" s="1" t="s">
        <v>86</v>
      </c>
      <c r="D25" s="7">
        <f>+D18/D23*100</f>
        <v>61.58940397350994</v>
      </c>
      <c r="H25" s="1" t="s">
        <v>86</v>
      </c>
      <c r="M25" s="7">
        <f>+M18/M23*100</f>
        <v>71.68141592920354</v>
      </c>
    </row>
    <row r="27" spans="1:13" ht="12.75">
      <c r="A27" t="s">
        <v>16</v>
      </c>
      <c r="D27">
        <f>+D8+D12+D16</f>
        <v>70</v>
      </c>
      <c r="H27" t="s">
        <v>16</v>
      </c>
      <c r="M27">
        <f>+M8+M12+M16</f>
        <v>59</v>
      </c>
    </row>
    <row r="28" spans="1:13" ht="12.75">
      <c r="A28" t="s">
        <v>17</v>
      </c>
      <c r="D28" s="8">
        <f>+D23/D27</f>
        <v>6.4714285714285715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5.745762711864407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1</v>
      </c>
      <c r="H31" t="s">
        <v>19</v>
      </c>
      <c r="M31" s="2">
        <v>2</v>
      </c>
    </row>
    <row r="32" spans="1:13" ht="12.75">
      <c r="A32" t="s">
        <v>20</v>
      </c>
      <c r="D32" s="2">
        <v>4</v>
      </c>
      <c r="H32" t="s">
        <v>20</v>
      </c>
      <c r="M32" s="2">
        <v>6</v>
      </c>
    </row>
    <row r="33" spans="1:13" ht="12.75">
      <c r="A33" t="s">
        <v>21</v>
      </c>
      <c r="D33" s="2">
        <v>0</v>
      </c>
      <c r="H33" t="s">
        <v>21</v>
      </c>
      <c r="M33" s="2">
        <v>0</v>
      </c>
    </row>
    <row r="35" spans="1:13" ht="12.75">
      <c r="A35" t="s">
        <v>22</v>
      </c>
      <c r="D35" s="2">
        <v>3</v>
      </c>
      <c r="H35" t="s">
        <v>22</v>
      </c>
      <c r="M35" s="2">
        <v>3</v>
      </c>
    </row>
    <row r="36" spans="1:13" ht="12.75">
      <c r="A36" t="s">
        <v>23</v>
      </c>
      <c r="D36" s="2">
        <v>106</v>
      </c>
      <c r="H36" t="s">
        <v>23</v>
      </c>
      <c r="M36" s="2">
        <v>133</v>
      </c>
    </row>
    <row r="37" spans="1:13" ht="12.75">
      <c r="A37" t="s">
        <v>24</v>
      </c>
      <c r="D37" s="8">
        <f>+D36/D35</f>
        <v>35.333333333333336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44.333333333333336</v>
      </c>
    </row>
    <row r="38" ht="12.75">
      <c r="D38" s="2"/>
    </row>
    <row r="39" spans="1:13" ht="12.75">
      <c r="A39" t="s">
        <v>25</v>
      </c>
      <c r="D39" s="2">
        <v>3</v>
      </c>
      <c r="H39" t="s">
        <v>25</v>
      </c>
      <c r="M39" s="2">
        <v>1</v>
      </c>
    </row>
    <row r="40" spans="1:13" ht="12.75">
      <c r="A40" t="s">
        <v>26</v>
      </c>
      <c r="D40" s="2">
        <v>13</v>
      </c>
      <c r="H40" t="s">
        <v>26</v>
      </c>
      <c r="M40" s="2">
        <v>9</v>
      </c>
    </row>
    <row r="41" spans="1:13" ht="12.75">
      <c r="A41" t="s">
        <v>27</v>
      </c>
      <c r="D41" s="8">
        <f>+D40/D39</f>
        <v>4.333333333333333</v>
      </c>
      <c r="H41" t="s">
        <v>27</v>
      </c>
      <c r="M41" s="8">
        <f>+M40/M39</f>
        <v>9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3</v>
      </c>
      <c r="H44" t="s">
        <v>30</v>
      </c>
      <c r="M44" s="2">
        <v>6</v>
      </c>
    </row>
    <row r="45" spans="1:13" ht="12.75">
      <c r="A45" t="s">
        <v>26</v>
      </c>
      <c r="D45" s="2">
        <v>61</v>
      </c>
      <c r="H45" t="s">
        <v>26</v>
      </c>
      <c r="M45" s="2">
        <v>113</v>
      </c>
    </row>
    <row r="46" spans="1:13" ht="12.75">
      <c r="A46" t="s">
        <v>27</v>
      </c>
      <c r="D46" s="8">
        <f>+D45/D44</f>
        <v>20.333333333333332</v>
      </c>
      <c r="H46" t="s">
        <v>27</v>
      </c>
      <c r="M46" s="8">
        <f>+M45/M44</f>
        <v>18.833333333333332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4</v>
      </c>
      <c r="H49" t="s">
        <v>31</v>
      </c>
      <c r="M49" s="2">
        <v>5</v>
      </c>
    </row>
    <row r="50" spans="1:13" ht="12.75">
      <c r="A50" t="s">
        <v>32</v>
      </c>
      <c r="D50" s="2">
        <v>35</v>
      </c>
      <c r="H50" t="s">
        <v>32</v>
      </c>
      <c r="M50" s="2">
        <v>50</v>
      </c>
    </row>
    <row r="51" ht="12.75">
      <c r="M51" s="2"/>
    </row>
    <row r="52" spans="1:13" ht="12.75">
      <c r="A52" t="s">
        <v>33</v>
      </c>
      <c r="D52" s="2">
        <v>1</v>
      </c>
      <c r="H52" t="s">
        <v>33</v>
      </c>
      <c r="M52" s="2">
        <v>3</v>
      </c>
    </row>
    <row r="53" spans="1:13" ht="12.75">
      <c r="A53" t="s">
        <v>101</v>
      </c>
      <c r="D53" s="2">
        <v>1</v>
      </c>
      <c r="H53" t="s">
        <v>101</v>
      </c>
      <c r="M53" s="2">
        <v>3</v>
      </c>
    </row>
    <row r="55" spans="1:13" ht="12.75">
      <c r="A55" t="s">
        <v>34</v>
      </c>
      <c r="D55" s="2">
        <v>34</v>
      </c>
      <c r="H55" t="s">
        <v>34</v>
      </c>
      <c r="M55" s="2">
        <v>14</v>
      </c>
    </row>
    <row r="56" spans="1:13" ht="12.75">
      <c r="A56" t="s">
        <v>35</v>
      </c>
      <c r="D56" s="2">
        <v>4</v>
      </c>
      <c r="H56" t="s">
        <v>35</v>
      </c>
      <c r="M56" s="2">
        <v>2</v>
      </c>
    </row>
    <row r="57" spans="1:13" ht="12.75">
      <c r="A57" t="s">
        <v>36</v>
      </c>
      <c r="D57" s="2">
        <v>3</v>
      </c>
      <c r="H57" t="s">
        <v>36</v>
      </c>
      <c r="M57" s="2">
        <v>0</v>
      </c>
    </row>
    <row r="58" spans="1:13" ht="12.75">
      <c r="A58" t="s">
        <v>37</v>
      </c>
      <c r="D58" s="2">
        <v>1</v>
      </c>
      <c r="H58" t="s">
        <v>37</v>
      </c>
      <c r="M58" s="2">
        <v>2</v>
      </c>
    </row>
    <row r="59" spans="1:13" ht="12.75">
      <c r="A59" t="s">
        <v>38</v>
      </c>
      <c r="D59" s="2">
        <v>0</v>
      </c>
      <c r="H59" t="s">
        <v>38</v>
      </c>
      <c r="M59" s="2">
        <v>0</v>
      </c>
    </row>
    <row r="60" spans="1:13" ht="12.75">
      <c r="A60" t="s">
        <v>39</v>
      </c>
      <c r="D60" s="2">
        <v>4</v>
      </c>
      <c r="H60" t="s">
        <v>39</v>
      </c>
      <c r="M60" s="2">
        <v>2</v>
      </c>
    </row>
    <row r="61" spans="1:13" ht="12.75">
      <c r="A61" t="s">
        <v>40</v>
      </c>
      <c r="D61" s="2">
        <v>0</v>
      </c>
      <c r="H61" t="s">
        <v>40</v>
      </c>
      <c r="M61" s="2">
        <v>0</v>
      </c>
    </row>
    <row r="62" spans="1:13" ht="12.75">
      <c r="A62" t="s">
        <v>41</v>
      </c>
      <c r="D62" s="2">
        <v>2</v>
      </c>
      <c r="H62" t="s">
        <v>41</v>
      </c>
      <c r="M62" s="2">
        <v>0</v>
      </c>
    </row>
    <row r="63" spans="1:13" ht="12.75">
      <c r="A63" t="s">
        <v>42</v>
      </c>
      <c r="D63" s="2">
        <v>3</v>
      </c>
      <c r="H63" t="s">
        <v>42</v>
      </c>
      <c r="M63" s="2">
        <v>1</v>
      </c>
    </row>
    <row r="64" spans="1:13" ht="12.75">
      <c r="A64" t="s">
        <v>43</v>
      </c>
      <c r="D64" s="8">
        <f>+D62/D63*100</f>
        <v>66.66666666666666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f>+M62/M63*100</f>
        <v>0</v>
      </c>
    </row>
    <row r="65" spans="1:13" ht="12.75">
      <c r="A65" t="s">
        <v>92</v>
      </c>
      <c r="D65" s="10" t="str">
        <f>IF(V20&lt;10,V24,V23)</f>
        <v>32:34</v>
      </c>
      <c r="E65" s="8"/>
      <c r="F65" s="8"/>
      <c r="H65" t="s">
        <v>92</v>
      </c>
      <c r="M65" s="10" t="str">
        <f>IF(W20&lt;10,W24,W23)</f>
        <v>27:26</v>
      </c>
    </row>
    <row r="66" spans="1:13" ht="12.75">
      <c r="A66" t="s">
        <v>102</v>
      </c>
      <c r="D66" s="12">
        <f>D150</f>
        <v>53.84615384615385</v>
      </c>
      <c r="H66" t="s">
        <v>102</v>
      </c>
      <c r="M66" s="12">
        <f>M150</f>
        <v>20</v>
      </c>
    </row>
    <row r="67" spans="4:13" ht="12.75">
      <c r="D67" s="2"/>
      <c r="M67" s="2"/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8" ht="12.75">
      <c r="A70" t="s">
        <v>109</v>
      </c>
      <c r="C70">
        <v>15</v>
      </c>
      <c r="D70">
        <v>63</v>
      </c>
      <c r="E70" s="12">
        <f aca="true" t="shared" si="0" ref="E70:E80">+D70/C70</f>
        <v>4.2</v>
      </c>
      <c r="F70">
        <v>13</v>
      </c>
      <c r="G70">
        <v>2</v>
      </c>
      <c r="H70">
        <v>0</v>
      </c>
    </row>
    <row r="71" spans="1:8" ht="12.75">
      <c r="A71" t="s">
        <v>108</v>
      </c>
      <c r="C71">
        <v>14</v>
      </c>
      <c r="D71">
        <v>74</v>
      </c>
      <c r="E71" s="12">
        <f t="shared" si="0"/>
        <v>5.285714285714286</v>
      </c>
      <c r="F71">
        <v>28</v>
      </c>
      <c r="G71">
        <v>0</v>
      </c>
      <c r="H71">
        <v>0</v>
      </c>
    </row>
    <row r="72" spans="1:5" ht="12.75">
      <c r="A72" t="s">
        <v>110</v>
      </c>
      <c r="E72" s="12" t="e">
        <f t="shared" si="0"/>
        <v>#DIV/0!</v>
      </c>
    </row>
    <row r="73" spans="1:8" ht="12.75">
      <c r="A73" t="s">
        <v>111</v>
      </c>
      <c r="C73">
        <v>4</v>
      </c>
      <c r="D73">
        <v>28</v>
      </c>
      <c r="E73" s="12">
        <f t="shared" si="0"/>
        <v>7</v>
      </c>
      <c r="F73">
        <v>16</v>
      </c>
      <c r="G73">
        <v>1</v>
      </c>
      <c r="H73">
        <v>0</v>
      </c>
    </row>
    <row r="74" spans="1:5" ht="12.75">
      <c r="A74" t="s">
        <v>112</v>
      </c>
      <c r="E74" s="12" t="e">
        <f t="shared" si="0"/>
        <v>#DIV/0!</v>
      </c>
    </row>
    <row r="75" spans="1:8" ht="12.75">
      <c r="A75" t="s">
        <v>106</v>
      </c>
      <c r="C75">
        <v>3</v>
      </c>
      <c r="D75">
        <v>9</v>
      </c>
      <c r="E75" s="12">
        <f t="shared" si="0"/>
        <v>3</v>
      </c>
      <c r="F75">
        <v>4</v>
      </c>
      <c r="G75">
        <v>0</v>
      </c>
      <c r="H75">
        <v>0</v>
      </c>
    </row>
    <row r="76" spans="1:5" ht="12.75">
      <c r="A76" t="s">
        <v>113</v>
      </c>
      <c r="E76" s="12" t="e">
        <f t="shared" si="0"/>
        <v>#DIV/0!</v>
      </c>
    </row>
    <row r="77" spans="1:5" ht="12.75">
      <c r="A77" t="s">
        <v>114</v>
      </c>
      <c r="E77" s="12" t="e">
        <f t="shared" si="0"/>
        <v>#DIV/0!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3</v>
      </c>
      <c r="D83">
        <v>35</v>
      </c>
      <c r="E83" s="12">
        <f aca="true" t="shared" si="1" ref="E83:E92">+D83/C83</f>
        <v>11.666666666666666</v>
      </c>
      <c r="F83">
        <v>21</v>
      </c>
      <c r="G83">
        <v>1</v>
      </c>
      <c r="H83">
        <v>0</v>
      </c>
    </row>
    <row r="84" spans="1:8" ht="12.75">
      <c r="A84" t="s">
        <v>118</v>
      </c>
      <c r="C84">
        <v>6</v>
      </c>
      <c r="D84">
        <v>120</v>
      </c>
      <c r="E84" s="12">
        <f t="shared" si="1"/>
        <v>20</v>
      </c>
      <c r="F84">
        <v>35</v>
      </c>
      <c r="G84">
        <v>0</v>
      </c>
      <c r="H84">
        <v>0</v>
      </c>
    </row>
    <row r="85" spans="1:8" ht="12.75">
      <c r="A85" t="s">
        <v>108</v>
      </c>
      <c r="C85">
        <v>5</v>
      </c>
      <c r="D85">
        <v>73</v>
      </c>
      <c r="E85" s="12">
        <f t="shared" si="1"/>
        <v>14.6</v>
      </c>
      <c r="F85">
        <v>29</v>
      </c>
      <c r="G85">
        <v>0</v>
      </c>
      <c r="H85">
        <v>0</v>
      </c>
    </row>
    <row r="86" spans="1:8" ht="12.75">
      <c r="A86" t="s">
        <v>113</v>
      </c>
      <c r="C86">
        <v>1</v>
      </c>
      <c r="D86">
        <v>14</v>
      </c>
      <c r="E86" s="12">
        <f t="shared" si="1"/>
        <v>14</v>
      </c>
      <c r="F86">
        <v>14</v>
      </c>
      <c r="G86">
        <v>0</v>
      </c>
      <c r="H86">
        <v>0</v>
      </c>
    </row>
    <row r="87" spans="1:5" ht="12.75">
      <c r="A87" t="s">
        <v>109</v>
      </c>
      <c r="E87" s="12" t="e">
        <f t="shared" si="1"/>
        <v>#DIV/0!</v>
      </c>
    </row>
    <row r="88" spans="1:8" ht="12.75">
      <c r="A88" t="s">
        <v>114</v>
      </c>
      <c r="C88">
        <v>2</v>
      </c>
      <c r="D88">
        <v>24</v>
      </c>
      <c r="E88" s="12">
        <f t="shared" si="1"/>
        <v>12</v>
      </c>
      <c r="F88">
        <v>16</v>
      </c>
      <c r="G88">
        <v>0</v>
      </c>
      <c r="H88">
        <v>0</v>
      </c>
    </row>
    <row r="89" spans="1:8" ht="12.75">
      <c r="A89" t="s">
        <v>119</v>
      </c>
      <c r="C89">
        <v>1</v>
      </c>
      <c r="D89">
        <v>13</v>
      </c>
      <c r="E89" s="12">
        <f t="shared" si="1"/>
        <v>13</v>
      </c>
      <c r="F89">
        <v>13</v>
      </c>
      <c r="G89">
        <v>0</v>
      </c>
      <c r="H89">
        <v>0</v>
      </c>
    </row>
    <row r="90" spans="1:5" ht="12.75">
      <c r="A90" t="s">
        <v>112</v>
      </c>
      <c r="E90" s="12" t="e">
        <f t="shared" si="1"/>
        <v>#DIV/0!</v>
      </c>
    </row>
    <row r="91" spans="1:5" ht="12.75">
      <c r="A91" t="s">
        <v>115</v>
      </c>
      <c r="E91" s="12" t="e">
        <f t="shared" si="1"/>
        <v>#DIV/0!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E96" s="12" t="e">
        <f>+D96/C96*100</f>
        <v>#DIV/0!</v>
      </c>
      <c r="J96" s="8" t="e">
        <f>+G96/C96*100</f>
        <v>#DIV/0!</v>
      </c>
      <c r="K96" s="12" t="e">
        <f>+I96/C96*100</f>
        <v>#DIV/0!</v>
      </c>
      <c r="L96" s="12" t="e">
        <f>+F96/C96</f>
        <v>#DIV/0!</v>
      </c>
      <c r="M96" s="12" t="e">
        <f>100*(S96+U96+W96+Y96)/6</f>
        <v>#DIV/0!</v>
      </c>
      <c r="R96" t="e">
        <f>+(E96-30)/20</f>
        <v>#DIV/0!</v>
      </c>
      <c r="S96" s="2" t="e">
        <f>IF(R96&lt;0,0,R96)</f>
        <v>#DIV/0!</v>
      </c>
      <c r="T96" s="6" t="e">
        <f>+(L96-3)/4</f>
        <v>#DIV/0!</v>
      </c>
      <c r="U96" s="2" t="e">
        <f>IF(T96&lt;0,0,T96)</f>
        <v>#DIV/0!</v>
      </c>
      <c r="V96" t="e">
        <f>+J96/5</f>
        <v>#DIV/0!</v>
      </c>
      <c r="W96" s="2" t="e">
        <f>IF(V96&lt;0,0,V96)</f>
        <v>#DIV/0!</v>
      </c>
      <c r="X96" t="e">
        <f>(9.5-K96)/4</f>
        <v>#DIV/0!</v>
      </c>
      <c r="Y96" s="2" t="e">
        <f>IF(X96&lt;0,0,X96)</f>
        <v>#DIV/0!</v>
      </c>
    </row>
    <row r="97" spans="1:25" ht="12.75">
      <c r="A97" t="s">
        <v>106</v>
      </c>
      <c r="C97">
        <v>34</v>
      </c>
      <c r="D97">
        <v>18</v>
      </c>
      <c r="E97" s="12">
        <f>+D97/C97*100</f>
        <v>52.94117647058824</v>
      </c>
      <c r="F97">
        <v>279</v>
      </c>
      <c r="G97">
        <v>1</v>
      </c>
      <c r="H97">
        <v>35</v>
      </c>
      <c r="I97">
        <v>1</v>
      </c>
      <c r="J97" s="8">
        <f>+G97/C97*100</f>
        <v>2.941176470588235</v>
      </c>
      <c r="K97" s="12">
        <f>+I97/C97*100</f>
        <v>2.941176470588235</v>
      </c>
      <c r="L97" s="12">
        <f>+F97/C97</f>
        <v>8.205882352941176</v>
      </c>
      <c r="M97" s="12">
        <f>100*(S97+U97+W97+Y97)/6</f>
        <v>77.94117647058822</v>
      </c>
      <c r="N97">
        <v>1</v>
      </c>
      <c r="R97">
        <f>+(E97-30)/20</f>
        <v>1.147058823529412</v>
      </c>
      <c r="S97" s="2">
        <f>IF(R97&lt;0,0,R97)</f>
        <v>1.147058823529412</v>
      </c>
      <c r="T97" s="6">
        <f>+(L97-3)/4</f>
        <v>1.301470588235294</v>
      </c>
      <c r="U97" s="2">
        <f>IF(T97&lt;0,0,T97)</f>
        <v>1.301470588235294</v>
      </c>
      <c r="V97">
        <f>+J97/5</f>
        <v>0.588235294117647</v>
      </c>
      <c r="W97" s="2">
        <f>IF(V97&lt;0,0,V97)</f>
        <v>0.588235294117647</v>
      </c>
      <c r="X97">
        <f>(9.5-K97)/4</f>
        <v>1.6397058823529411</v>
      </c>
      <c r="Y97" s="2">
        <f>IF(X97&lt;0,0,X97)</f>
        <v>1.6397058823529411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E99" s="12" t="e">
        <f>+D99/C99*100</f>
        <v>#DIV/0!</v>
      </c>
      <c r="J99" s="8" t="e">
        <f>+G99/C99*100</f>
        <v>#DIV/0!</v>
      </c>
      <c r="K99" s="12" t="e">
        <f>+I99/C99*100</f>
        <v>#DIV/0!</v>
      </c>
      <c r="L99" s="12" t="e">
        <f>+F99/C99</f>
        <v>#DIV/0!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9" ht="12.75">
      <c r="A102" t="s">
        <v>118</v>
      </c>
      <c r="C102">
        <v>3</v>
      </c>
      <c r="D102">
        <v>0</v>
      </c>
      <c r="E102">
        <v>13</v>
      </c>
      <c r="F102" s="12">
        <f>+E102/C102</f>
        <v>4.333333333333333</v>
      </c>
      <c r="G102">
        <v>5</v>
      </c>
      <c r="H102">
        <v>0</v>
      </c>
      <c r="I102">
        <v>0</v>
      </c>
    </row>
    <row r="103" spans="1:6" ht="12.75">
      <c r="A103" t="s">
        <v>117</v>
      </c>
      <c r="F103" s="12" t="e">
        <f>+E103/C103</f>
        <v>#DIV/0!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8" ht="12.75">
      <c r="A107" t="s">
        <v>111</v>
      </c>
      <c r="C107">
        <v>2</v>
      </c>
      <c r="D107">
        <v>42</v>
      </c>
      <c r="E107" s="12">
        <f aca="true" t="shared" si="2" ref="E107:E113">+D107/C107</f>
        <v>21</v>
      </c>
      <c r="F107">
        <v>21</v>
      </c>
      <c r="G107">
        <v>0</v>
      </c>
      <c r="H107">
        <v>0</v>
      </c>
    </row>
    <row r="108" spans="1:5" ht="12.75">
      <c r="A108" t="s">
        <v>115</v>
      </c>
      <c r="E108" s="12" t="e">
        <f t="shared" si="2"/>
        <v>#DIV/0!</v>
      </c>
    </row>
    <row r="109" spans="1:5" ht="12.75">
      <c r="A109" t="s">
        <v>121</v>
      </c>
      <c r="E109" s="12" t="e">
        <f t="shared" si="2"/>
        <v>#DIV/0!</v>
      </c>
    </row>
    <row r="110" spans="1:8" ht="12.75">
      <c r="A110" t="s">
        <v>112</v>
      </c>
      <c r="C110">
        <v>1</v>
      </c>
      <c r="D110">
        <v>19</v>
      </c>
      <c r="E110" s="12">
        <f t="shared" si="2"/>
        <v>19</v>
      </c>
      <c r="F110">
        <v>19</v>
      </c>
      <c r="G110">
        <v>0</v>
      </c>
      <c r="H110">
        <v>0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7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</row>
    <row r="116" spans="1:7" ht="12.75">
      <c r="A116" t="s">
        <v>116</v>
      </c>
      <c r="C116">
        <v>3</v>
      </c>
      <c r="D116">
        <v>106</v>
      </c>
      <c r="E116" s="12">
        <f>+D116/C116</f>
        <v>35.333333333333336</v>
      </c>
      <c r="F116">
        <v>46</v>
      </c>
      <c r="G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7</v>
      </c>
      <c r="D119">
        <v>1</v>
      </c>
      <c r="E119">
        <v>4</v>
      </c>
      <c r="F119">
        <v>4</v>
      </c>
      <c r="G119">
        <v>3</v>
      </c>
      <c r="H119">
        <v>2</v>
      </c>
      <c r="I119" s="12">
        <f>+H119/G119*100</f>
        <v>66.66666666666666</v>
      </c>
      <c r="J119">
        <v>35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5" ht="12.75">
      <c r="A123" t="s">
        <v>121</v>
      </c>
      <c r="E123" s="12" t="e">
        <f>+D123/C123</f>
        <v>#DIV/0!</v>
      </c>
    </row>
    <row r="124" spans="1:8" ht="12.75">
      <c r="A124" t="s">
        <v>124</v>
      </c>
      <c r="C124">
        <v>1</v>
      </c>
      <c r="D124">
        <v>1</v>
      </c>
      <c r="E124" s="12">
        <f aca="true" t="shared" si="3" ref="E124:E130">+D124/C124</f>
        <v>1</v>
      </c>
      <c r="F124">
        <v>1</v>
      </c>
      <c r="G124">
        <v>0</v>
      </c>
      <c r="H124">
        <v>0</v>
      </c>
    </row>
    <row r="125" spans="1:8" ht="12.75">
      <c r="A125" t="s">
        <v>125</v>
      </c>
      <c r="C125">
        <v>1</v>
      </c>
      <c r="D125">
        <v>5</v>
      </c>
      <c r="E125" s="12">
        <f t="shared" si="3"/>
        <v>5</v>
      </c>
      <c r="F125">
        <v>5</v>
      </c>
      <c r="G125">
        <v>0</v>
      </c>
      <c r="H125">
        <v>0</v>
      </c>
    </row>
    <row r="126" spans="1:5" ht="12.75">
      <c r="A126" t="s">
        <v>126</v>
      </c>
      <c r="E126" s="12" t="e">
        <f t="shared" si="3"/>
        <v>#DIV/0!</v>
      </c>
    </row>
    <row r="127" spans="1:5" ht="12.75">
      <c r="A127" t="s">
        <v>127</v>
      </c>
      <c r="E127" s="12" t="e">
        <f t="shared" si="3"/>
        <v>#DIV/0!</v>
      </c>
    </row>
    <row r="128" spans="1:5" ht="12.75">
      <c r="A128" t="s">
        <v>128</v>
      </c>
      <c r="E128" s="12" t="e">
        <f t="shared" si="3"/>
        <v>#DIV/0!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spans="1:3" ht="12.75">
      <c r="A133" t="s">
        <v>132</v>
      </c>
      <c r="C133">
        <v>0.5</v>
      </c>
    </row>
    <row r="134" spans="1:3" ht="12.75">
      <c r="A134" t="s">
        <v>123</v>
      </c>
      <c r="C134">
        <v>0.5</v>
      </c>
    </row>
    <row r="135" ht="12.75">
      <c r="A135" t="s">
        <v>126</v>
      </c>
    </row>
    <row r="136" ht="12.75">
      <c r="A136" t="s">
        <v>128</v>
      </c>
    </row>
    <row r="137" ht="12.75">
      <c r="A137" t="s">
        <v>129</v>
      </c>
    </row>
    <row r="138" ht="12.75">
      <c r="A138" t="s">
        <v>125</v>
      </c>
    </row>
    <row r="139" ht="12.75">
      <c r="A139" t="s">
        <v>127</v>
      </c>
    </row>
    <row r="140" ht="12.75">
      <c r="A140" t="s">
        <v>133</v>
      </c>
    </row>
    <row r="141" spans="1:3" ht="12.75">
      <c r="A141" t="s">
        <v>134</v>
      </c>
      <c r="C141">
        <v>0.5</v>
      </c>
    </row>
    <row r="142" ht="12.75">
      <c r="A142" t="s">
        <v>135</v>
      </c>
    </row>
    <row r="143" spans="1:3" ht="12.75">
      <c r="A143" t="s">
        <v>136</v>
      </c>
      <c r="C143">
        <v>0.5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13</v>
      </c>
      <c r="H148" t="s">
        <v>93</v>
      </c>
      <c r="M148">
        <v>10</v>
      </c>
    </row>
    <row r="149" spans="1:13" ht="12.75">
      <c r="A149" t="s">
        <v>94</v>
      </c>
      <c r="D149">
        <v>7</v>
      </c>
      <c r="H149" t="s">
        <v>94</v>
      </c>
      <c r="M149">
        <v>2</v>
      </c>
    </row>
    <row r="150" spans="1:13" ht="12.75">
      <c r="A150" t="s">
        <v>95</v>
      </c>
      <c r="D150" s="8">
        <f>D149/D148*100</f>
        <v>53.84615384615385</v>
      </c>
      <c r="H150" t="s">
        <v>95</v>
      </c>
      <c r="M150" s="8">
        <f>+M149/M148*100</f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Y15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57421875" style="0" customWidth="1"/>
    <col min="7" max="7" width="5.7109375" style="0" customWidth="1"/>
    <col min="8" max="8" width="6.42187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spans="1:6" ht="12.75">
      <c r="A1" s="2" t="s">
        <v>104</v>
      </c>
      <c r="E1" s="2" t="s">
        <v>96</v>
      </c>
      <c r="F1" s="2" t="s">
        <v>97</v>
      </c>
    </row>
    <row r="2" ht="12.75">
      <c r="E2">
        <v>1</v>
      </c>
    </row>
    <row r="3" spans="1:8" ht="12.75">
      <c r="A3" s="2" t="s">
        <v>0</v>
      </c>
      <c r="H3" s="2" t="s">
        <v>44</v>
      </c>
    </row>
    <row r="6" spans="1:13" ht="12.75">
      <c r="A6" s="1" t="s">
        <v>29</v>
      </c>
      <c r="D6" s="2">
        <v>23</v>
      </c>
      <c r="H6" s="1" t="s">
        <v>29</v>
      </c>
      <c r="M6" s="2">
        <v>7</v>
      </c>
    </row>
    <row r="8" spans="1:23" ht="12.75">
      <c r="A8" t="s">
        <v>1</v>
      </c>
      <c r="D8" s="2">
        <v>44</v>
      </c>
      <c r="H8" t="s">
        <v>1</v>
      </c>
      <c r="M8" s="2">
        <v>14</v>
      </c>
      <c r="V8">
        <f>+D8</f>
        <v>44</v>
      </c>
      <c r="W8">
        <f>+M8</f>
        <v>14</v>
      </c>
    </row>
    <row r="9" spans="1:23" ht="12.75">
      <c r="A9" t="s">
        <v>2</v>
      </c>
      <c r="D9" s="2">
        <v>264</v>
      </c>
      <c r="H9" t="s">
        <v>2</v>
      </c>
      <c r="M9" s="2">
        <v>47</v>
      </c>
      <c r="U9" s="13"/>
      <c r="V9">
        <f>+D13</f>
        <v>18</v>
      </c>
      <c r="W9">
        <f>+M13</f>
        <v>15</v>
      </c>
    </row>
    <row r="10" spans="1:23" ht="12.75">
      <c r="A10" s="1" t="s">
        <v>3</v>
      </c>
      <c r="D10" s="8">
        <f>+D9/D8</f>
        <v>6</v>
      </c>
      <c r="H10" s="1" t="s">
        <v>3</v>
      </c>
      <c r="M10" s="8">
        <f>+M9/M8</f>
        <v>3.357142857142857</v>
      </c>
      <c r="V10">
        <f>+(D12-D13)/2</f>
        <v>4.5</v>
      </c>
      <c r="W10">
        <f>+(M12-M13)/2</f>
        <v>9</v>
      </c>
    </row>
    <row r="11" spans="22:23" ht="12.75">
      <c r="V11">
        <f>+D35/2</f>
        <v>2.5</v>
      </c>
      <c r="W11">
        <f>+M35/2</f>
        <v>4.5</v>
      </c>
    </row>
    <row r="12" spans="1:23" ht="12.75">
      <c r="A12" t="s">
        <v>4</v>
      </c>
      <c r="D12" s="2">
        <v>27</v>
      </c>
      <c r="H12" t="s">
        <v>4</v>
      </c>
      <c r="M12" s="2">
        <v>33</v>
      </c>
      <c r="V12">
        <f>+D39/2</f>
        <v>3.5</v>
      </c>
      <c r="W12">
        <f>+M39/2</f>
        <v>0.5</v>
      </c>
    </row>
    <row r="13" spans="1:23" ht="12.75">
      <c r="A13" t="s">
        <v>5</v>
      </c>
      <c r="D13" s="2">
        <v>18</v>
      </c>
      <c r="H13" t="s">
        <v>5</v>
      </c>
      <c r="M13" s="2">
        <v>15</v>
      </c>
      <c r="V13">
        <f>+D44/2</f>
        <v>1</v>
      </c>
      <c r="W13">
        <f>+M44/2</f>
        <v>2</v>
      </c>
    </row>
    <row r="14" spans="1:13" ht="12.75">
      <c r="A14" t="s">
        <v>6</v>
      </c>
      <c r="D14" s="8">
        <f>+D13/D12*100</f>
        <v>66.66666666666666</v>
      </c>
      <c r="H14" t="s">
        <v>6</v>
      </c>
      <c r="M14" s="8">
        <f>+M13/M12*100</f>
        <v>45.45454545454545</v>
      </c>
    </row>
    <row r="15" spans="1:24" ht="12.75">
      <c r="A15" t="s">
        <v>7</v>
      </c>
      <c r="D15" s="2">
        <v>166</v>
      </c>
      <c r="H15" t="s">
        <v>7</v>
      </c>
      <c r="M15" s="2">
        <v>128</v>
      </c>
      <c r="V15">
        <f>SUM(V8:V13)</f>
        <v>73.5</v>
      </c>
      <c r="W15">
        <f>SUM(W8:W13)</f>
        <v>45</v>
      </c>
      <c r="X15">
        <f>+W15+V15</f>
        <v>118.5</v>
      </c>
    </row>
    <row r="16" spans="1:23" ht="12.75">
      <c r="A16" t="s">
        <v>8</v>
      </c>
      <c r="D16" s="2">
        <v>3</v>
      </c>
      <c r="H16" t="s">
        <v>8</v>
      </c>
      <c r="M16" s="2">
        <v>6</v>
      </c>
      <c r="V16">
        <f>+V15/X15</f>
        <v>0.620253164556962</v>
      </c>
      <c r="W16">
        <f>+W15/X15</f>
        <v>0.379746835443038</v>
      </c>
    </row>
    <row r="17" spans="1:23" ht="12.75">
      <c r="A17" t="s">
        <v>9</v>
      </c>
      <c r="D17" s="2">
        <v>29</v>
      </c>
      <c r="H17" t="s">
        <v>9</v>
      </c>
      <c r="M17" s="2">
        <v>36</v>
      </c>
      <c r="V17">
        <f>+V16*60</f>
        <v>37.21518987341772</v>
      </c>
      <c r="W17">
        <f>+W16*60</f>
        <v>22.78481012658228</v>
      </c>
    </row>
    <row r="18" spans="1:23" ht="12.75">
      <c r="A18" t="s">
        <v>10</v>
      </c>
      <c r="D18">
        <f>+D15-D17</f>
        <v>137</v>
      </c>
      <c r="H18" t="s">
        <v>10</v>
      </c>
      <c r="M18">
        <f>+M15-M17</f>
        <v>92</v>
      </c>
      <c r="V18">
        <f>+V17-INT(V17)</f>
        <v>0.2151898734177209</v>
      </c>
      <c r="W18">
        <f>+W17-INT(W17)</f>
        <v>0.7848101265822791</v>
      </c>
    </row>
    <row r="19" spans="1:23" ht="12.75">
      <c r="A19" t="s">
        <v>11</v>
      </c>
      <c r="D19" s="7">
        <f>+D18/(D12+D16)</f>
        <v>4.566666666666666</v>
      </c>
      <c r="H19" t="s">
        <v>11</v>
      </c>
      <c r="M19" s="7">
        <f>+M18/(M12+M16)</f>
        <v>2.358974358974359</v>
      </c>
      <c r="V19">
        <f>+V18*60</f>
        <v>12.911392405063253</v>
      </c>
      <c r="W19">
        <f>+W18*60</f>
        <v>47.08860759493675</v>
      </c>
    </row>
    <row r="20" spans="1:23" ht="12.75">
      <c r="A20" t="s">
        <v>12</v>
      </c>
      <c r="D20" s="7">
        <f>+D15/D13</f>
        <v>9.222222222222221</v>
      </c>
      <c r="H20" t="s">
        <v>12</v>
      </c>
      <c r="M20" s="7">
        <f>+M15/M13</f>
        <v>8.533333333333333</v>
      </c>
      <c r="U20">
        <v>0</v>
      </c>
      <c r="V20" s="11">
        <f>ROUND(V19,0)</f>
        <v>13</v>
      </c>
      <c r="W20">
        <f>ROUND(W19,0)</f>
        <v>47</v>
      </c>
    </row>
    <row r="21" spans="22:23" ht="12.75">
      <c r="V21">
        <f>INT(V17)</f>
        <v>37</v>
      </c>
      <c r="W21">
        <f>INT(W17)</f>
        <v>22</v>
      </c>
    </row>
    <row r="22" spans="1:23" ht="12.75">
      <c r="A22" t="s">
        <v>13</v>
      </c>
      <c r="H22" t="s">
        <v>13</v>
      </c>
      <c r="V22" t="s">
        <v>87</v>
      </c>
      <c r="W22" t="s">
        <v>87</v>
      </c>
    </row>
    <row r="23" spans="1:23" ht="12.75">
      <c r="A23" t="s">
        <v>14</v>
      </c>
      <c r="D23">
        <f>+D18+D9</f>
        <v>401</v>
      </c>
      <c r="H23" t="s">
        <v>14</v>
      </c>
      <c r="M23">
        <f>+M18+M9</f>
        <v>139</v>
      </c>
      <c r="V23" s="14" t="str">
        <f>+V21&amp;V22&amp;V20</f>
        <v>37:13</v>
      </c>
      <c r="W23" s="9" t="str">
        <f>+W21&amp;W22&amp;W20</f>
        <v>22:47</v>
      </c>
    </row>
    <row r="24" spans="1:23" ht="12.75">
      <c r="A24" t="s">
        <v>15</v>
      </c>
      <c r="D24" s="7">
        <f>+D9/D23*100</f>
        <v>65.83541147132169</v>
      </c>
      <c r="H24" t="s">
        <v>15</v>
      </c>
      <c r="M24" s="7">
        <f>+M9/M23*100</f>
        <v>33.81294964028777</v>
      </c>
      <c r="V24" s="9" t="str">
        <f>IF(V20&lt;10,+V21&amp;V22&amp;$U$20&amp;V20,+V21&amp;V22&amp;V20)</f>
        <v>37:13</v>
      </c>
      <c r="W24" s="9" t="str">
        <f>IF(W20&lt;10,+W21&amp;W22&amp;$U$20&amp;W20,+W21&amp;W22&amp;W20)</f>
        <v>22:47</v>
      </c>
    </row>
    <row r="25" spans="1:13" ht="12.75">
      <c r="A25" s="1" t="s">
        <v>86</v>
      </c>
      <c r="D25" s="7">
        <f>+D18/D23*100</f>
        <v>34.1645885286783</v>
      </c>
      <c r="H25" s="1" t="s">
        <v>86</v>
      </c>
      <c r="M25" s="7">
        <f>+M18/M23*100</f>
        <v>66.18705035971223</v>
      </c>
    </row>
    <row r="27" spans="1:13" ht="12.75">
      <c r="A27" t="s">
        <v>16</v>
      </c>
      <c r="D27">
        <f>+D8+D12+D16</f>
        <v>74</v>
      </c>
      <c r="H27" t="s">
        <v>16</v>
      </c>
      <c r="M27">
        <f>+M8+M12+M16</f>
        <v>53</v>
      </c>
    </row>
    <row r="28" spans="1:13" ht="12.75">
      <c r="A28" t="s">
        <v>17</v>
      </c>
      <c r="D28" s="8">
        <f>+D23/D27</f>
        <v>5.418918918918919</v>
      </c>
      <c r="E28" s="7"/>
      <c r="F28" s="7"/>
      <c r="G28" s="7"/>
      <c r="H28" s="7" t="s">
        <v>17</v>
      </c>
      <c r="I28" s="7"/>
      <c r="J28" s="7"/>
      <c r="K28" s="7"/>
      <c r="L28" s="7"/>
      <c r="M28" s="8">
        <f>+M23/M27</f>
        <v>2.6226415094339623</v>
      </c>
    </row>
    <row r="30" spans="1:8" ht="12.75">
      <c r="A30" t="s">
        <v>18</v>
      </c>
      <c r="H30" t="s">
        <v>18</v>
      </c>
    </row>
    <row r="31" spans="1:13" ht="12.75">
      <c r="A31" t="s">
        <v>19</v>
      </c>
      <c r="D31" s="2">
        <v>3</v>
      </c>
      <c r="H31" t="s">
        <v>19</v>
      </c>
      <c r="M31" s="2">
        <v>2</v>
      </c>
    </row>
    <row r="32" spans="1:13" ht="12.75">
      <c r="A32" t="s">
        <v>20</v>
      </c>
      <c r="D32" s="2">
        <v>28</v>
      </c>
      <c r="H32" t="s">
        <v>20</v>
      </c>
      <c r="M32" s="2">
        <v>29</v>
      </c>
    </row>
    <row r="33" spans="1:13" ht="12.75">
      <c r="A33" t="s">
        <v>21</v>
      </c>
      <c r="D33" s="2">
        <v>0</v>
      </c>
      <c r="H33" t="s">
        <v>21</v>
      </c>
      <c r="M33" s="2">
        <v>0</v>
      </c>
    </row>
    <row r="35" spans="1:13" ht="12.75">
      <c r="A35" t="s">
        <v>22</v>
      </c>
      <c r="D35" s="2">
        <v>5</v>
      </c>
      <c r="H35" t="s">
        <v>22</v>
      </c>
      <c r="M35" s="2">
        <v>9</v>
      </c>
    </row>
    <row r="36" spans="1:13" ht="12.75">
      <c r="A36" t="s">
        <v>23</v>
      </c>
      <c r="D36" s="2">
        <v>186</v>
      </c>
      <c r="H36" t="s">
        <v>23</v>
      </c>
      <c r="M36" s="2">
        <v>382</v>
      </c>
    </row>
    <row r="37" spans="1:13" ht="12.75">
      <c r="A37" t="s">
        <v>24</v>
      </c>
      <c r="D37" s="8">
        <f>+D36/D35</f>
        <v>37.2</v>
      </c>
      <c r="E37" s="7"/>
      <c r="F37" s="7"/>
      <c r="G37" s="7"/>
      <c r="H37" s="7" t="s">
        <v>24</v>
      </c>
      <c r="I37" s="7"/>
      <c r="J37" s="7"/>
      <c r="K37" s="7"/>
      <c r="L37" s="7"/>
      <c r="M37" s="8">
        <f>+M36/M35</f>
        <v>42.44444444444444</v>
      </c>
    </row>
    <row r="39" spans="1:13" ht="12.75">
      <c r="A39" t="s">
        <v>25</v>
      </c>
      <c r="D39" s="2">
        <v>7</v>
      </c>
      <c r="H39" t="s">
        <v>25</v>
      </c>
      <c r="M39" s="2">
        <v>1</v>
      </c>
    </row>
    <row r="40" spans="1:13" ht="12.75">
      <c r="A40" t="s">
        <v>26</v>
      </c>
      <c r="D40" s="2">
        <v>85</v>
      </c>
      <c r="H40" t="s">
        <v>26</v>
      </c>
      <c r="M40" s="2">
        <v>5</v>
      </c>
    </row>
    <row r="41" spans="1:13" ht="12.75">
      <c r="A41" t="s">
        <v>27</v>
      </c>
      <c r="D41" s="8">
        <f>+D40/D39</f>
        <v>12.142857142857142</v>
      </c>
      <c r="H41" t="s">
        <v>27</v>
      </c>
      <c r="M41" s="8">
        <f>+M40/M39</f>
        <v>5</v>
      </c>
    </row>
    <row r="42" spans="1:13" ht="12.75">
      <c r="A42" t="s">
        <v>28</v>
      </c>
      <c r="D42" s="2">
        <v>0</v>
      </c>
      <c r="H42" t="s">
        <v>28</v>
      </c>
      <c r="M42" s="2">
        <v>0</v>
      </c>
    </row>
    <row r="44" spans="1:13" ht="12.75">
      <c r="A44" t="s">
        <v>30</v>
      </c>
      <c r="D44" s="2">
        <v>2</v>
      </c>
      <c r="H44" t="s">
        <v>30</v>
      </c>
      <c r="M44" s="2">
        <v>4</v>
      </c>
    </row>
    <row r="45" spans="1:13" ht="12.75">
      <c r="A45" t="s">
        <v>26</v>
      </c>
      <c r="D45" s="2">
        <v>38</v>
      </c>
      <c r="H45" t="s">
        <v>26</v>
      </c>
      <c r="M45" s="2">
        <v>88</v>
      </c>
    </row>
    <row r="46" spans="1:13" ht="12.75">
      <c r="A46" t="s">
        <v>27</v>
      </c>
      <c r="D46" s="8">
        <f>+D45/D44</f>
        <v>19</v>
      </c>
      <c r="H46" t="s">
        <v>27</v>
      </c>
      <c r="M46" s="8">
        <f>+M45/M44</f>
        <v>22</v>
      </c>
    </row>
    <row r="47" spans="1:13" ht="12.75">
      <c r="A47" t="s">
        <v>28</v>
      </c>
      <c r="D47" s="2">
        <v>0</v>
      </c>
      <c r="H47" t="s">
        <v>28</v>
      </c>
      <c r="M47" s="2">
        <v>0</v>
      </c>
    </row>
    <row r="49" spans="1:13" ht="12.75">
      <c r="A49" t="s">
        <v>31</v>
      </c>
      <c r="D49" s="2">
        <v>4</v>
      </c>
      <c r="H49" t="s">
        <v>31</v>
      </c>
      <c r="M49" s="2">
        <v>3</v>
      </c>
    </row>
    <row r="50" spans="1:13" ht="12.75">
      <c r="A50" t="s">
        <v>32</v>
      </c>
      <c r="D50" s="2">
        <v>20</v>
      </c>
      <c r="H50" t="s">
        <v>32</v>
      </c>
      <c r="M50" s="2">
        <v>42</v>
      </c>
    </row>
    <row r="52" spans="1:13" ht="12.75">
      <c r="A52" t="s">
        <v>33</v>
      </c>
      <c r="D52" s="2">
        <v>2</v>
      </c>
      <c r="H52" t="s">
        <v>33</v>
      </c>
      <c r="M52" s="2">
        <v>2</v>
      </c>
    </row>
    <row r="53" spans="1:13" ht="12.75">
      <c r="A53" t="s">
        <v>101</v>
      </c>
      <c r="D53" s="2">
        <v>1</v>
      </c>
      <c r="H53" t="s">
        <v>101</v>
      </c>
      <c r="M53" s="2">
        <v>1</v>
      </c>
    </row>
    <row r="55" spans="1:13" ht="12.75">
      <c r="A55" t="s">
        <v>34</v>
      </c>
      <c r="D55" s="2">
        <v>37</v>
      </c>
      <c r="H55" t="s">
        <v>34</v>
      </c>
      <c r="M55" s="2">
        <v>10</v>
      </c>
    </row>
    <row r="56" spans="1:13" ht="12.75">
      <c r="A56" t="s">
        <v>35</v>
      </c>
      <c r="D56" s="2">
        <v>5</v>
      </c>
      <c r="H56" t="s">
        <v>35</v>
      </c>
      <c r="M56" s="2">
        <v>1</v>
      </c>
    </row>
    <row r="57" spans="1:13" ht="12.75">
      <c r="A57" t="s">
        <v>36</v>
      </c>
      <c r="D57" s="2">
        <v>3</v>
      </c>
      <c r="H57" t="s">
        <v>36</v>
      </c>
      <c r="M57" s="2">
        <v>0</v>
      </c>
    </row>
    <row r="58" spans="1:13" ht="12.75">
      <c r="A58" t="s">
        <v>37</v>
      </c>
      <c r="D58" s="2">
        <v>2</v>
      </c>
      <c r="H58" t="s">
        <v>37</v>
      </c>
      <c r="M58" s="2">
        <v>1</v>
      </c>
    </row>
    <row r="59" spans="1:13" ht="12.75">
      <c r="A59" t="s">
        <v>38</v>
      </c>
      <c r="D59" s="2">
        <v>0</v>
      </c>
      <c r="H59" t="s">
        <v>38</v>
      </c>
      <c r="M59" s="2">
        <v>0</v>
      </c>
    </row>
    <row r="60" spans="1:13" ht="12.75">
      <c r="A60" t="s">
        <v>39</v>
      </c>
      <c r="D60" s="2">
        <v>4</v>
      </c>
      <c r="H60" t="s">
        <v>39</v>
      </c>
      <c r="M60" s="2">
        <v>1</v>
      </c>
    </row>
    <row r="61" spans="1:13" ht="12.75">
      <c r="A61" t="s">
        <v>40</v>
      </c>
      <c r="D61" s="2">
        <v>0</v>
      </c>
      <c r="H61" t="s">
        <v>40</v>
      </c>
      <c r="M61" s="2">
        <v>0</v>
      </c>
    </row>
    <row r="62" spans="1:13" ht="12.75">
      <c r="A62" t="s">
        <v>41</v>
      </c>
      <c r="D62" s="2">
        <v>1</v>
      </c>
      <c r="H62" t="s">
        <v>41</v>
      </c>
      <c r="M62" s="2">
        <v>1</v>
      </c>
    </row>
    <row r="63" spans="1:13" ht="12.75">
      <c r="A63" t="s">
        <v>42</v>
      </c>
      <c r="D63" s="2">
        <v>2</v>
      </c>
      <c r="H63" t="s">
        <v>42</v>
      </c>
      <c r="M63" s="2">
        <v>1</v>
      </c>
    </row>
    <row r="64" spans="1:13" ht="12.75">
      <c r="A64" t="s">
        <v>43</v>
      </c>
      <c r="D64" s="8">
        <f>+D62/D63*100</f>
        <v>50</v>
      </c>
      <c r="E64" s="7"/>
      <c r="F64" s="7"/>
      <c r="G64" s="7"/>
      <c r="H64" s="7" t="s">
        <v>43</v>
      </c>
      <c r="I64" s="7"/>
      <c r="J64" s="7"/>
      <c r="K64" s="7"/>
      <c r="L64" s="7"/>
      <c r="M64" s="7">
        <f>+M62/M63*100</f>
        <v>100</v>
      </c>
    </row>
    <row r="65" spans="1:13" ht="12.75">
      <c r="A65" t="s">
        <v>89</v>
      </c>
      <c r="D65" s="10" t="str">
        <f>IF(V20&lt;10,V24,V23)</f>
        <v>37:13</v>
      </c>
      <c r="E65" s="8"/>
      <c r="F65" s="8"/>
      <c r="H65" t="s">
        <v>89</v>
      </c>
      <c r="M65" s="10" t="str">
        <f>IF(W20&lt;10,W24,W23)</f>
        <v>22:47</v>
      </c>
    </row>
    <row r="66" spans="1:13" ht="12.75">
      <c r="A66" t="s">
        <v>102</v>
      </c>
      <c r="D66" s="8">
        <f>D150</f>
        <v>47.05882352941176</v>
      </c>
      <c r="H66" t="s">
        <v>102</v>
      </c>
      <c r="M66" s="8">
        <f>M150</f>
        <v>7.6923076923076925</v>
      </c>
    </row>
    <row r="68" ht="12.75">
      <c r="A68" t="s">
        <v>45</v>
      </c>
    </row>
    <row r="69" spans="1:8" ht="12.75">
      <c r="A69" s="2" t="s">
        <v>46</v>
      </c>
      <c r="B69" s="2"/>
      <c r="C69" s="3" t="s">
        <v>47</v>
      </c>
      <c r="D69" s="3" t="s">
        <v>48</v>
      </c>
      <c r="E69" s="3" t="s">
        <v>49</v>
      </c>
      <c r="F69" s="3" t="s">
        <v>50</v>
      </c>
      <c r="G69" s="3" t="s">
        <v>51</v>
      </c>
      <c r="H69" s="3" t="s">
        <v>80</v>
      </c>
    </row>
    <row r="70" spans="1:8" ht="12.75">
      <c r="A70" t="s">
        <v>109</v>
      </c>
      <c r="C70">
        <v>24</v>
      </c>
      <c r="D70">
        <v>173</v>
      </c>
      <c r="E70" s="12">
        <f aca="true" t="shared" si="0" ref="E70:E80">+D70/C70</f>
        <v>7.208333333333333</v>
      </c>
      <c r="F70">
        <v>30</v>
      </c>
      <c r="G70">
        <v>3</v>
      </c>
      <c r="H70">
        <v>1</v>
      </c>
    </row>
    <row r="71" spans="1:8" ht="12.75">
      <c r="A71" t="s">
        <v>108</v>
      </c>
      <c r="C71">
        <v>17</v>
      </c>
      <c r="D71">
        <v>57</v>
      </c>
      <c r="E71" s="12">
        <f t="shared" si="0"/>
        <v>3.3529411764705883</v>
      </c>
      <c r="F71">
        <v>18</v>
      </c>
      <c r="G71">
        <v>0</v>
      </c>
      <c r="H71">
        <v>1</v>
      </c>
    </row>
    <row r="72" spans="1:8" ht="12.75">
      <c r="A72" t="s">
        <v>110</v>
      </c>
      <c r="C72">
        <v>2</v>
      </c>
      <c r="D72">
        <v>7</v>
      </c>
      <c r="E72" s="12">
        <f t="shared" si="0"/>
        <v>3.5</v>
      </c>
      <c r="F72">
        <v>9</v>
      </c>
      <c r="G72">
        <v>0</v>
      </c>
      <c r="H72">
        <v>0</v>
      </c>
    </row>
    <row r="73" spans="1:5" ht="12.75">
      <c r="A73" t="s">
        <v>111</v>
      </c>
      <c r="E73" s="12" t="e">
        <f t="shared" si="0"/>
        <v>#DIV/0!</v>
      </c>
    </row>
    <row r="74" spans="1:5" ht="12.75">
      <c r="A74" t="s">
        <v>112</v>
      </c>
      <c r="E74" s="12" t="e">
        <f t="shared" si="0"/>
        <v>#DIV/0!</v>
      </c>
    </row>
    <row r="75" spans="1:5" ht="12.75">
      <c r="A75" t="s">
        <v>106</v>
      </c>
      <c r="E75" s="12" t="e">
        <f t="shared" si="0"/>
        <v>#DIV/0!</v>
      </c>
    </row>
    <row r="76" spans="1:8" ht="12.75">
      <c r="A76" t="s">
        <v>113</v>
      </c>
      <c r="C76">
        <v>1</v>
      </c>
      <c r="D76">
        <v>27</v>
      </c>
      <c r="E76" s="12">
        <f t="shared" si="0"/>
        <v>27</v>
      </c>
      <c r="F76">
        <v>27</v>
      </c>
      <c r="G76">
        <v>0</v>
      </c>
      <c r="H76">
        <v>0</v>
      </c>
    </row>
    <row r="77" spans="1:5" ht="12.75">
      <c r="A77" t="s">
        <v>114</v>
      </c>
      <c r="E77" s="12" t="e">
        <f t="shared" si="0"/>
        <v>#DIV/0!</v>
      </c>
    </row>
    <row r="78" spans="1:5" ht="12.75">
      <c r="A78" t="s">
        <v>115</v>
      </c>
      <c r="E78" s="12" t="e">
        <f t="shared" si="0"/>
        <v>#DIV/0!</v>
      </c>
    </row>
    <row r="79" spans="1:5" ht="12.75">
      <c r="A79" t="s">
        <v>107</v>
      </c>
      <c r="E79" s="12" t="e">
        <f t="shared" si="0"/>
        <v>#DIV/0!</v>
      </c>
    </row>
    <row r="80" spans="1:5" ht="12.75">
      <c r="A80" t="s">
        <v>116</v>
      </c>
      <c r="E80" s="12" t="e">
        <f t="shared" si="0"/>
        <v>#DIV/0!</v>
      </c>
    </row>
    <row r="81" ht="12.75">
      <c r="E81" s="8"/>
    </row>
    <row r="82" spans="1:8" ht="12.75">
      <c r="A82" s="2" t="s">
        <v>52</v>
      </c>
      <c r="C82" s="3" t="s">
        <v>53</v>
      </c>
      <c r="D82" s="3" t="s">
        <v>48</v>
      </c>
      <c r="E82" s="15" t="s">
        <v>49</v>
      </c>
      <c r="F82" s="3" t="s">
        <v>50</v>
      </c>
      <c r="G82" s="3" t="s">
        <v>51</v>
      </c>
      <c r="H82" s="3" t="s">
        <v>80</v>
      </c>
    </row>
    <row r="83" spans="1:8" ht="12.75">
      <c r="A83" t="s">
        <v>117</v>
      </c>
      <c r="C83">
        <v>7</v>
      </c>
      <c r="D83">
        <v>108</v>
      </c>
      <c r="E83" s="12">
        <f aca="true" t="shared" si="1" ref="E83:E92">+D83/C83</f>
        <v>15.428571428571429</v>
      </c>
      <c r="F83">
        <v>32</v>
      </c>
      <c r="G83">
        <v>2</v>
      </c>
      <c r="H83">
        <v>0</v>
      </c>
    </row>
    <row r="84" spans="1:5" ht="12.75">
      <c r="A84" t="s">
        <v>118</v>
      </c>
      <c r="E84" s="12" t="e">
        <f t="shared" si="1"/>
        <v>#DIV/0!</v>
      </c>
    </row>
    <row r="85" spans="1:8" ht="12.75">
      <c r="A85" t="s">
        <v>108</v>
      </c>
      <c r="C85">
        <v>3</v>
      </c>
      <c r="D85">
        <v>14</v>
      </c>
      <c r="E85" s="12">
        <f t="shared" si="1"/>
        <v>4.666666666666667</v>
      </c>
      <c r="F85">
        <v>8</v>
      </c>
      <c r="G85">
        <v>0</v>
      </c>
      <c r="H85">
        <v>0</v>
      </c>
    </row>
    <row r="86" spans="1:8" ht="12.75">
      <c r="A86" t="s">
        <v>113</v>
      </c>
      <c r="C86">
        <v>2</v>
      </c>
      <c r="D86">
        <v>18</v>
      </c>
      <c r="E86" s="12">
        <f t="shared" si="1"/>
        <v>9</v>
      </c>
      <c r="F86">
        <v>19</v>
      </c>
      <c r="G86">
        <v>0</v>
      </c>
      <c r="H86">
        <v>0</v>
      </c>
    </row>
    <row r="87" spans="1:8" ht="12.75">
      <c r="A87" t="s">
        <v>109</v>
      </c>
      <c r="C87">
        <v>4</v>
      </c>
      <c r="D87">
        <v>9</v>
      </c>
      <c r="E87" s="12">
        <f t="shared" si="1"/>
        <v>2.25</v>
      </c>
      <c r="F87">
        <v>10</v>
      </c>
      <c r="G87">
        <v>0</v>
      </c>
      <c r="H87">
        <v>0</v>
      </c>
    </row>
    <row r="88" spans="1:5" ht="12.75">
      <c r="A88" t="s">
        <v>114</v>
      </c>
      <c r="E88" s="12" t="e">
        <f t="shared" si="1"/>
        <v>#DIV/0!</v>
      </c>
    </row>
    <row r="89" spans="1:8" ht="12.75">
      <c r="A89" t="s">
        <v>119</v>
      </c>
      <c r="C89">
        <v>1</v>
      </c>
      <c r="D89">
        <v>-1</v>
      </c>
      <c r="E89" s="12">
        <f t="shared" si="1"/>
        <v>-1</v>
      </c>
      <c r="F89">
        <v>-1</v>
      </c>
      <c r="G89">
        <v>0</v>
      </c>
      <c r="H89">
        <v>0</v>
      </c>
    </row>
    <row r="90" spans="1:8" ht="12.75">
      <c r="A90" t="s">
        <v>112</v>
      </c>
      <c r="C90">
        <v>1</v>
      </c>
      <c r="D90">
        <v>18</v>
      </c>
      <c r="E90" s="12">
        <f t="shared" si="1"/>
        <v>18</v>
      </c>
      <c r="F90">
        <v>18</v>
      </c>
      <c r="G90">
        <v>0</v>
      </c>
      <c r="H90">
        <v>0</v>
      </c>
    </row>
    <row r="91" spans="1:5" ht="12.75">
      <c r="A91" t="s">
        <v>115</v>
      </c>
      <c r="E91" s="12" t="e">
        <f t="shared" si="1"/>
        <v>#DIV/0!</v>
      </c>
    </row>
    <row r="92" spans="1:5" ht="12.75">
      <c r="A92" t="s">
        <v>111</v>
      </c>
      <c r="E92" s="12" t="e">
        <f t="shared" si="1"/>
        <v>#DIV/0!</v>
      </c>
    </row>
    <row r="93" ht="12.75">
      <c r="E93" s="8"/>
    </row>
    <row r="94" spans="1:13" ht="12.75">
      <c r="A94" s="2"/>
      <c r="B94" s="2"/>
      <c r="C94" s="3"/>
      <c r="D94" s="3"/>
      <c r="E94" s="15" t="s">
        <v>57</v>
      </c>
      <c r="F94" s="3" t="s">
        <v>58</v>
      </c>
      <c r="G94" s="3"/>
      <c r="H94" s="3"/>
      <c r="I94" s="3" t="s">
        <v>61</v>
      </c>
      <c r="J94" s="3" t="s">
        <v>63</v>
      </c>
      <c r="K94" s="3" t="s">
        <v>57</v>
      </c>
      <c r="L94" s="3" t="s">
        <v>49</v>
      </c>
      <c r="M94" s="3"/>
    </row>
    <row r="95" spans="1:14" ht="12.75">
      <c r="A95" s="2" t="s">
        <v>54</v>
      </c>
      <c r="B95" s="2"/>
      <c r="C95" s="3" t="s">
        <v>55</v>
      </c>
      <c r="D95" s="3" t="s">
        <v>56</v>
      </c>
      <c r="E95" s="15" t="s">
        <v>56</v>
      </c>
      <c r="F95" s="3" t="s">
        <v>59</v>
      </c>
      <c r="G95" s="3" t="s">
        <v>51</v>
      </c>
      <c r="H95" s="3" t="s">
        <v>60</v>
      </c>
      <c r="I95" s="5" t="s">
        <v>62</v>
      </c>
      <c r="J95" s="3" t="s">
        <v>51</v>
      </c>
      <c r="K95" s="3" t="s">
        <v>64</v>
      </c>
      <c r="L95" s="3" t="s">
        <v>65</v>
      </c>
      <c r="M95" s="3" t="s">
        <v>66</v>
      </c>
      <c r="N95" s="3" t="s">
        <v>80</v>
      </c>
    </row>
    <row r="96" spans="1:25" ht="12.75">
      <c r="A96" t="s">
        <v>105</v>
      </c>
      <c r="C96">
        <v>27</v>
      </c>
      <c r="D96">
        <v>18</v>
      </c>
      <c r="E96" s="12">
        <f>+D96/C96*100</f>
        <v>66.66666666666666</v>
      </c>
      <c r="F96">
        <v>166</v>
      </c>
      <c r="G96">
        <v>2</v>
      </c>
      <c r="H96">
        <v>32</v>
      </c>
      <c r="I96">
        <v>3</v>
      </c>
      <c r="J96" s="8">
        <f>+G96/C96*100</f>
        <v>7.4074074074074066</v>
      </c>
      <c r="K96" s="12">
        <f>+I96/C96*100</f>
        <v>11.11111111111111</v>
      </c>
      <c r="L96" s="12">
        <f>+F96/C96</f>
        <v>6.148148148148148</v>
      </c>
      <c r="M96" s="12">
        <f>100*(S96+U96+W96+Y96)/6</f>
        <v>68.36419753086419</v>
      </c>
      <c r="R96">
        <f>+(E96-30)/20</f>
        <v>1.8333333333333328</v>
      </c>
      <c r="S96" s="2">
        <f>IF(R96&lt;0,0,R96)</f>
        <v>1.8333333333333328</v>
      </c>
      <c r="T96" s="6">
        <f>+(L96-3)/4</f>
        <v>0.787037037037037</v>
      </c>
      <c r="U96" s="2">
        <f>IF(T96&lt;0,0,T96)</f>
        <v>0.787037037037037</v>
      </c>
      <c r="V96">
        <f>+J96/5</f>
        <v>1.4814814814814814</v>
      </c>
      <c r="W96" s="2">
        <f>IF(V96&lt;0,0,V96)</f>
        <v>1.4814814814814814</v>
      </c>
      <c r="X96">
        <f>(9.5-K96)/4</f>
        <v>-0.4027777777777777</v>
      </c>
      <c r="Y96" s="2">
        <f>IF(X96&lt;0,0,X96)</f>
        <v>0</v>
      </c>
    </row>
    <row r="97" spans="1:25" ht="12.75">
      <c r="A97" t="s">
        <v>106</v>
      </c>
      <c r="E97" s="12" t="e">
        <f>+D97/C97*100</f>
        <v>#DIV/0!</v>
      </c>
      <c r="J97" s="8" t="e">
        <f>+G97/C97*100</f>
        <v>#DIV/0!</v>
      </c>
      <c r="K97" s="12" t="e">
        <f>+I97/C97*100</f>
        <v>#DIV/0!</v>
      </c>
      <c r="L97" s="12" t="e">
        <f>+F97/C97</f>
        <v>#DIV/0!</v>
      </c>
      <c r="M97" s="12" t="e">
        <f>100*(S97+U97+W97+Y97)/6</f>
        <v>#DIV/0!</v>
      </c>
      <c r="R97" t="e">
        <f>+(E97-30)/20</f>
        <v>#DIV/0!</v>
      </c>
      <c r="S97" s="2" t="e">
        <f>IF(R97&lt;0,0,R97)</f>
        <v>#DIV/0!</v>
      </c>
      <c r="T97" s="6" t="e">
        <f>+(L97-3)/4</f>
        <v>#DIV/0!</v>
      </c>
      <c r="U97" s="2" t="e">
        <f>IF(T97&lt;0,0,T97)</f>
        <v>#DIV/0!</v>
      </c>
      <c r="V97" t="e">
        <f>+J97/5</f>
        <v>#DIV/0!</v>
      </c>
      <c r="W97" s="2" t="e">
        <f>IF(V97&lt;0,0,V97)</f>
        <v>#DIV/0!</v>
      </c>
      <c r="X97" t="e">
        <f>(9.5-K97)/4</f>
        <v>#DIV/0!</v>
      </c>
      <c r="Y97" s="2" t="e">
        <f>IF(X97&lt;0,0,X97)</f>
        <v>#DIV/0!</v>
      </c>
    </row>
    <row r="98" spans="1:25" ht="12.75">
      <c r="A98" t="s">
        <v>107</v>
      </c>
      <c r="E98" s="12" t="e">
        <f>+D98/C98*100</f>
        <v>#DIV/0!</v>
      </c>
      <c r="J98" s="8" t="e">
        <f>+G98/C98*100</f>
        <v>#DIV/0!</v>
      </c>
      <c r="K98" s="12" t="e">
        <f>+I98/C98*100</f>
        <v>#DIV/0!</v>
      </c>
      <c r="L98" s="12" t="e">
        <f>+F98/C98</f>
        <v>#DIV/0!</v>
      </c>
      <c r="M98" s="12" t="e">
        <f>100*(S98+U98+W98+Y98)/6</f>
        <v>#DIV/0!</v>
      </c>
      <c r="R98" t="e">
        <f>+(E98-30)/20</f>
        <v>#DIV/0!</v>
      </c>
      <c r="S98" s="2" t="e">
        <f>IF(R98&lt;0,0,R98)</f>
        <v>#DIV/0!</v>
      </c>
      <c r="T98" s="6" t="e">
        <f>+(L98-3)/4</f>
        <v>#DIV/0!</v>
      </c>
      <c r="U98" s="2" t="e">
        <f>IF(T98&lt;0,0,T98)</f>
        <v>#DIV/0!</v>
      </c>
      <c r="V98" t="e">
        <f>+J98/5</f>
        <v>#DIV/0!</v>
      </c>
      <c r="W98" s="2" t="e">
        <f>IF(V98&lt;0,0,V98)</f>
        <v>#DIV/0!</v>
      </c>
      <c r="X98" t="e">
        <f>(9.5-K98)/4</f>
        <v>#DIV/0!</v>
      </c>
      <c r="Y98" s="2" t="e">
        <f>IF(X98&lt;0,0,X98)</f>
        <v>#DIV/0!</v>
      </c>
    </row>
    <row r="99" spans="1:13" ht="12.75">
      <c r="A99" t="s">
        <v>108</v>
      </c>
      <c r="E99" s="12" t="e">
        <f>+D99/C99*100</f>
        <v>#DIV/0!</v>
      </c>
      <c r="J99" s="8" t="e">
        <f>+G99/C99*100</f>
        <v>#DIV/0!</v>
      </c>
      <c r="K99" s="12" t="e">
        <f>+I99/C99*100</f>
        <v>#DIV/0!</v>
      </c>
      <c r="L99" s="12" t="e">
        <f>+F99/C99</f>
        <v>#DIV/0!</v>
      </c>
      <c r="M99" s="12">
        <f>100*(S99+U99+W99+Y99)/6</f>
        <v>0</v>
      </c>
    </row>
    <row r="101" spans="1:9" ht="12.75">
      <c r="A101" s="2" t="s">
        <v>67</v>
      </c>
      <c r="C101" s="3" t="s">
        <v>68</v>
      </c>
      <c r="D101" s="3" t="s">
        <v>69</v>
      </c>
      <c r="E101" s="3" t="s">
        <v>70</v>
      </c>
      <c r="F101" s="3" t="s">
        <v>49</v>
      </c>
      <c r="G101" s="3" t="s">
        <v>60</v>
      </c>
      <c r="H101" s="3" t="s">
        <v>51</v>
      </c>
      <c r="I101" s="3" t="s">
        <v>80</v>
      </c>
    </row>
    <row r="102" spans="1:10" ht="12.75">
      <c r="A102" t="s">
        <v>118</v>
      </c>
      <c r="C102">
        <v>7</v>
      </c>
      <c r="D102">
        <v>2</v>
      </c>
      <c r="E102">
        <v>85</v>
      </c>
      <c r="F102" s="12">
        <f>+E102/C102</f>
        <v>12.142857142857142</v>
      </c>
      <c r="G102">
        <v>32</v>
      </c>
      <c r="H102">
        <v>0</v>
      </c>
      <c r="J102">
        <v>0</v>
      </c>
    </row>
    <row r="103" spans="1:6" ht="12.75">
      <c r="A103" t="s">
        <v>117</v>
      </c>
      <c r="F103" s="12" t="e">
        <f>+E103/C103</f>
        <v>#DIV/0!</v>
      </c>
    </row>
    <row r="104" spans="1:6" ht="12.75">
      <c r="A104" t="s">
        <v>121</v>
      </c>
      <c r="F104" s="12" t="e">
        <f>+E104/C104</f>
        <v>#DIV/0!</v>
      </c>
    </row>
    <row r="106" spans="1:8" ht="12.75">
      <c r="A106" s="2" t="s">
        <v>30</v>
      </c>
      <c r="C106" s="3" t="s">
        <v>68</v>
      </c>
      <c r="D106" s="3" t="s">
        <v>70</v>
      </c>
      <c r="E106" s="3" t="s">
        <v>49</v>
      </c>
      <c r="F106" s="3" t="s">
        <v>60</v>
      </c>
      <c r="G106" s="3" t="s">
        <v>51</v>
      </c>
      <c r="H106" s="3" t="s">
        <v>80</v>
      </c>
    </row>
    <row r="107" spans="1:8" ht="12.75">
      <c r="A107" t="s">
        <v>111</v>
      </c>
      <c r="C107">
        <v>2</v>
      </c>
      <c r="D107">
        <v>38</v>
      </c>
      <c r="E107" s="12">
        <f aca="true" t="shared" si="2" ref="E107:E113">+D107/C107</f>
        <v>19</v>
      </c>
      <c r="F107">
        <v>21</v>
      </c>
      <c r="G107">
        <v>0</v>
      </c>
      <c r="H107">
        <v>0</v>
      </c>
    </row>
    <row r="108" spans="1:5" ht="12.75">
      <c r="A108" t="s">
        <v>115</v>
      </c>
      <c r="E108" s="12" t="e">
        <f t="shared" si="2"/>
        <v>#DIV/0!</v>
      </c>
    </row>
    <row r="109" spans="1:5" ht="12.75">
      <c r="A109" t="s">
        <v>121</v>
      </c>
      <c r="E109" s="12" t="e">
        <f t="shared" si="2"/>
        <v>#DIV/0!</v>
      </c>
    </row>
    <row r="110" spans="1:5" ht="12.75">
      <c r="A110" t="s">
        <v>112</v>
      </c>
      <c r="E110" s="12" t="e">
        <f t="shared" si="2"/>
        <v>#DIV/0!</v>
      </c>
    </row>
    <row r="111" spans="1:5" ht="12.75">
      <c r="A111" t="s">
        <v>122</v>
      </c>
      <c r="E111" s="12" t="e">
        <f t="shared" si="2"/>
        <v>#DIV/0!</v>
      </c>
    </row>
    <row r="112" spans="1:5" ht="12.75">
      <c r="A112" t="s">
        <v>118</v>
      </c>
      <c r="E112" s="12" t="e">
        <f t="shared" si="2"/>
        <v>#DIV/0!</v>
      </c>
    </row>
    <row r="113" spans="1:5" ht="12.75">
      <c r="A113" t="s">
        <v>123</v>
      </c>
      <c r="E113" s="12" t="e">
        <f t="shared" si="2"/>
        <v>#DIV/0!</v>
      </c>
    </row>
    <row r="115" spans="1:8" ht="12.75">
      <c r="A115" s="2" t="s">
        <v>71</v>
      </c>
      <c r="C115" s="3" t="s">
        <v>68</v>
      </c>
      <c r="D115" s="3" t="s">
        <v>70</v>
      </c>
      <c r="E115" s="3" t="s">
        <v>49</v>
      </c>
      <c r="F115" s="3" t="s">
        <v>60</v>
      </c>
      <c r="G115" s="3" t="s">
        <v>72</v>
      </c>
      <c r="H115" s="3" t="s">
        <v>80</v>
      </c>
    </row>
    <row r="116" spans="1:8" ht="12.75">
      <c r="A116" t="s">
        <v>116</v>
      </c>
      <c r="C116">
        <v>5</v>
      </c>
      <c r="D116">
        <v>186</v>
      </c>
      <c r="E116" s="12">
        <f>+D116/C116</f>
        <v>37.2</v>
      </c>
      <c r="F116">
        <v>41</v>
      </c>
      <c r="G116">
        <v>0</v>
      </c>
      <c r="H116">
        <v>0</v>
      </c>
    </row>
    <row r="117" ht="12.75">
      <c r="I117" s="5" t="s">
        <v>63</v>
      </c>
    </row>
    <row r="118" spans="1:10" ht="12.75">
      <c r="A118" s="4" t="s">
        <v>79</v>
      </c>
      <c r="C118" s="3" t="s">
        <v>73</v>
      </c>
      <c r="D118" s="3" t="s">
        <v>74</v>
      </c>
      <c r="E118" s="3" t="s">
        <v>75</v>
      </c>
      <c r="F118" s="3" t="s">
        <v>76</v>
      </c>
      <c r="G118" s="3" t="s">
        <v>77</v>
      </c>
      <c r="H118" s="3" t="s">
        <v>78</v>
      </c>
      <c r="I118" s="3" t="s">
        <v>82</v>
      </c>
      <c r="J118" s="3" t="s">
        <v>60</v>
      </c>
    </row>
    <row r="119" spans="1:10" ht="12.75">
      <c r="A119" t="s">
        <v>116</v>
      </c>
      <c r="C119">
        <v>7</v>
      </c>
      <c r="D119">
        <v>3</v>
      </c>
      <c r="E119">
        <v>5</v>
      </c>
      <c r="F119">
        <v>4</v>
      </c>
      <c r="G119">
        <v>2</v>
      </c>
      <c r="H119">
        <v>1</v>
      </c>
      <c r="I119" s="12">
        <f>+H119/G119*100</f>
        <v>50</v>
      </c>
      <c r="J119">
        <v>27</v>
      </c>
    </row>
    <row r="120" spans="1:9" ht="12.75">
      <c r="A120" t="s">
        <v>120</v>
      </c>
      <c r="I120" s="12" t="e">
        <f>+H120/G120*100</f>
        <v>#DIV/0!</v>
      </c>
    </row>
    <row r="122" spans="1:8" ht="12.75">
      <c r="A122" s="2" t="s">
        <v>81</v>
      </c>
      <c r="C122" s="3" t="s">
        <v>68</v>
      </c>
      <c r="D122" s="3" t="s">
        <v>70</v>
      </c>
      <c r="E122" s="3" t="s">
        <v>49</v>
      </c>
      <c r="F122" s="3" t="s">
        <v>60</v>
      </c>
      <c r="G122" s="3" t="s">
        <v>51</v>
      </c>
      <c r="H122" s="3" t="s">
        <v>80</v>
      </c>
    </row>
    <row r="123" spans="1:8" ht="12.75">
      <c r="A123" t="s">
        <v>121</v>
      </c>
      <c r="C123">
        <v>1</v>
      </c>
      <c r="D123">
        <v>28</v>
      </c>
      <c r="E123" s="12">
        <f>+D123/C123</f>
        <v>28</v>
      </c>
      <c r="F123">
        <v>28</v>
      </c>
      <c r="G123">
        <v>0</v>
      </c>
      <c r="H123">
        <v>0</v>
      </c>
    </row>
    <row r="124" spans="1:8" ht="12.75">
      <c r="A124" t="s">
        <v>124</v>
      </c>
      <c r="C124">
        <v>1</v>
      </c>
      <c r="D124">
        <v>1</v>
      </c>
      <c r="E124" s="12">
        <f aca="true" t="shared" si="3" ref="E124:E130">+D124/C124</f>
        <v>1</v>
      </c>
      <c r="F124">
        <v>1</v>
      </c>
      <c r="G124">
        <v>0</v>
      </c>
      <c r="H124">
        <v>0</v>
      </c>
    </row>
    <row r="125" spans="1:5" ht="12.75">
      <c r="A125" t="s">
        <v>125</v>
      </c>
      <c r="E125" s="12" t="e">
        <f t="shared" si="3"/>
        <v>#DIV/0!</v>
      </c>
    </row>
    <row r="126" spans="1:5" ht="12.75">
      <c r="A126" t="s">
        <v>126</v>
      </c>
      <c r="E126" s="12" t="e">
        <f t="shared" si="3"/>
        <v>#DIV/0!</v>
      </c>
    </row>
    <row r="127" spans="1:5" ht="12.75">
      <c r="A127" t="s">
        <v>127</v>
      </c>
      <c r="E127" s="12" t="e">
        <f t="shared" si="3"/>
        <v>#DIV/0!</v>
      </c>
    </row>
    <row r="128" spans="1:5" ht="12.75">
      <c r="A128" t="s">
        <v>128</v>
      </c>
      <c r="E128" s="12" t="e">
        <f t="shared" si="3"/>
        <v>#DIV/0!</v>
      </c>
    </row>
    <row r="129" spans="1:5" ht="12.75">
      <c r="A129" t="s">
        <v>129</v>
      </c>
      <c r="E129" s="12" t="e">
        <f t="shared" si="3"/>
        <v>#DIV/0!</v>
      </c>
    </row>
    <row r="130" spans="1:5" ht="12.75">
      <c r="A130" t="s">
        <v>130</v>
      </c>
      <c r="E130" s="12" t="e">
        <f t="shared" si="3"/>
        <v>#DIV/0!</v>
      </c>
    </row>
    <row r="132" spans="1:4" ht="12.75">
      <c r="A132" s="2" t="s">
        <v>90</v>
      </c>
      <c r="C132" s="3" t="s">
        <v>68</v>
      </c>
      <c r="D132" s="3"/>
    </row>
    <row r="133" spans="1:3" ht="12.75">
      <c r="A133" t="s">
        <v>132</v>
      </c>
      <c r="C133">
        <v>1</v>
      </c>
    </row>
    <row r="134" spans="1:3" ht="12.75">
      <c r="A134" t="s">
        <v>123</v>
      </c>
      <c r="C134">
        <v>1</v>
      </c>
    </row>
    <row r="135" spans="1:3" ht="12.75">
      <c r="A135" t="s">
        <v>126</v>
      </c>
      <c r="C135">
        <v>1</v>
      </c>
    </row>
    <row r="136" spans="1:3" ht="12.75">
      <c r="A136" t="s">
        <v>128</v>
      </c>
      <c r="C136">
        <v>1</v>
      </c>
    </row>
    <row r="137" ht="12.75">
      <c r="A137" t="s">
        <v>129</v>
      </c>
    </row>
    <row r="138" ht="12.75">
      <c r="A138" t="s">
        <v>125</v>
      </c>
    </row>
    <row r="139" ht="12.75">
      <c r="A139" t="s">
        <v>127</v>
      </c>
    </row>
    <row r="140" spans="1:3" ht="12.75">
      <c r="A140" t="s">
        <v>133</v>
      </c>
      <c r="C140">
        <v>1</v>
      </c>
    </row>
    <row r="141" ht="12.75">
      <c r="A141" t="s">
        <v>134</v>
      </c>
    </row>
    <row r="142" ht="12.75">
      <c r="A142" t="s">
        <v>135</v>
      </c>
    </row>
    <row r="143" spans="1:3" ht="12.75">
      <c r="A143" t="s">
        <v>136</v>
      </c>
      <c r="C143">
        <v>1</v>
      </c>
    </row>
    <row r="147" spans="4:14" ht="12.75">
      <c r="D147" s="2" t="s">
        <v>84</v>
      </c>
      <c r="E147" s="2" t="s">
        <v>85</v>
      </c>
      <c r="M147" s="2" t="s">
        <v>84</v>
      </c>
      <c r="N147" s="2" t="s">
        <v>85</v>
      </c>
    </row>
    <row r="148" spans="1:13" ht="12.75">
      <c r="A148" t="s">
        <v>93</v>
      </c>
      <c r="D148">
        <v>17</v>
      </c>
      <c r="H148" t="s">
        <v>93</v>
      </c>
      <c r="M148">
        <v>13</v>
      </c>
    </row>
    <row r="149" spans="1:13" ht="12.75">
      <c r="A149" t="s">
        <v>94</v>
      </c>
      <c r="D149">
        <v>8</v>
      </c>
      <c r="H149" t="s">
        <v>94</v>
      </c>
      <c r="M149">
        <v>1</v>
      </c>
    </row>
    <row r="150" spans="1:13" ht="12.75">
      <c r="A150" t="s">
        <v>95</v>
      </c>
      <c r="D150" s="8">
        <f>D149/D148*100</f>
        <v>47.05882352941176</v>
      </c>
      <c r="H150" t="s">
        <v>95</v>
      </c>
      <c r="M150" s="8">
        <f>+M149/M148*100</f>
        <v>7.6923076923076925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Owner</cp:lastModifiedBy>
  <dcterms:created xsi:type="dcterms:W3CDTF">2004-12-04T00:48:17Z</dcterms:created>
  <dcterms:modified xsi:type="dcterms:W3CDTF">2014-07-29T11:02:49Z</dcterms:modified>
  <cp:category/>
  <cp:version/>
  <cp:contentType/>
  <cp:contentStatus/>
</cp:coreProperties>
</file>