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65076" windowWidth="38400" windowHeight="18280" tabRatio="827" activeTab="0"/>
  </bookViews>
  <sheets>
    <sheet name="Cumulative Stats" sheetId="1" r:id="rId1"/>
    <sheet name="at Pit" sheetId="2" r:id="rId2"/>
    <sheet name="at GB" sheetId="3" r:id="rId3"/>
    <sheet name="at Min" sheetId="4" r:id="rId4"/>
    <sheet name="vs Bal" sheetId="5" r:id="rId5"/>
    <sheet name="vs Det" sheetId="6" r:id="rId6"/>
    <sheet name="at Cle" sheetId="7" r:id="rId7"/>
    <sheet name="vs LA" sheetId="8" r:id="rId8"/>
    <sheet name="at Det" sheetId="9" r:id="rId9"/>
    <sheet name="vs NY" sheetId="10" r:id="rId10"/>
    <sheet name="vs StL" sheetId="11" r:id="rId11"/>
    <sheet name="vs GB" sheetId="12" r:id="rId12"/>
    <sheet name="at SF" sheetId="13" r:id="rId13"/>
    <sheet name="vs Min" sheetId="14" r:id="rId14"/>
    <sheet name="at Atl" sheetId="15" r:id="rId15"/>
    <sheet name="Gm 15" sheetId="16" r:id="rId16"/>
    <sheet name="Gm 16" sheetId="17" r:id="rId17"/>
    <sheet name="Extra 1" sheetId="18" r:id="rId18"/>
    <sheet name="Extra 2" sheetId="19" r:id="rId19"/>
    <sheet name="extra 3" sheetId="20" r:id="rId20"/>
    <sheet name="Roster" sheetId="21" r:id="rId21"/>
    <sheet name="Summary" sheetId="22" r:id="rId22"/>
  </sheets>
  <definedNames>
    <definedName name="_xlnm.Print_Area" localSheetId="21">'Summary'!$A$2:$O$21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<sst xmlns="http://schemas.openxmlformats.org/spreadsheetml/2006/main" count="7325" uniqueCount="251">
  <si>
    <t>Offensive Stats:</t>
  </si>
  <si>
    <t>Rushes</t>
  </si>
  <si>
    <t xml:space="preserve"> Yards Gained (Net)</t>
  </si>
  <si>
    <t xml:space="preserve"> Average Gain</t>
  </si>
  <si>
    <t>Passes Attempted</t>
  </si>
  <si>
    <t xml:space="preserve"> Completed</t>
  </si>
  <si>
    <t xml:space="preserve"> Percent Completed</t>
  </si>
  <si>
    <t xml:space="preserve"> Total Yards Gained</t>
  </si>
  <si>
    <t xml:space="preserve"> Passer Tackled</t>
  </si>
  <si>
    <t xml:space="preserve">    Yards Lost</t>
  </si>
  <si>
    <t xml:space="preserve"> Net Yards Gained</t>
  </si>
  <si>
    <t xml:space="preserve"> Yards Gained (Net) Per Pass Play</t>
  </si>
  <si>
    <t xml:space="preserve"> Yards Gained Per Completion</t>
  </si>
  <si>
    <t>Net Yards Gained</t>
  </si>
  <si>
    <t xml:space="preserve"> Rushing and Passing</t>
  </si>
  <si>
    <t xml:space="preserve"> Percent Total Yards - Rushing</t>
  </si>
  <si>
    <t>Ball Control Plays</t>
  </si>
  <si>
    <t xml:space="preserve"> Average Gain (Net)</t>
  </si>
  <si>
    <t>Interceptions</t>
  </si>
  <si>
    <t xml:space="preserve"> Had Intercepted</t>
  </si>
  <si>
    <t xml:space="preserve"> Yards Opponents Returned</t>
  </si>
  <si>
    <t xml:space="preserve"> Returned by Opponents for TD</t>
  </si>
  <si>
    <t>Punts</t>
  </si>
  <si>
    <t xml:space="preserve">  Yards Punted</t>
  </si>
  <si>
    <t xml:space="preserve">  Average Yards Per Punt</t>
  </si>
  <si>
    <t>Punt Returns</t>
  </si>
  <si>
    <t xml:space="preserve"> Yards Returned</t>
  </si>
  <si>
    <t xml:space="preserve"> Average Yards Per Return</t>
  </si>
  <si>
    <t xml:space="preserve"> Returned for TD</t>
  </si>
  <si>
    <t>First Downs</t>
  </si>
  <si>
    <t>Kickoff Returns</t>
  </si>
  <si>
    <t>Penalties</t>
  </si>
  <si>
    <t xml:space="preserve"> Yards Penalized</t>
  </si>
  <si>
    <t>Fumbles</t>
  </si>
  <si>
    <t xml:space="preserve"> Own Recovered</t>
  </si>
  <si>
    <t xml:space="preserve"> TD's on Own Recovery</t>
  </si>
  <si>
    <t xml:space="preserve"> Opponents Recovered</t>
  </si>
  <si>
    <t xml:space="preserve"> Opponents Recovered for TD</t>
  </si>
  <si>
    <t>Total Points Scored</t>
  </si>
  <si>
    <t xml:space="preserve"> Touchdowns (Total)</t>
  </si>
  <si>
    <t xml:space="preserve"> Touchdowns Rushing</t>
  </si>
  <si>
    <t xml:space="preserve"> Touchdowns Passing</t>
  </si>
  <si>
    <t xml:space="preserve"> TD's on Returns and Recoveries</t>
  </si>
  <si>
    <t xml:space="preserve"> *Extra Points</t>
  </si>
  <si>
    <t xml:space="preserve"> Safeties</t>
  </si>
  <si>
    <t xml:space="preserve"> Field Goals</t>
  </si>
  <si>
    <t xml:space="preserve"> Field Goal Attempts</t>
  </si>
  <si>
    <t xml:space="preserve"> Percent Successful</t>
  </si>
  <si>
    <t>Defensive Stats:</t>
  </si>
  <si>
    <t>Individual Stats:</t>
  </si>
  <si>
    <t>Rushing:</t>
  </si>
  <si>
    <t xml:space="preserve">Att </t>
  </si>
  <si>
    <t>Yards</t>
  </si>
  <si>
    <t>Avg.</t>
  </si>
  <si>
    <t xml:space="preserve">Long </t>
  </si>
  <si>
    <t>TD</t>
  </si>
  <si>
    <t>Receiving:</t>
  </si>
  <si>
    <t>Rec.</t>
  </si>
  <si>
    <t>Passing:</t>
  </si>
  <si>
    <t>Att</t>
  </si>
  <si>
    <t>Com</t>
  </si>
  <si>
    <t>Pct</t>
  </si>
  <si>
    <t xml:space="preserve">Yards </t>
  </si>
  <si>
    <t>Gained</t>
  </si>
  <si>
    <t>Long</t>
  </si>
  <si>
    <t>Had</t>
  </si>
  <si>
    <t>Int.</t>
  </si>
  <si>
    <t xml:space="preserve">Pct </t>
  </si>
  <si>
    <t>Int</t>
  </si>
  <si>
    <t>Gain</t>
  </si>
  <si>
    <t>Rating</t>
  </si>
  <si>
    <t>Punt Returns:</t>
  </si>
  <si>
    <t>No.</t>
  </si>
  <si>
    <t>FC</t>
  </si>
  <si>
    <t>Yrds</t>
  </si>
  <si>
    <t>Punting:</t>
  </si>
  <si>
    <t>Blk</t>
  </si>
  <si>
    <t>KO</t>
  </si>
  <si>
    <t>TB</t>
  </si>
  <si>
    <t>XPA</t>
  </si>
  <si>
    <t>XPM</t>
  </si>
  <si>
    <t>FGA</t>
  </si>
  <si>
    <t>FGM</t>
  </si>
  <si>
    <t>Kicking:</t>
  </si>
  <si>
    <t>Fum</t>
  </si>
  <si>
    <t>Interceptions:</t>
  </si>
  <si>
    <t>Made</t>
  </si>
  <si>
    <t>Games Played</t>
  </si>
  <si>
    <t>Replay</t>
  </si>
  <si>
    <t>Actual</t>
  </si>
  <si>
    <t xml:space="preserve"> Percent Total Yards - Passing</t>
  </si>
  <si>
    <t>:</t>
  </si>
  <si>
    <t>Average Possesion:</t>
  </si>
  <si>
    <t>Possesion:</t>
  </si>
  <si>
    <t>Fumble Recoveries:</t>
  </si>
  <si>
    <t>Rushing</t>
  </si>
  <si>
    <t>Passing</t>
  </si>
  <si>
    <t>Penalty</t>
  </si>
  <si>
    <t>Sacks:</t>
  </si>
  <si>
    <t>0-19</t>
  </si>
  <si>
    <t>20-29</t>
  </si>
  <si>
    <t>30-39</t>
  </si>
  <si>
    <t>40-49</t>
  </si>
  <si>
    <t>50+</t>
  </si>
  <si>
    <t>Sacks</t>
  </si>
  <si>
    <t>Actual:</t>
  </si>
  <si>
    <t>YPC</t>
  </si>
  <si>
    <t>Sack</t>
  </si>
  <si>
    <t>3rd Down Made/Att/Pct.</t>
  </si>
  <si>
    <t>Offense</t>
  </si>
  <si>
    <t>Defense</t>
  </si>
  <si>
    <t>TOTAL</t>
  </si>
  <si>
    <t>OT MINS</t>
  </si>
  <si>
    <t>Roster</t>
  </si>
  <si>
    <t>Pos</t>
  </si>
  <si>
    <t>G</t>
  </si>
  <si>
    <t>GS</t>
  </si>
  <si>
    <t>Rec</t>
  </si>
  <si>
    <t>Total Chances</t>
  </si>
  <si>
    <t>4th Down Made/Att/Pct.</t>
  </si>
  <si>
    <t xml:space="preserve"> Two Point Conversions</t>
  </si>
  <si>
    <t>Team:</t>
  </si>
  <si>
    <t>Replay:</t>
  </si>
  <si>
    <t>Expected:</t>
  </si>
  <si>
    <t>Stat Leaders:</t>
  </si>
  <si>
    <t>Rate</t>
  </si>
  <si>
    <t>*Overtime</t>
  </si>
  <si>
    <t>Kickoffs</t>
  </si>
  <si>
    <t>Touchbacks</t>
  </si>
  <si>
    <t>Touchback %</t>
  </si>
  <si>
    <t>-</t>
  </si>
  <si>
    <t xml:space="preserve"> Fair Caught</t>
  </si>
  <si>
    <t>1967 Chicago Bears</t>
  </si>
  <si>
    <t>Bukich</t>
  </si>
  <si>
    <t>Bull</t>
  </si>
  <si>
    <t>Concannon</t>
  </si>
  <si>
    <t>Gordon</t>
  </si>
  <si>
    <t>Jones,J</t>
  </si>
  <si>
    <t>Kurek</t>
  </si>
  <si>
    <t>Livingston</t>
  </si>
  <si>
    <t>Morris</t>
  </si>
  <si>
    <t>Piccolo</t>
  </si>
  <si>
    <t>Rakestraw</t>
  </si>
  <si>
    <t>Sayers</t>
  </si>
  <si>
    <t>Denney</t>
  </si>
  <si>
    <t>Jones,B</t>
  </si>
  <si>
    <t>Stoepel</t>
  </si>
  <si>
    <t>Petitbon</t>
  </si>
  <si>
    <t>Dodd</t>
  </si>
  <si>
    <t>Brown</t>
  </si>
  <si>
    <t>Jackson</t>
  </si>
  <si>
    <t>Kriewald</t>
  </si>
  <si>
    <t>Kuechenberg</t>
  </si>
  <si>
    <t>Taylor,J</t>
  </si>
  <si>
    <t>Green</t>
  </si>
  <si>
    <t>Percival</t>
  </si>
  <si>
    <t>Amsler</t>
  </si>
  <si>
    <t>Buffone</t>
  </si>
  <si>
    <t>Butkus</t>
  </si>
  <si>
    <t>Cornish</t>
  </si>
  <si>
    <t>Gentry</t>
  </si>
  <si>
    <t>McRae,B</t>
  </si>
  <si>
    <t>Taylor,R</t>
  </si>
  <si>
    <t>Evey</t>
  </si>
  <si>
    <t>Johnson</t>
  </si>
  <si>
    <t>O'Bradovich</t>
  </si>
  <si>
    <t>Purnell</t>
  </si>
  <si>
    <t>Allen</t>
  </si>
  <si>
    <t>Cadile</t>
  </si>
  <si>
    <t>Croftcheck</t>
  </si>
  <si>
    <t>Gordon,D</t>
  </si>
  <si>
    <t>James</t>
  </si>
  <si>
    <t>McRae,F</t>
  </si>
  <si>
    <t>Phillips</t>
  </si>
  <si>
    <t>Pickens</t>
  </si>
  <si>
    <t>Pyle</t>
  </si>
  <si>
    <t>Rabold</t>
  </si>
  <si>
    <t>Reilly</t>
  </si>
  <si>
    <t>Sayers,G</t>
  </si>
  <si>
    <t>Seals</t>
  </si>
  <si>
    <t>Wetoska</t>
  </si>
  <si>
    <t>Chi</t>
  </si>
  <si>
    <t>Duane</t>
  </si>
  <si>
    <t>TE-FB-WR</t>
  </si>
  <si>
    <t>Marty</t>
  </si>
  <si>
    <t>DE</t>
  </si>
  <si>
    <t>Charlie</t>
  </si>
  <si>
    <t>FS-SS-HB</t>
  </si>
  <si>
    <t>Doug</t>
  </si>
  <si>
    <t>OLB</t>
  </si>
  <si>
    <t>Rudy</t>
  </si>
  <si>
    <t>QB</t>
  </si>
  <si>
    <t>Ronnie</t>
  </si>
  <si>
    <t>FB-HB</t>
  </si>
  <si>
    <t>Dick</t>
  </si>
  <si>
    <t>MLB</t>
  </si>
  <si>
    <t>Jim</t>
  </si>
  <si>
    <t>G-T</t>
  </si>
  <si>
    <t>Jack</t>
  </si>
  <si>
    <t>Frank</t>
  </si>
  <si>
    <t>DT</t>
  </si>
  <si>
    <t>Don</t>
  </si>
  <si>
    <t>Austin</t>
  </si>
  <si>
    <t>TE-FB</t>
  </si>
  <si>
    <t>Al</t>
  </si>
  <si>
    <t>CB-WR-HB</t>
  </si>
  <si>
    <t>DT-DE</t>
  </si>
  <si>
    <t>Curt</t>
  </si>
  <si>
    <t>CB</t>
  </si>
  <si>
    <t>WR-HB</t>
  </si>
  <si>
    <t>KR-PR</t>
  </si>
  <si>
    <t>Bobby Joe</t>
  </si>
  <si>
    <t>P-FB</t>
  </si>
  <si>
    <t>Randy</t>
  </si>
  <si>
    <t>T-G</t>
  </si>
  <si>
    <t>Dan</t>
  </si>
  <si>
    <t>John</t>
  </si>
  <si>
    <t>Bob</t>
  </si>
  <si>
    <t>WR</t>
  </si>
  <si>
    <t>MLB-OLB</t>
  </si>
  <si>
    <t>Ralph</t>
  </si>
  <si>
    <t>Andy</t>
  </si>
  <si>
    <t>HB-FB</t>
  </si>
  <si>
    <t>Bennie</t>
  </si>
  <si>
    <t>Johnny</t>
  </si>
  <si>
    <t>Ed</t>
  </si>
  <si>
    <t>Mac</t>
  </si>
  <si>
    <t>K-FB-FS</t>
  </si>
  <si>
    <t>Richie</t>
  </si>
  <si>
    <t>SS-FS-Holder on Placekicks</t>
  </si>
  <si>
    <t>Loyd</t>
  </si>
  <si>
    <t>DE-OLB</t>
  </si>
  <si>
    <t>Brian</t>
  </si>
  <si>
    <t>T</t>
  </si>
  <si>
    <t>Mike</t>
  </si>
  <si>
    <t>C - Long Snapper</t>
  </si>
  <si>
    <t>Larry</t>
  </si>
  <si>
    <t>OLB-MLB</t>
  </si>
  <si>
    <t>Gale</t>
  </si>
  <si>
    <t>HB</t>
  </si>
  <si>
    <t>George</t>
  </si>
  <si>
    <t>G-T-DT</t>
  </si>
  <si>
    <t>Terry</t>
  </si>
  <si>
    <t>TE-FB-T</t>
  </si>
  <si>
    <t>Joe</t>
  </si>
  <si>
    <t>CB-FS-SS</t>
  </si>
  <si>
    <t>Rosey</t>
  </si>
  <si>
    <t>FS-SS</t>
  </si>
  <si>
    <t>T-G-C</t>
  </si>
  <si>
    <t>Scored on a lateral</t>
  </si>
  <si>
    <t>Blocked punt recovered in end zone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</si>
</sst>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0"/>
    <numFmt numFmtId="175" formatCode="[$-409]h:mm:ss\ AM/PM"/>
    <numFmt numFmtId="176" formatCode="h:mm;@"/>
    <numFmt numFmtId="177" formatCode="mm:ss.0;@"/>
    <numFmt numFmtId="178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7.85"/>
      <color indexed="8"/>
      <name val="Verdana"/>
      <family val="0"/>
    </font>
    <font>
      <sz val="9.4"/>
      <color indexed="8"/>
      <name val="Verdana"/>
      <family val="0"/>
    </font>
    <font>
      <b/>
      <sz val="9.4"/>
      <color indexed="8"/>
      <name val="Verdana"/>
      <family val="0"/>
    </font>
    <font>
      <b/>
      <sz val="7.85"/>
      <color indexed="8"/>
      <name val="Verdana"/>
      <family val="0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.85"/>
      <color rgb="FF000000"/>
      <name val="Verdana"/>
      <family val="0"/>
    </font>
    <font>
      <sz val="9.4"/>
      <color rgb="FF000000"/>
      <name val="Verdana"/>
      <family val="0"/>
    </font>
    <font>
      <b/>
      <sz val="9.4"/>
      <color rgb="FF000000"/>
      <name val="Verdana"/>
      <family val="0"/>
    </font>
    <font>
      <b/>
      <sz val="7.85"/>
      <color rgb="FF000000"/>
      <name val="Verdan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 horizontal="center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74" fontId="0" fillId="0" borderId="0" xfId="0" applyNumberFormat="1" applyAlignment="1">
      <alignment/>
    </xf>
    <xf numFmtId="173" fontId="2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3" fontId="2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45" fillId="0" borderId="0" xfId="0" applyFont="1" applyAlignment="1">
      <alignment/>
    </xf>
    <xf numFmtId="0" fontId="2" fillId="0" borderId="0" xfId="0" applyFont="1" applyAlignment="1">
      <alignment horizontal="left"/>
    </xf>
    <xf numFmtId="173" fontId="0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6" fillId="0" borderId="0" xfId="0" applyFont="1" applyAlignment="1">
      <alignment/>
    </xf>
    <xf numFmtId="178" fontId="0" fillId="0" borderId="0" xfId="0" applyNumberFormat="1" applyFont="1" applyAlignment="1">
      <alignment horizontal="center"/>
    </xf>
    <xf numFmtId="173" fontId="0" fillId="0" borderId="0" xfId="0" applyNumberFormat="1" applyAlignment="1" quotePrefix="1">
      <alignment horizontal="center"/>
    </xf>
    <xf numFmtId="0" fontId="2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66"/>
  <sheetViews>
    <sheetView tabSelected="1" zoomScale="125" zoomScaleNormal="125" workbookViewId="0" topLeftCell="A1">
      <selection activeCell="B3" sqref="B3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  <col min="14" max="14" width="6.8515625" style="0" customWidth="1"/>
    <col min="15" max="15" width="7.00390625" style="0" customWidth="1"/>
  </cols>
  <sheetData>
    <row r="1" ht="12">
      <c r="A1" s="2" t="s">
        <v>132</v>
      </c>
    </row>
    <row r="2" spans="1:2" ht="12">
      <c r="A2" t="s">
        <v>87</v>
      </c>
      <c r="B2" s="2">
        <v>14</v>
      </c>
    </row>
    <row r="3" spans="1:8" ht="12">
      <c r="A3" s="2" t="s">
        <v>0</v>
      </c>
      <c r="H3" s="2" t="s">
        <v>48</v>
      </c>
    </row>
    <row r="4" spans="5:15" ht="12">
      <c r="E4" s="3" t="s">
        <v>88</v>
      </c>
      <c r="F4" s="3" t="s">
        <v>89</v>
      </c>
      <c r="N4" s="3" t="s">
        <v>88</v>
      </c>
      <c r="O4" s="3" t="s">
        <v>89</v>
      </c>
    </row>
    <row r="6" spans="1:15" ht="12">
      <c r="A6" s="1" t="s">
        <v>29</v>
      </c>
      <c r="D6" s="2">
        <f>+'at Pit'!D6+'at GB'!D6+'at Min'!D6+'vs Bal'!D6+'vs Det'!D6+'at Cle'!D6+'vs LA'!D6+'at Det'!D6+'vs NY'!D6+'vs StL'!D6+'vs GB'!D6+'at SF'!D6+'vs Min'!D6+'at Atl'!D6+'Gm 15'!D6+'Gm 16'!D6</f>
        <v>215</v>
      </c>
      <c r="E6" s="8">
        <f>+D6/$B$2</f>
        <v>15.357142857142858</v>
      </c>
      <c r="F6" s="8">
        <v>12.5</v>
      </c>
      <c r="H6" s="1" t="s">
        <v>29</v>
      </c>
      <c r="M6" s="2">
        <f>+'at Pit'!M6+'at GB'!M6+'at Min'!M6+'vs Bal'!M6+'vs Det'!M6+'at Cle'!M6+'vs LA'!M6+'at Det'!M6+'vs NY'!M6+'vs StL'!M6+'vs GB'!M6+'at SF'!M6+'vs Min'!M6+'at Atl'!M6+'Gm 15'!M6+'Gm 16'!M6</f>
        <v>195</v>
      </c>
      <c r="N6" s="8">
        <f>+M6/$B$2</f>
        <v>13.928571428571429</v>
      </c>
      <c r="O6" s="8">
        <v>15.357142857142858</v>
      </c>
    </row>
    <row r="7" spans="1:15" ht="12">
      <c r="A7" s="9" t="s">
        <v>95</v>
      </c>
      <c r="D7" s="2">
        <f>+'at Pit'!D7+'at GB'!D7+'at Min'!D7+'vs Bal'!D7+'vs Det'!D7+'at Cle'!D7+'vs LA'!D7+'at Det'!D7+'vs NY'!D7+'vs StL'!D7+'vs GB'!D7+'at SF'!D7+'vs Min'!D7+'at Atl'!D7+'Gm 15'!D7+'Gm 16'!D7</f>
        <v>87</v>
      </c>
      <c r="E7" s="8">
        <f>+D7/$B$2</f>
        <v>6.214285714285714</v>
      </c>
      <c r="F7" s="8">
        <v>7</v>
      </c>
      <c r="H7" s="9" t="s">
        <v>95</v>
      </c>
      <c r="M7" s="2">
        <f>+'at Pit'!M7+'at GB'!M7+'at Min'!M7+'vs Bal'!M7+'vs Det'!M7+'at Cle'!M7+'vs LA'!M7+'at Det'!M7+'vs NY'!M7+'vs StL'!M7+'vs GB'!M7+'at SF'!M7+'vs Min'!M7+'at Atl'!M7+'Gm 15'!M7+'Gm 16'!M7</f>
        <v>72</v>
      </c>
      <c r="N7" s="8">
        <f>+M7/$B$2</f>
        <v>5.142857142857143</v>
      </c>
      <c r="O7" s="8">
        <v>6.5</v>
      </c>
    </row>
    <row r="8" spans="1:15" ht="12">
      <c r="A8" s="9" t="s">
        <v>96</v>
      </c>
      <c r="D8" s="2">
        <f>+'at Pit'!D8+'at GB'!D8+'at Min'!D8+'vs Bal'!D8+'vs Det'!D8+'at Cle'!D8+'vs LA'!D8+'at Det'!D8+'vs NY'!D8+'vs StL'!D8+'vs GB'!D8+'at SF'!D8+'vs Min'!D8+'at Atl'!D8+'Gm 15'!D8+'Gm 16'!D8</f>
        <v>100</v>
      </c>
      <c r="E8" s="8">
        <f>+D8/$B$2</f>
        <v>7.142857142857143</v>
      </c>
      <c r="F8" s="8">
        <v>4.428571428571429</v>
      </c>
      <c r="H8" s="9" t="s">
        <v>96</v>
      </c>
      <c r="M8" s="2">
        <f>+'at Pit'!M8+'at GB'!M8+'at Min'!M8+'vs Bal'!M8+'vs Det'!M8+'at Cle'!M8+'vs LA'!M8+'at Det'!M8+'vs NY'!M8+'vs StL'!M8+'vs GB'!M8+'at SF'!M8+'vs Min'!M8+'at Atl'!M8+'Gm 15'!M8+'Gm 16'!M8</f>
        <v>94</v>
      </c>
      <c r="N8" s="8">
        <f>+M8/$B$2</f>
        <v>6.714285714285714</v>
      </c>
      <c r="O8" s="8">
        <v>7</v>
      </c>
    </row>
    <row r="9" spans="1:19" ht="12">
      <c r="A9" s="9" t="s">
        <v>97</v>
      </c>
      <c r="D9" s="2">
        <f>+'at Pit'!D9+'at GB'!D9+'at Min'!D9+'vs Bal'!D9+'vs Det'!D9+'at Cle'!D9+'vs LA'!D9+'at Det'!D9+'vs NY'!D9+'vs StL'!D9+'vs GB'!D9+'at SF'!D9+'vs Min'!D9+'at Atl'!D9+'Gm 15'!D9+'Gm 16'!D9</f>
        <v>28</v>
      </c>
      <c r="E9" s="8">
        <f>+D9/$B$2</f>
        <v>2</v>
      </c>
      <c r="F9" s="8">
        <f>+F6-F7-F8</f>
        <v>1.0714285714285712</v>
      </c>
      <c r="H9" s="9" t="s">
        <v>97</v>
      </c>
      <c r="M9" s="2">
        <f>+'at Pit'!M9+'at GB'!M9+'at Min'!M9+'vs Bal'!M9+'vs Det'!M9+'at Cle'!M9+'vs LA'!M9+'at Det'!M9+'vs NY'!M9+'vs StL'!M9+'vs GB'!M9+'at SF'!M9+'vs Min'!M9+'at Atl'!M9+'Gm 15'!M9+'Gm 16'!M9</f>
        <v>29</v>
      </c>
      <c r="N9" s="8">
        <f>+M9/$B$2</f>
        <v>2.0714285714285716</v>
      </c>
      <c r="O9" s="8">
        <f>+O6-O7-O8</f>
        <v>1.8571428571428577</v>
      </c>
      <c r="R9" t="s">
        <v>109</v>
      </c>
      <c r="S9" t="s">
        <v>110</v>
      </c>
    </row>
    <row r="10" spans="1:19" ht="12">
      <c r="A10" s="18" t="s">
        <v>108</v>
      </c>
      <c r="C10" s="2">
        <f>+'at Pit'!C10+'at GB'!C10+'at Min'!C10+'vs Bal'!C10+'vs Det'!C10+'at Cle'!C10+'vs LA'!C10+'at Det'!C10+'vs NY'!C10+'vs StL'!C10+'vs GB'!C10+'at SF'!C10+'vs Min'!C10+'at Atl'!C10+'Gm 15'!C10+'Gm 16'!C10</f>
        <v>70</v>
      </c>
      <c r="D10" s="2">
        <f>+'at Pit'!D10+'at GB'!D10+'at Min'!D10+'vs Bal'!D10+'vs Det'!D10+'at Cle'!D10+'vs LA'!D10+'at Det'!D10+'vs NY'!D10+'vs StL'!D10+'vs GB'!D10+'at SF'!D10+'vs Min'!D10+'at Atl'!D10+'Gm 15'!D10+'Gm 16'!D10</f>
        <v>175</v>
      </c>
      <c r="E10" s="19">
        <f>+C10/D10</f>
        <v>0.4</v>
      </c>
      <c r="F10" s="30" t="s">
        <v>130</v>
      </c>
      <c r="H10" s="18" t="s">
        <v>108</v>
      </c>
      <c r="L10" s="2">
        <f>+'at Pit'!L10+'at GB'!L10+'at Min'!L10+'vs Bal'!L10+'vs Det'!L10+'at Cle'!L10+'vs LA'!L10+'at Det'!L10+'vs NY'!L10+'vs StL'!L10+'vs GB'!L10+'at SF'!L10+'vs Min'!L10+'at Atl'!L10+'Gm 15'!L10+'Gm 16'!L10</f>
        <v>43</v>
      </c>
      <c r="M10" s="2">
        <f>+'at Pit'!M10+'at GB'!M10+'at Min'!M10+'vs Bal'!M10+'vs Det'!M10+'at Cle'!M10+'vs LA'!M10+'at Det'!M10+'vs NY'!M10+'vs StL'!M10+'vs GB'!M10+'at SF'!M10+'vs Min'!M10+'at Atl'!M10+'Gm 15'!M10+'Gm 16'!M10</f>
        <v>135</v>
      </c>
      <c r="N10" s="19">
        <f>+L10/M10</f>
        <v>0.31851851851851853</v>
      </c>
      <c r="O10" s="30" t="s">
        <v>130</v>
      </c>
      <c r="R10" s="9" t="str">
        <f>+C10&amp;"/"&amp;D10</f>
        <v>70/175</v>
      </c>
      <c r="S10" s="9" t="str">
        <f>+L10&amp;"/"&amp;M10</f>
        <v>43/135</v>
      </c>
    </row>
    <row r="11" spans="1:19" ht="12">
      <c r="A11" s="18" t="s">
        <v>119</v>
      </c>
      <c r="C11" s="2">
        <f>+'at Pit'!C11+'at GB'!C11+'at Min'!C11+'vs Bal'!C11+'vs Det'!C11+'at Cle'!C11+'vs LA'!C11+'at Det'!C11+'vs NY'!C11+'vs StL'!C11+'vs GB'!C11+'at SF'!C11+'vs Min'!C11+'at Atl'!C11+'Gm 15'!C11+'Gm 16'!C11</f>
        <v>4</v>
      </c>
      <c r="D11" s="2">
        <f>+'at Pit'!D11+'at GB'!D11+'at Min'!D11+'vs Bal'!D11+'vs Det'!D11+'at Cle'!D11+'vs LA'!D11+'at Det'!D11+'vs NY'!D11+'vs StL'!D11+'vs GB'!D11+'at SF'!D11+'vs Min'!D11+'at Atl'!D11+'Gm 15'!D11+'Gm 16'!D11</f>
        <v>9</v>
      </c>
      <c r="E11" s="19">
        <f>IF(D11=0,0,+C11/D11)</f>
        <v>0.4444444444444444</v>
      </c>
      <c r="F11" s="30" t="s">
        <v>130</v>
      </c>
      <c r="H11" s="18" t="s">
        <v>119</v>
      </c>
      <c r="L11" s="2">
        <f>+'at Pit'!L11+'at GB'!L11+'at Min'!L11+'vs Bal'!L11+'vs Det'!L11+'at Cle'!L11+'vs LA'!L11+'at Det'!L11+'vs NY'!L11+'vs StL'!L11+'vs GB'!L11+'at SF'!L11+'vs Min'!L11+'at Atl'!L11+'Gm 15'!L11+'Gm 16'!L11</f>
        <v>5</v>
      </c>
      <c r="M11" s="2">
        <f>+'at Pit'!M11+'at GB'!M11+'at Min'!M11+'vs Bal'!M11+'vs Det'!M11+'at Cle'!M11+'vs LA'!M11+'at Det'!M11+'vs NY'!M11+'vs StL'!M11+'vs GB'!M11+'at SF'!M11+'vs Min'!M11+'at Atl'!M11+'Gm 15'!M11+'Gm 16'!M11</f>
        <v>7</v>
      </c>
      <c r="N11" s="19">
        <f>IF(M11=0,0,+L11/M11)</f>
        <v>0.7142857142857143</v>
      </c>
      <c r="O11" s="30" t="s">
        <v>130</v>
      </c>
      <c r="R11" s="9" t="str">
        <f>+C11&amp;"/"&amp;D11</f>
        <v>4/9</v>
      </c>
      <c r="S11" s="9" t="str">
        <f>+L11&amp;"/"&amp;M11</f>
        <v>5/7</v>
      </c>
    </row>
    <row r="12" spans="5:15" ht="12">
      <c r="E12" s="8"/>
      <c r="F12" s="8"/>
      <c r="N12" s="8"/>
      <c r="O12" s="8"/>
    </row>
    <row r="13" spans="1:23" ht="12">
      <c r="A13" t="s">
        <v>1</v>
      </c>
      <c r="D13" s="2">
        <f>+'at Pit'!D13+'at GB'!D13+'at Min'!D13+'vs Bal'!D13+'vs Det'!D13+'at Cle'!D13+'vs LA'!D13+'at Det'!D13+'vs NY'!D13+'vs StL'!D13+'vs GB'!D13+'at SF'!D13+'vs Min'!D13+'at Atl'!D13+'Gm 15'!D13+'Gm 16'!D13</f>
        <v>522</v>
      </c>
      <c r="E13" s="8">
        <f>+D13/$B$2</f>
        <v>37.285714285714285</v>
      </c>
      <c r="F13" s="8">
        <v>34.92857142857143</v>
      </c>
      <c r="G13" t="str">
        <f>IF(D13=SUM(C53:C97),"ok","ERR")</f>
        <v>ok</v>
      </c>
      <c r="H13" t="s">
        <v>1</v>
      </c>
      <c r="M13" s="2">
        <f>+'at Pit'!M13+'at GB'!M13+'at Min'!M13+'vs Bal'!M13+'vs Det'!M13+'at Cle'!M13+'vs LA'!M13+'at Det'!M13+'vs NY'!M13+'vs StL'!M13+'vs GB'!M13+'at SF'!M13+'vs Min'!M13+'at Atl'!M13+'Gm 15'!M13+'Gm 16'!M13</f>
        <v>389</v>
      </c>
      <c r="N13" s="8">
        <f>+M13/$B$2</f>
        <v>27.785714285714285</v>
      </c>
      <c r="O13" s="8">
        <v>29.928571428571427</v>
      </c>
      <c r="V13">
        <f>+D13</f>
        <v>522</v>
      </c>
      <c r="W13">
        <f>+M13</f>
        <v>389</v>
      </c>
    </row>
    <row r="14" spans="1:23" ht="12">
      <c r="A14" t="s">
        <v>2</v>
      </c>
      <c r="D14" s="2">
        <f>+'at Pit'!D14+'at GB'!D14+'at Min'!D14+'vs Bal'!D14+'vs Det'!D14+'at Cle'!D14+'vs LA'!D14+'at Det'!D14+'vs NY'!D14+'vs StL'!D14+'vs GB'!D14+'at SF'!D14+'vs Min'!D14+'at Atl'!D14+'Gm 15'!D14+'Gm 16'!D14</f>
        <v>1892</v>
      </c>
      <c r="E14" s="8">
        <f>+D14/$B$2</f>
        <v>135.14285714285714</v>
      </c>
      <c r="F14" s="8">
        <v>132.28571428571428</v>
      </c>
      <c r="G14" t="str">
        <f>IF(D14=SUM(D83:D97),"ok","ERR")</f>
        <v>ok</v>
      </c>
      <c r="H14" t="s">
        <v>2</v>
      </c>
      <c r="M14" s="2">
        <f>+'at Pit'!M14+'at GB'!M14+'at Min'!M14+'vs Bal'!M14+'vs Det'!M14+'at Cle'!M14+'vs LA'!M14+'at Det'!M14+'vs NY'!M14+'vs StL'!M14+'vs GB'!M14+'at SF'!M14+'vs Min'!M14+'at Atl'!M14+'Gm 15'!M14+'Gm 16'!M14</f>
        <v>1415</v>
      </c>
      <c r="N14" s="8">
        <f>+M14/$B$2</f>
        <v>101.07142857142857</v>
      </c>
      <c r="O14" s="8">
        <v>109.35714285714286</v>
      </c>
      <c r="U14" s="13"/>
      <c r="V14">
        <f>+D18</f>
        <v>146</v>
      </c>
      <c r="W14">
        <f>+M18</f>
        <v>149</v>
      </c>
    </row>
    <row r="15" spans="1:23" ht="12">
      <c r="A15" s="1" t="s">
        <v>3</v>
      </c>
      <c r="D15" s="8">
        <f>+D14/D13</f>
        <v>3.624521072796935</v>
      </c>
      <c r="E15" s="8"/>
      <c r="F15" s="8">
        <f>+F14/F13</f>
        <v>3.7873210633946828</v>
      </c>
      <c r="H15" s="1" t="s">
        <v>3</v>
      </c>
      <c r="M15" s="8">
        <f>+M14/M13</f>
        <v>3.6375321336760926</v>
      </c>
      <c r="N15" s="8"/>
      <c r="O15" s="8">
        <f>+O14/O13</f>
        <v>3.653937947494034</v>
      </c>
      <c r="V15">
        <f>+(D17-D18)/2</f>
        <v>74.5</v>
      </c>
      <c r="W15">
        <f>+(M17-M18)/2</f>
        <v>90</v>
      </c>
    </row>
    <row r="16" spans="5:23" ht="12">
      <c r="E16" s="8"/>
      <c r="F16" s="8"/>
      <c r="N16" s="8"/>
      <c r="O16" s="8"/>
      <c r="V16">
        <f>+D40/2</f>
        <v>29</v>
      </c>
      <c r="W16">
        <f>+M40/2</f>
        <v>32</v>
      </c>
    </row>
    <row r="17" spans="1:23" ht="12">
      <c r="A17" t="s">
        <v>4</v>
      </c>
      <c r="D17" s="2">
        <f>+'at Pit'!D17+'at GB'!D17+'at Min'!D17+'vs Bal'!D17+'vs Det'!D17+'at Cle'!D17+'vs LA'!D17+'at Det'!D17+'vs NY'!D17+'vs StL'!D17+'vs GB'!D17+'at SF'!D17+'vs Min'!D17+'at Atl'!D17+'Gm 15'!D17+'Gm 16'!D17</f>
        <v>295</v>
      </c>
      <c r="E17" s="8">
        <f>+D17/$B$2</f>
        <v>21.071428571428573</v>
      </c>
      <c r="F17" s="8">
        <v>19.142857142857142</v>
      </c>
      <c r="G17" t="str">
        <f>IF(D17=SUM(C121:C126),"ok","err")</f>
        <v>ok</v>
      </c>
      <c r="H17" t="s">
        <v>4</v>
      </c>
      <c r="M17" s="2">
        <f>+'at Pit'!M17+'at GB'!M17+'at Min'!M17+'vs Bal'!M17+'vs Det'!M17+'at Cle'!M17+'vs LA'!M17+'at Det'!M17+'vs NY'!M17+'vs StL'!M17+'vs GB'!M17+'at SF'!M17+'vs Min'!M17+'at Atl'!M17+'Gm 15'!M17+'Gm 16'!M17</f>
        <v>329</v>
      </c>
      <c r="N17" s="8">
        <f>+M17/$B$2</f>
        <v>23.5</v>
      </c>
      <c r="O17" s="8">
        <v>27.428571428571427</v>
      </c>
      <c r="V17">
        <f>+D44/2</f>
        <v>14.5</v>
      </c>
      <c r="W17">
        <f>+M44/2</f>
        <v>11</v>
      </c>
    </row>
    <row r="18" spans="1:27" ht="12">
      <c r="A18" t="s">
        <v>5</v>
      </c>
      <c r="C18" t="str">
        <f>IF(D18=SUM(C101:C114),"ok","ERR")</f>
        <v>ok</v>
      </c>
      <c r="D18" s="2">
        <f>+'at Pit'!D18+'at GB'!D18+'at Min'!D18+'vs Bal'!D18+'vs Det'!D18+'at Cle'!D18+'vs LA'!D18+'at Det'!D18+'vs NY'!D18+'vs StL'!D18+'vs GB'!D18+'at SF'!D18+'vs Min'!D18+'at Atl'!D18+'Gm 15'!D18+'Gm 16'!D18</f>
        <v>146</v>
      </c>
      <c r="E18" s="8">
        <f>+D18/$B$2</f>
        <v>10.428571428571429</v>
      </c>
      <c r="F18" s="8">
        <v>9.357142857142858</v>
      </c>
      <c r="G18" t="str">
        <f>IF(D18=SUM(D121:D126),"ok","ERR")</f>
        <v>ok</v>
      </c>
      <c r="H18" t="s">
        <v>5</v>
      </c>
      <c r="M18" s="2">
        <f>+'at Pit'!M18+'at GB'!M18+'at Min'!M18+'vs Bal'!M18+'vs Det'!M18+'at Cle'!M18+'vs LA'!M18+'at Det'!M18+'vs NY'!M18+'vs StL'!M18+'vs GB'!M18+'at SF'!M18+'vs Min'!M18+'at Atl'!M18+'Gm 15'!M18+'Gm 16'!M18</f>
        <v>149</v>
      </c>
      <c r="N18" s="8">
        <f>+M18/$B$2</f>
        <v>10.642857142857142</v>
      </c>
      <c r="O18" s="8">
        <v>11.714285714285714</v>
      </c>
      <c r="V18">
        <f>+D50/2</f>
        <v>23</v>
      </c>
      <c r="W18">
        <f>+M50/2</f>
        <v>27.5</v>
      </c>
      <c r="AA18" t="s">
        <v>111</v>
      </c>
    </row>
    <row r="19" spans="1:27" ht="12">
      <c r="A19" t="s">
        <v>6</v>
      </c>
      <c r="D19" s="8">
        <f>+D18/D17*100</f>
        <v>49.49152542372882</v>
      </c>
      <c r="E19" s="8">
        <f>+E18/E17*100</f>
        <v>49.49152542372881</v>
      </c>
      <c r="F19" s="8">
        <f>+F18/F17*100</f>
        <v>48.88059701492538</v>
      </c>
      <c r="H19" t="s">
        <v>6</v>
      </c>
      <c r="M19" s="8">
        <f>+M18/M17*100</f>
        <v>45.2887537993921</v>
      </c>
      <c r="N19" s="8">
        <f>+N18/N17*100</f>
        <v>45.2887537993921</v>
      </c>
      <c r="O19" s="8">
        <f>+O18/O17*100</f>
        <v>42.70833333333333</v>
      </c>
      <c r="AA19" t="s">
        <v>112</v>
      </c>
    </row>
    <row r="20" spans="1:28" ht="12">
      <c r="A20" t="s">
        <v>7</v>
      </c>
      <c r="C20" t="str">
        <f>IF(D20=SUM(D101:D114),"ok","ERR")</f>
        <v>ok</v>
      </c>
      <c r="D20" s="2">
        <f>+'at Pit'!D20+'at GB'!D20+'at Min'!D20+'vs Bal'!D20+'vs Det'!D20+'at Cle'!D20+'vs LA'!D20+'at Det'!D20+'vs NY'!D20+'vs StL'!D20+'vs GB'!D20+'at SF'!D20+'vs Min'!D20+'at Atl'!D20+'Gm 15'!D20+'Gm 16'!D20</f>
        <v>1878</v>
      </c>
      <c r="E20" s="8">
        <f>+D20/$B$2</f>
        <v>134.14285714285714</v>
      </c>
      <c r="F20" s="8">
        <v>119.5</v>
      </c>
      <c r="G20" t="str">
        <f>IF(D20=SUM(F121:F126),"ok","ERR")</f>
        <v>ok</v>
      </c>
      <c r="H20" t="s">
        <v>7</v>
      </c>
      <c r="M20" s="2">
        <f>+'at Pit'!M20+'at GB'!M20+'at Min'!M20+'vs Bal'!M20+'vs Det'!M20+'at Cle'!M20+'vs LA'!M20+'at Det'!M20+'vs NY'!M20+'vs StL'!M20+'vs GB'!M20+'at SF'!M20+'vs Min'!M20+'at Atl'!M20+'Gm 15'!M20+'Gm 16'!M20</f>
        <v>2003</v>
      </c>
      <c r="N20" s="8">
        <f>+M20/$B$2</f>
        <v>143.07142857142858</v>
      </c>
      <c r="O20" s="8">
        <v>153.28571428571428</v>
      </c>
      <c r="V20">
        <f>SUM(V13:V18)</f>
        <v>809</v>
      </c>
      <c r="W20">
        <f>SUM(W13:W18)</f>
        <v>698.5</v>
      </c>
      <c r="X20">
        <f>+W20+V20</f>
        <v>1507.5</v>
      </c>
      <c r="Z20">
        <f>60*B2</f>
        <v>840</v>
      </c>
      <c r="AA20">
        <v>0</v>
      </c>
      <c r="AB20">
        <f>+(Z20+AA20)/B2</f>
        <v>60</v>
      </c>
    </row>
    <row r="21" spans="1:23" ht="12">
      <c r="A21" t="s">
        <v>8</v>
      </c>
      <c r="D21" s="2">
        <f>+'at Pit'!D21+'at GB'!D21+'at Min'!D21+'vs Bal'!D21+'vs Det'!D21+'at Cle'!D21+'vs LA'!D21+'at Det'!D21+'vs NY'!D21+'vs StL'!D21+'vs GB'!D21+'at SF'!D21+'vs Min'!D21+'at Atl'!D21+'Gm 15'!D21+'Gm 16'!D21</f>
        <v>30</v>
      </c>
      <c r="E21" s="8">
        <f>+D21/$B$2</f>
        <v>2.142857142857143</v>
      </c>
      <c r="F21" s="8">
        <v>1.9285714285714286</v>
      </c>
      <c r="G21" t="str">
        <f>IF(D21=SUM(O121:O126),"ok","ERR")</f>
        <v>ok</v>
      </c>
      <c r="H21" t="s">
        <v>8</v>
      </c>
      <c r="M21" s="2">
        <f>+'at Pit'!M21+'at GB'!M21+'at Min'!M21+'vs Bal'!M21+'vs Det'!M21+'at Cle'!M21+'vs LA'!M21+'at Det'!M21+'vs NY'!M21+'vs StL'!M21+'vs GB'!M21+'at SF'!M21+'vs Min'!M21+'at Atl'!M21+'Gm 15'!M21+'Gm 16'!M21</f>
        <v>39</v>
      </c>
      <c r="N21" s="8">
        <f>+M21/$B$2</f>
        <v>2.7857142857142856</v>
      </c>
      <c r="O21" s="8">
        <v>2.142857142857143</v>
      </c>
      <c r="P21" t="str">
        <f>IF(M21=SUM(C186:C201),"ok","ERR")</f>
        <v>ok</v>
      </c>
      <c r="Q21">
        <f>+N21/(N21+N17)</f>
        <v>0.10597826086956522</v>
      </c>
      <c r="R21">
        <f>+O21/(O21+O17)</f>
        <v>0.07246376811594203</v>
      </c>
      <c r="V21">
        <f>+V20/X20</f>
        <v>0.5366500829187396</v>
      </c>
      <c r="W21">
        <f>+W20/X20</f>
        <v>0.4633499170812604</v>
      </c>
    </row>
    <row r="22" spans="1:27" ht="12">
      <c r="A22" t="s">
        <v>9</v>
      </c>
      <c r="C22" s="8">
        <f>+E21+E17</f>
        <v>23.214285714285715</v>
      </c>
      <c r="D22" s="2">
        <f>+'at Pit'!D22+'at GB'!D22+'at Min'!D22+'vs Bal'!D22+'vs Det'!D22+'at Cle'!D22+'vs LA'!D22+'at Det'!D22+'vs NY'!D22+'vs StL'!D22+'vs GB'!D22+'at SF'!D22+'vs Min'!D22+'at Atl'!D22+'Gm 15'!D22+'Gm 16'!D22</f>
        <v>230</v>
      </c>
      <c r="E22" s="8">
        <f>+D22/$B$2</f>
        <v>16.428571428571427</v>
      </c>
      <c r="F22" s="8">
        <v>16.571428571428573</v>
      </c>
      <c r="G22" s="8">
        <f>+F21+F17</f>
        <v>21.07142857142857</v>
      </c>
      <c r="H22" t="s">
        <v>9</v>
      </c>
      <c r="M22" s="2">
        <f>+'at Pit'!M22+'at GB'!M22+'at Min'!M22+'vs Bal'!M22+'vs Det'!M22+'at Cle'!M22+'vs LA'!M22+'at Det'!M22+'vs NY'!M22+'vs StL'!M22+'vs GB'!M22+'at SF'!M22+'vs Min'!M22+'at Atl'!M22+'Gm 15'!M22+'Gm 16'!M22</f>
        <v>311</v>
      </c>
      <c r="N22" s="8">
        <f>+M22/$B$2</f>
        <v>22.214285714285715</v>
      </c>
      <c r="O22" s="8">
        <v>19.357142857142858</v>
      </c>
      <c r="P22" t="str">
        <f>IF(M22=SUM(D186:D201),"ok","ERR")</f>
        <v>ok</v>
      </c>
      <c r="V22">
        <f>+V21*Z22</f>
        <v>32.199004975124375</v>
      </c>
      <c r="W22">
        <f>+W21*AA22</f>
        <v>27.800995024875622</v>
      </c>
      <c r="Z22">
        <f>+AB20</f>
        <v>60</v>
      </c>
      <c r="AA22">
        <f>+AB20</f>
        <v>60</v>
      </c>
    </row>
    <row r="23" spans="1:23" ht="12">
      <c r="A23" t="s">
        <v>10</v>
      </c>
      <c r="D23">
        <f>+D20-D22</f>
        <v>1648</v>
      </c>
      <c r="E23" s="8">
        <f>+D23/B2</f>
        <v>117.71428571428571</v>
      </c>
      <c r="F23" s="8">
        <f>+F20-F22</f>
        <v>102.92857142857143</v>
      </c>
      <c r="H23" t="s">
        <v>10</v>
      </c>
      <c r="M23">
        <f>+M20-M22</f>
        <v>1692</v>
      </c>
      <c r="N23" s="8">
        <f>+M23/B2</f>
        <v>120.85714285714286</v>
      </c>
      <c r="O23" s="8">
        <f>+O20-O22</f>
        <v>133.92857142857142</v>
      </c>
      <c r="V23">
        <f>+V22-INT(V22)</f>
        <v>0.19900497512437454</v>
      </c>
      <c r="W23">
        <f>+W22-INT(W22)</f>
        <v>0.8009950248756219</v>
      </c>
    </row>
    <row r="24" spans="1:23" ht="12">
      <c r="A24" t="s">
        <v>11</v>
      </c>
      <c r="D24" s="7">
        <f>+D23/(D17+D21)</f>
        <v>5.070769230769231</v>
      </c>
      <c r="E24" s="8"/>
      <c r="F24" s="7">
        <f>+F23/(F17+F21)</f>
        <v>4.884745762711865</v>
      </c>
      <c r="H24" t="s">
        <v>11</v>
      </c>
      <c r="M24" s="7">
        <f>+M23/(M17+M21)</f>
        <v>4.5978260869565215</v>
      </c>
      <c r="N24" s="8"/>
      <c r="O24" s="7">
        <f>+O23/(O17+O21)</f>
        <v>4.528985507246377</v>
      </c>
      <c r="V24">
        <f>+V23*60</f>
        <v>11.940298507462472</v>
      </c>
      <c r="W24">
        <f>+W23*60</f>
        <v>48.059701492537314</v>
      </c>
    </row>
    <row r="25" spans="1:23" ht="12">
      <c r="A25" t="s">
        <v>12</v>
      </c>
      <c r="D25" s="7">
        <f>+D20/D18</f>
        <v>12.863013698630137</v>
      </c>
      <c r="E25" s="8"/>
      <c r="F25" s="7">
        <f>+F20/F18</f>
        <v>12.770992366412212</v>
      </c>
      <c r="H25" t="s">
        <v>12</v>
      </c>
      <c r="M25" s="7">
        <f>+M20/M18</f>
        <v>13.442953020134228</v>
      </c>
      <c r="N25" s="8"/>
      <c r="O25" s="7">
        <f>+O20/O18</f>
        <v>13.085365853658537</v>
      </c>
      <c r="U25">
        <v>0</v>
      </c>
      <c r="V25" s="11">
        <f>IF(ROUND(V24,0)=60,0,ROUND(V24,0))</f>
        <v>12</v>
      </c>
      <c r="W25" s="11">
        <f>IF(ROUND(W24,0)=60,0,ROUND(W24,0))</f>
        <v>48</v>
      </c>
    </row>
    <row r="26" spans="5:23" ht="12">
      <c r="E26" s="8"/>
      <c r="F26" s="8"/>
      <c r="N26" s="8"/>
      <c r="O26" s="8"/>
      <c r="V26">
        <f>IF(INT(V24+0.5)=60,INT(V22+1),INT(V22))</f>
        <v>32</v>
      </c>
      <c r="W26">
        <f>IF(INT(W24+0.5)=60,INT(W22+1),INT(W22))</f>
        <v>27</v>
      </c>
    </row>
    <row r="27" spans="1:23" ht="12">
      <c r="A27" t="s">
        <v>13</v>
      </c>
      <c r="E27" s="8"/>
      <c r="F27" s="8"/>
      <c r="H27" t="s">
        <v>13</v>
      </c>
      <c r="N27" s="8"/>
      <c r="O27" s="8"/>
      <c r="V27" t="s">
        <v>91</v>
      </c>
      <c r="W27" t="s">
        <v>91</v>
      </c>
    </row>
    <row r="28" spans="1:23" ht="12">
      <c r="A28" t="s">
        <v>14</v>
      </c>
      <c r="D28">
        <f>+D23+D14</f>
        <v>3540</v>
      </c>
      <c r="E28" s="8">
        <f>+D28/B2</f>
        <v>252.85714285714286</v>
      </c>
      <c r="F28">
        <f>+F23+F14</f>
        <v>235.21428571428572</v>
      </c>
      <c r="H28" t="s">
        <v>14</v>
      </c>
      <c r="M28">
        <f>+M23+M14</f>
        <v>3107</v>
      </c>
      <c r="N28" s="8">
        <f>+M28/B2</f>
        <v>221.92857142857142</v>
      </c>
      <c r="O28">
        <f>+O23+O14</f>
        <v>243.28571428571428</v>
      </c>
      <c r="V28" s="14" t="str">
        <f>+V26&amp;V27&amp;V25</f>
        <v>32:12</v>
      </c>
      <c r="W28" s="9" t="str">
        <f>+W26&amp;W27&amp;W25</f>
        <v>27:48</v>
      </c>
    </row>
    <row r="29" spans="1:23" ht="12">
      <c r="A29" t="s">
        <v>15</v>
      </c>
      <c r="D29" s="7">
        <f>+D14/D28*100</f>
        <v>53.44632768361583</v>
      </c>
      <c r="E29" s="8"/>
      <c r="F29" s="7">
        <f>+F14/F28*100</f>
        <v>56.240510173094435</v>
      </c>
      <c r="H29" t="s">
        <v>15</v>
      </c>
      <c r="M29" s="7">
        <f>+M14/M28*100</f>
        <v>45.54232378500161</v>
      </c>
      <c r="N29" s="8"/>
      <c r="O29" s="7">
        <f>+O14/O28*100</f>
        <v>44.95008807985907</v>
      </c>
      <c r="V29" s="9" t="str">
        <f>IF(V25&lt;10,+V26&amp;V27&amp;$U$25&amp;V25,+V26&amp;V27&amp;V25)</f>
        <v>32:12</v>
      </c>
      <c r="W29" s="9" t="str">
        <f>IF(W25&lt;10,+W26&amp;W27&amp;$U$25&amp;W25,+W26&amp;W27&amp;W25)</f>
        <v>27:48</v>
      </c>
    </row>
    <row r="30" spans="1:15" ht="12">
      <c r="A30" s="1" t="s">
        <v>90</v>
      </c>
      <c r="D30" s="7">
        <f>+D23/D28*100</f>
        <v>46.55367231638418</v>
      </c>
      <c r="E30" s="8"/>
      <c r="F30" s="7">
        <f>+F23/F28*100</f>
        <v>43.75948982690556</v>
      </c>
      <c r="H30" s="1" t="s">
        <v>90</v>
      </c>
      <c r="M30" s="7">
        <f>+M23/M28*100</f>
        <v>54.45767621499839</v>
      </c>
      <c r="N30" s="8"/>
      <c r="O30" s="7">
        <f>+O23/O28*100</f>
        <v>55.04991192014093</v>
      </c>
    </row>
    <row r="31" spans="5:15" ht="12">
      <c r="E31" s="8"/>
      <c r="F31" s="8"/>
      <c r="N31" s="8"/>
      <c r="O31" s="8"/>
    </row>
    <row r="32" spans="1:18" ht="12">
      <c r="A32" t="s">
        <v>16</v>
      </c>
      <c r="D32">
        <f>+D13+D17+D21</f>
        <v>847</v>
      </c>
      <c r="E32" s="8">
        <f>+D32/$B$2</f>
        <v>60.5</v>
      </c>
      <c r="F32">
        <f>+F13+F17+F21</f>
        <v>56</v>
      </c>
      <c r="H32" t="s">
        <v>16</v>
      </c>
      <c r="M32">
        <f>+M13+M17+M21</f>
        <v>757</v>
      </c>
      <c r="N32" s="8">
        <f>+M32/$B$2</f>
        <v>54.07142857142857</v>
      </c>
      <c r="O32">
        <f>+O13+O17+O21</f>
        <v>59.5</v>
      </c>
      <c r="R32">
        <f>+O32+F32</f>
        <v>115.5</v>
      </c>
    </row>
    <row r="33" spans="1:15" ht="12">
      <c r="A33" t="s">
        <v>17</v>
      </c>
      <c r="D33" s="8">
        <f>+D28/D32</f>
        <v>4.179456906729634</v>
      </c>
      <c r="E33" s="8"/>
      <c r="F33" s="8">
        <f>+F28/F32</f>
        <v>4.200255102040816</v>
      </c>
      <c r="G33" s="7"/>
      <c r="H33" s="7" t="s">
        <v>17</v>
      </c>
      <c r="I33" s="7"/>
      <c r="J33" s="7"/>
      <c r="K33" s="7"/>
      <c r="L33" s="7"/>
      <c r="M33" s="8">
        <f>+M28/M32</f>
        <v>4.104359313077939</v>
      </c>
      <c r="N33" s="8"/>
      <c r="O33" s="8">
        <f>+O28/O32</f>
        <v>4.088835534213685</v>
      </c>
    </row>
    <row r="34" spans="5:15" ht="12">
      <c r="E34" s="8"/>
      <c r="F34" s="8"/>
      <c r="N34" s="8"/>
      <c r="O34" s="8"/>
    </row>
    <row r="35" spans="1:15" ht="12">
      <c r="A35" t="s">
        <v>18</v>
      </c>
      <c r="E35" s="8"/>
      <c r="F35" s="8"/>
      <c r="H35" t="s">
        <v>18</v>
      </c>
      <c r="N35" s="8"/>
      <c r="O35" s="8"/>
    </row>
    <row r="36" spans="1:16" ht="12">
      <c r="A36" t="s">
        <v>19</v>
      </c>
      <c r="D36" s="2">
        <f>+'at Pit'!D36+'at GB'!D36+'at Min'!D36+'vs Bal'!D36+'vs Det'!D36+'at Cle'!D36+'vs LA'!D36+'at Det'!D36+'vs NY'!D36+'vs StL'!D36+'vs GB'!D36+'at SF'!D36+'vs Min'!D36+'at Atl'!D36+'Gm 15'!D36+'Gm 16'!D36</f>
        <v>19</v>
      </c>
      <c r="E36" s="8">
        <f>+D36/$B$2</f>
        <v>1.3571428571428572</v>
      </c>
      <c r="F36" s="8">
        <v>1.2857142857142858</v>
      </c>
      <c r="G36" t="str">
        <f>IF(D36=SUM(I121:I126),"ok","ERR")</f>
        <v>ok</v>
      </c>
      <c r="H36" t="s">
        <v>19</v>
      </c>
      <c r="M36" s="2">
        <f>+'at Pit'!M36+'at GB'!M36+'at Min'!M36+'vs Bal'!M36+'vs Det'!M36+'at Cle'!M36+'vs LA'!M36+'at Det'!M36+'vs NY'!M36+'vs StL'!M36+'vs GB'!M36+'at SF'!M36+'vs Min'!M36+'at Atl'!M36+'Gm 15'!M36+'Gm 16'!M36</f>
        <v>29</v>
      </c>
      <c r="N36" s="8">
        <f>+M36/$B$2</f>
        <v>2.0714285714285716</v>
      </c>
      <c r="O36" s="8">
        <v>2</v>
      </c>
      <c r="P36" t="str">
        <f>IF(M36=SUM(C171:C183),"ok","ERR")</f>
        <v>ok</v>
      </c>
    </row>
    <row r="37" spans="1:16" ht="12">
      <c r="A37" t="s">
        <v>20</v>
      </c>
      <c r="D37" s="2">
        <f>+'at Pit'!D37+'at GB'!D37+'at Min'!D37+'vs Bal'!D37+'vs Det'!D37+'at Cle'!D37+'vs LA'!D37+'at Det'!D37+'vs NY'!D37+'vs StL'!D37+'vs GB'!D37+'at SF'!D37+'vs Min'!D37+'at Atl'!D37+'Gm 15'!D37+'Gm 16'!D37</f>
        <v>298</v>
      </c>
      <c r="E37" s="8"/>
      <c r="F37" s="8"/>
      <c r="H37" t="s">
        <v>20</v>
      </c>
      <c r="M37" s="2">
        <f>+'at Pit'!M37+'at GB'!M37+'at Min'!M37+'vs Bal'!M37+'vs Det'!M37+'at Cle'!M37+'vs LA'!M37+'at Det'!M37+'vs NY'!M37+'vs StL'!M37+'vs GB'!M37+'at SF'!M37+'vs Min'!M37+'at Atl'!M37+'Gm 15'!M37+'Gm 16'!M37</f>
        <v>310</v>
      </c>
      <c r="N37" s="8"/>
      <c r="O37" s="8"/>
      <c r="P37" t="str">
        <f>IF(M37=SUM(D171:D183),"ok","ERR")</f>
        <v>ok</v>
      </c>
    </row>
    <row r="38" spans="1:15" ht="12">
      <c r="A38" t="s">
        <v>21</v>
      </c>
      <c r="D38" s="2">
        <f>+'at Pit'!D38+'at GB'!D38+'at Min'!D38+'vs Bal'!D38+'vs Det'!D38+'at Cle'!D38+'vs LA'!D38+'at Det'!D38+'vs NY'!D38+'vs StL'!D38+'vs GB'!D38+'at SF'!D38+'vs Min'!D38+'at Atl'!D38+'Gm 15'!D38+'Gm 16'!D38</f>
        <v>2</v>
      </c>
      <c r="E38" s="8"/>
      <c r="F38" s="8"/>
      <c r="H38" t="s">
        <v>21</v>
      </c>
      <c r="M38" s="2">
        <f>+'at Pit'!M38+'at GB'!M38+'at Min'!M38+'vs Bal'!M38+'vs Det'!M38+'at Cle'!M38+'vs LA'!M38+'at Det'!M38+'vs NY'!M38+'vs StL'!M38+'vs GB'!M38+'at SF'!M38+'vs Min'!M38+'at Atl'!M38+'Gm 15'!M38+'Gm 16'!M38</f>
        <v>1</v>
      </c>
      <c r="N38" s="8"/>
      <c r="O38" s="8"/>
    </row>
    <row r="39" spans="5:15" ht="12">
      <c r="E39" s="8"/>
      <c r="F39" s="8"/>
      <c r="N39" s="8"/>
      <c r="O39" s="8"/>
    </row>
    <row r="40" spans="1:15" ht="12">
      <c r="A40" t="s">
        <v>22</v>
      </c>
      <c r="D40" s="2">
        <f>+'at Pit'!D40+'at GB'!D40+'at Min'!D40+'vs Bal'!D40+'vs Det'!D40+'at Cle'!D40+'vs LA'!D40+'at Det'!D40+'vs NY'!D40+'vs StL'!D40+'vs GB'!D40+'at SF'!D40+'vs Min'!D40+'at Atl'!D40+'Gm 15'!D40+'Gm 16'!D40</f>
        <v>58</v>
      </c>
      <c r="E40" s="8">
        <f>+D40/$B$2</f>
        <v>4.142857142857143</v>
      </c>
      <c r="F40" s="8">
        <v>5.642857142857143</v>
      </c>
      <c r="G40" t="str">
        <f>IF(D40=SUM(C154:C158),"ok","ERR")</f>
        <v>ok</v>
      </c>
      <c r="H40" t="s">
        <v>22</v>
      </c>
      <c r="M40" s="2">
        <f>+'at Pit'!M40+'at GB'!M40+'at Min'!M40+'vs Bal'!M40+'vs Det'!M40+'at Cle'!M40+'vs LA'!M40+'at Det'!M40+'vs NY'!M40+'vs StL'!M40+'vs GB'!M40+'at SF'!M40+'vs Min'!M40+'at Atl'!M40+'Gm 15'!M40+'Gm 16'!M40</f>
        <v>64</v>
      </c>
      <c r="N40" s="8">
        <f>+M40/$B$2</f>
        <v>4.571428571428571</v>
      </c>
      <c r="O40" s="8">
        <v>5.5</v>
      </c>
    </row>
    <row r="41" spans="1:15" ht="12">
      <c r="A41" t="s">
        <v>23</v>
      </c>
      <c r="D41" s="2">
        <f>+'at Pit'!D41+'at GB'!D41+'at Min'!D41+'vs Bal'!D41+'vs Det'!D41+'at Cle'!D41+'vs LA'!D41+'at Det'!D41+'vs NY'!D41+'vs StL'!D41+'vs GB'!D41+'at SF'!D41+'vs Min'!D41+'at Atl'!D41+'Gm 15'!D41+'Gm 16'!D41</f>
        <v>2451</v>
      </c>
      <c r="E41" s="8">
        <f>+D41/$B$2</f>
        <v>175.07142857142858</v>
      </c>
      <c r="F41" s="8">
        <v>242.28571428571428</v>
      </c>
      <c r="G41" t="str">
        <f>IF(D41=SUM(D154:D158),"ok","ERR")</f>
        <v>ok</v>
      </c>
      <c r="H41" t="s">
        <v>23</v>
      </c>
      <c r="M41" s="2">
        <f>+'at Pit'!M41+'at GB'!M41+'at Min'!M41+'vs Bal'!M41+'vs Det'!M41+'at Cle'!M41+'vs LA'!M41+'at Det'!M41+'vs NY'!M41+'vs StL'!M41+'vs GB'!M41+'at SF'!M41+'vs Min'!M41+'at Atl'!M41+'Gm 15'!M41+'Gm 16'!M41</f>
        <v>2616</v>
      </c>
      <c r="N41" s="8">
        <f>+M41/$B$2</f>
        <v>186.85714285714286</v>
      </c>
      <c r="O41" s="8">
        <v>227.14285714285714</v>
      </c>
    </row>
    <row r="42" spans="1:15" ht="12">
      <c r="A42" t="s">
        <v>24</v>
      </c>
      <c r="D42" s="8">
        <f>+D41/D40</f>
        <v>42.258620689655174</v>
      </c>
      <c r="E42" s="8"/>
      <c r="F42" s="8">
        <f>+F41/F40</f>
        <v>42.93670886075949</v>
      </c>
      <c r="G42" s="7"/>
      <c r="H42" s="7" t="s">
        <v>24</v>
      </c>
      <c r="I42" s="7"/>
      <c r="J42" s="7"/>
      <c r="K42" s="7"/>
      <c r="L42" s="7"/>
      <c r="M42" s="8">
        <f>+M41/M40</f>
        <v>40.875</v>
      </c>
      <c r="N42" s="8"/>
      <c r="O42" s="8">
        <f>+O41/O40</f>
        <v>41.298701298701296</v>
      </c>
    </row>
    <row r="43" spans="5:15" ht="12">
      <c r="E43" s="8"/>
      <c r="F43" s="8"/>
      <c r="N43" s="8"/>
      <c r="O43" s="8"/>
    </row>
    <row r="44" spans="1:15" ht="12">
      <c r="A44" t="s">
        <v>25</v>
      </c>
      <c r="D44" s="2">
        <f>+'at Pit'!D44+'at GB'!D44+'at Min'!D44+'vs Bal'!D44+'vs Det'!D44+'at Cle'!D44+'vs LA'!D44+'at Det'!D44+'vs NY'!D44+'vs StL'!D44+'vs GB'!D44+'at SF'!D44+'vs Min'!D44+'at Atl'!D44+'Gm 15'!D44+'Gm 16'!D44</f>
        <v>29</v>
      </c>
      <c r="E44" s="8">
        <f>+D44/$B$2</f>
        <v>2.0714285714285716</v>
      </c>
      <c r="F44" s="8">
        <v>1.5714285714285714</v>
      </c>
      <c r="G44" t="str">
        <f>IF(D44=SUM(C129:C135),"ok","ERR")</f>
        <v>ok</v>
      </c>
      <c r="H44" t="s">
        <v>25</v>
      </c>
      <c r="M44" s="2">
        <f>+'at Pit'!M44+'at GB'!M44+'at Min'!M44+'vs Bal'!M44+'vs Det'!M44+'at Cle'!M44+'vs LA'!M44+'at Det'!M44+'vs NY'!M44+'vs StL'!M44+'vs GB'!M44+'at SF'!M44+'vs Min'!M44+'at Atl'!M44+'Gm 15'!M44+'Gm 16'!M44</f>
        <v>22</v>
      </c>
      <c r="N44" s="8">
        <f>+M44/$B$2</f>
        <v>1.5714285714285714</v>
      </c>
      <c r="O44" s="8">
        <v>2.9285714285714284</v>
      </c>
    </row>
    <row r="45" spans="1:15" ht="12">
      <c r="A45" t="s">
        <v>26</v>
      </c>
      <c r="D45" s="2">
        <f>+'at Pit'!D45+'at GB'!D45+'at Min'!D45+'vs Bal'!D45+'vs Det'!D45+'at Cle'!D45+'vs LA'!D45+'at Det'!D45+'vs NY'!D45+'vs StL'!D45+'vs GB'!D45+'at SF'!D45+'vs Min'!D45+'at Atl'!D45+'Gm 15'!D45+'Gm 16'!D45</f>
        <v>269</v>
      </c>
      <c r="E45" s="8">
        <f>+D45/$B$2</f>
        <v>19.214285714285715</v>
      </c>
      <c r="F45" s="8">
        <v>13.857142857142858</v>
      </c>
      <c r="G45" t="str">
        <f>IF(D45=SUM(E129:E135),"ok","ERR")</f>
        <v>ok</v>
      </c>
      <c r="H45" t="s">
        <v>26</v>
      </c>
      <c r="M45" s="2">
        <f>+'at Pit'!M45+'at GB'!M45+'at Min'!M45+'vs Bal'!M45+'vs Det'!M45+'at Cle'!M45+'vs LA'!M45+'at Det'!M45+'vs NY'!M45+'vs StL'!M45+'vs GB'!M45+'at SF'!M45+'vs Min'!M45+'at Atl'!M45+'Gm 15'!M45+'Gm 16'!M45</f>
        <v>93</v>
      </c>
      <c r="N45" s="8">
        <f>+M45/$B$2</f>
        <v>6.642857142857143</v>
      </c>
      <c r="O45" s="8">
        <v>12</v>
      </c>
    </row>
    <row r="46" spans="1:15" ht="12">
      <c r="A46" t="s">
        <v>27</v>
      </c>
      <c r="D46" s="8">
        <f>+D45/D44</f>
        <v>9.275862068965518</v>
      </c>
      <c r="E46" s="8"/>
      <c r="F46" s="8">
        <f>+F45/F44</f>
        <v>8.818181818181818</v>
      </c>
      <c r="H46" t="s">
        <v>27</v>
      </c>
      <c r="M46" s="8">
        <f>+M45/M44</f>
        <v>4.2272727272727275</v>
      </c>
      <c r="N46" s="8"/>
      <c r="O46" s="8">
        <f>+O45/O44</f>
        <v>4.097560975609756</v>
      </c>
    </row>
    <row r="47" spans="1:15" ht="12">
      <c r="A47" s="18" t="s">
        <v>131</v>
      </c>
      <c r="D47" s="2">
        <f>+'at Pit'!D47+'at GB'!D47+'at Min'!D47+'vs Bal'!D47+'vs Det'!D47+'at Cle'!D47+'vs LA'!D47+'at Det'!D47+'vs NY'!D47+'vs StL'!D47+'vs GB'!D47+'at SF'!D47+'vs Min'!D47+'at Atl'!D47+'Gm 15'!D47+'Gm 16'!D47</f>
        <v>21</v>
      </c>
      <c r="E47" s="8">
        <f>+D47/$B$2</f>
        <v>1.5</v>
      </c>
      <c r="F47" s="8">
        <v>2</v>
      </c>
      <c r="G47" t="str">
        <f>IF(D47=SUM(D129:D135),"ok","ERR")</f>
        <v>ok</v>
      </c>
      <c r="H47" s="18" t="s">
        <v>131</v>
      </c>
      <c r="M47" s="2">
        <f>+'at Pit'!M47+'at GB'!M47+'at Min'!M47+'vs Bal'!M47+'vs Det'!M47+'at Cle'!M47+'vs LA'!M47+'at Det'!M47+'vs NY'!M47+'vs StL'!M47+'vs GB'!M47+'at SF'!M47+'vs Min'!M47+'at Atl'!M47+'Gm 15'!M47+'Gm 16'!M47</f>
        <v>21</v>
      </c>
      <c r="N47" s="8">
        <f>+M47/$B$2</f>
        <v>1.5</v>
      </c>
      <c r="O47" s="24" t="s">
        <v>130</v>
      </c>
    </row>
    <row r="48" spans="1:15" ht="12">
      <c r="A48" t="s">
        <v>28</v>
      </c>
      <c r="D48" s="2">
        <f>+'at Pit'!D48+'at GB'!D48+'at Min'!D48+'vs Bal'!D48+'vs Det'!D48+'at Cle'!D48+'vs LA'!D48+'at Det'!D48+'vs NY'!D48+'vs StL'!D48+'vs GB'!D48+'at SF'!D48+'vs Min'!D48+'at Atl'!D48+'Gm 15'!D48+'Gm 16'!D48</f>
        <v>0</v>
      </c>
      <c r="E48" s="8"/>
      <c r="F48" s="8"/>
      <c r="H48" t="s">
        <v>28</v>
      </c>
      <c r="M48" s="2">
        <f>+'at Pit'!M48+'at GB'!M48+'at Min'!M48+'vs Bal'!M48+'vs Det'!M48+'at Cle'!M48+'vs LA'!M48+'at Det'!M48+'vs NY'!M48+'vs StL'!M48+'vs GB'!M48+'at SF'!M48+'vs Min'!M48+'at Atl'!M48+'Gm 15'!M48+'Gm 16'!M48</f>
        <v>0</v>
      </c>
      <c r="N48" s="8"/>
      <c r="O48" s="8"/>
    </row>
    <row r="49" spans="5:15" ht="12">
      <c r="E49" s="8"/>
      <c r="F49" s="8"/>
      <c r="N49" s="8"/>
      <c r="O49" s="8"/>
    </row>
    <row r="50" spans="1:15" ht="12">
      <c r="A50" t="s">
        <v>30</v>
      </c>
      <c r="D50" s="2">
        <f>+'at Pit'!D50+'at GB'!D50+'at Min'!D50+'vs Bal'!D50+'vs Det'!D50+'at Cle'!D50+'vs LA'!D50+'at Det'!D50+'vs NY'!D50+'vs StL'!D50+'vs GB'!D50+'at SF'!D50+'vs Min'!D50+'at Atl'!D50+'Gm 15'!D50+'Gm 16'!D50</f>
        <v>46</v>
      </c>
      <c r="E50" s="8">
        <f>+D50/$B$2</f>
        <v>3.2857142857142856</v>
      </c>
      <c r="F50" s="8">
        <v>3.357142857142857</v>
      </c>
      <c r="G50" t="str">
        <f>IF(D50=SUM(C139:C147),"ok","ERR")</f>
        <v>ok</v>
      </c>
      <c r="H50" t="s">
        <v>30</v>
      </c>
      <c r="M50" s="2">
        <f>+'at Pit'!M50+'at GB'!M50+'at Min'!M50+'vs Bal'!M50+'vs Det'!M50+'at Cle'!M50+'vs LA'!M50+'at Det'!M50+'vs NY'!M50+'vs StL'!M50+'vs GB'!M50+'at SF'!M50+'vs Min'!M50+'at Atl'!M50+'Gm 15'!M50+'Gm 16'!M50</f>
        <v>55</v>
      </c>
      <c r="N50" s="8">
        <f>+M50/$B$2</f>
        <v>3.9285714285714284</v>
      </c>
      <c r="O50" s="8">
        <v>3.7142857142857144</v>
      </c>
    </row>
    <row r="51" spans="1:15" ht="12">
      <c r="A51" t="s">
        <v>26</v>
      </c>
      <c r="D51" s="2">
        <f>+'at Pit'!D51+'at GB'!D51+'at Min'!D51+'vs Bal'!D51+'vs Det'!D51+'at Cle'!D51+'vs LA'!D51+'at Det'!D51+'vs NY'!D51+'vs StL'!D51+'vs GB'!D51+'at SF'!D51+'vs Min'!D51+'at Atl'!D51+'Gm 15'!D51+'Gm 16'!D51</f>
        <v>1338</v>
      </c>
      <c r="E51" s="8">
        <f>+D51/$B$2</f>
        <v>95.57142857142857</v>
      </c>
      <c r="F51" s="8">
        <v>82.64285714285714</v>
      </c>
      <c r="G51" t="str">
        <f>IF(D51=SUM(D139:D147),"ok","ERR")</f>
        <v>ok</v>
      </c>
      <c r="H51" t="s">
        <v>26</v>
      </c>
      <c r="M51" s="2">
        <f>+'at Pit'!M51+'at GB'!M51+'at Min'!M51+'vs Bal'!M51+'vs Det'!M51+'at Cle'!M51+'vs LA'!M51+'at Det'!M51+'vs NY'!M51+'vs StL'!M51+'vs GB'!M51+'at SF'!M51+'vs Min'!M51+'at Atl'!M51+'Gm 15'!M51+'Gm 16'!M51</f>
        <v>1185</v>
      </c>
      <c r="N51" s="8">
        <f>+M51/$B$2</f>
        <v>84.64285714285714</v>
      </c>
      <c r="O51" s="8">
        <v>76</v>
      </c>
    </row>
    <row r="52" spans="1:15" ht="12">
      <c r="A52" t="s">
        <v>27</v>
      </c>
      <c r="D52" s="8">
        <f>+D51/D50</f>
        <v>29.08695652173913</v>
      </c>
      <c r="E52" s="8"/>
      <c r="F52" s="8">
        <f>+F51/F50</f>
        <v>24.617021276595743</v>
      </c>
      <c r="H52" t="s">
        <v>27</v>
      </c>
      <c r="M52" s="8">
        <f>+M51/M50</f>
        <v>21.545454545454547</v>
      </c>
      <c r="N52" s="8"/>
      <c r="O52" s="8">
        <f>+O51/O50</f>
        <v>20.46153846153846</v>
      </c>
    </row>
    <row r="53" spans="1:15" ht="12">
      <c r="A53" t="s">
        <v>28</v>
      </c>
      <c r="D53" s="2">
        <f>+'at Pit'!D53+'at GB'!D53+'at Min'!D53+'vs Bal'!D53+'vs Det'!D53+'at Cle'!D53+'vs LA'!D53+'at Det'!D53+'vs NY'!D53+'vs StL'!D53+'vs GB'!D53+'at SF'!D53+'vs Min'!D53+'at Atl'!D53+'Gm 15'!D53+'Gm 16'!D53</f>
        <v>3</v>
      </c>
      <c r="E53" s="8"/>
      <c r="F53" s="8"/>
      <c r="H53" t="s">
        <v>28</v>
      </c>
      <c r="M53" s="2">
        <f>+'at Pit'!M53+'at GB'!M53+'at Min'!M53+'vs Bal'!M53+'vs Det'!M53+'at Cle'!M53+'vs LA'!M53+'at Det'!M53+'vs NY'!M53+'vs StL'!M53+'vs GB'!M53+'at SF'!M53+'vs Min'!M53+'at Atl'!M53+'Gm 15'!M53+'Gm 16'!M53</f>
        <v>0</v>
      </c>
      <c r="N53" s="8"/>
      <c r="O53" s="8"/>
    </row>
    <row r="54" spans="5:15" ht="12">
      <c r="E54" s="8"/>
      <c r="F54" s="8"/>
      <c r="N54" s="8"/>
      <c r="O54" s="8"/>
    </row>
    <row r="55" spans="1:18" ht="12">
      <c r="A55" t="s">
        <v>127</v>
      </c>
      <c r="D55" s="2">
        <f>+'at Pit'!D55+'at GB'!D55+'at Min'!D55+'vs Bal'!D55+'vs Det'!D55+'at Cle'!D55+'vs LA'!D55+'at Det'!D55+'vs NY'!D55+'vs StL'!D55+'vs GB'!D55+'at SF'!D55+'vs Min'!D55+'at Atl'!D55+'Gm 15'!D55+'Gm 16'!D55</f>
        <v>59</v>
      </c>
      <c r="E55" s="8">
        <f>+D55/$B$2</f>
        <v>4.214285714285714</v>
      </c>
      <c r="F55" s="8">
        <v>4</v>
      </c>
      <c r="G55" t="str">
        <f>IF(D55=SUM(C162:C169),"ok","ERR")</f>
        <v>ok</v>
      </c>
      <c r="H55" t="s">
        <v>127</v>
      </c>
      <c r="K55" s="2"/>
      <c r="L55" s="8"/>
      <c r="M55" s="2">
        <f>+'at Pit'!M55+'at GB'!M55+'at Min'!M55+'vs Bal'!M55+'vs Det'!M55+'at Cle'!M55+'vs LA'!M55+'at Det'!M55+'vs NY'!M55+'vs StL'!M55+'vs GB'!M55+'at SF'!M55+'vs Min'!M55+'at Atl'!M55+'Gm 15'!M55+'Gm 16'!M55</f>
        <v>55</v>
      </c>
      <c r="N55" s="8">
        <f>+M55/$B$2</f>
        <v>3.9285714285714284</v>
      </c>
      <c r="O55" s="8">
        <v>3.642857142857143</v>
      </c>
      <c r="P55" s="2"/>
      <c r="Q55" s="8"/>
      <c r="R55" s="8"/>
    </row>
    <row r="56" spans="1:18" ht="12">
      <c r="A56" t="s">
        <v>128</v>
      </c>
      <c r="D56" s="2">
        <f>+'at Pit'!D56+'at GB'!D56+'at Min'!D56+'vs Bal'!D56+'vs Det'!D56+'at Cle'!D56+'vs LA'!D56+'at Det'!D56+'vs NY'!D56+'vs StL'!D56+'vs GB'!D56+'at SF'!D56+'vs Min'!D56+'at Atl'!D56+'Gm 15'!D56+'Gm 16'!D56</f>
        <v>4</v>
      </c>
      <c r="E56" s="8">
        <f>+D56/$B$2</f>
        <v>0.2857142857142857</v>
      </c>
      <c r="F56" s="8">
        <v>0.2857142857142857</v>
      </c>
      <c r="G56" t="str">
        <f>IF(D56=SUM(D162:D169),"ok","ERR")</f>
        <v>ok</v>
      </c>
      <c r="H56" t="s">
        <v>128</v>
      </c>
      <c r="K56" s="2"/>
      <c r="L56" s="8"/>
      <c r="M56" s="2">
        <f>+'at Pit'!M56+'at GB'!M56+'at Min'!M56+'vs Bal'!M56+'vs Det'!M56+'at Cle'!M56+'vs LA'!M56+'at Det'!M56+'vs NY'!M56+'vs StL'!M56+'vs GB'!M56+'at SF'!M56+'vs Min'!M56+'at Atl'!M56+'Gm 15'!M56+'Gm 16'!M56</f>
        <v>9</v>
      </c>
      <c r="N56" s="8">
        <f>+M56/$B$2</f>
        <v>0.6428571428571429</v>
      </c>
      <c r="O56" s="8">
        <v>0.2857142857142857</v>
      </c>
      <c r="P56" s="2"/>
      <c r="Q56" s="8"/>
      <c r="R56" s="8"/>
    </row>
    <row r="57" spans="1:18" ht="12">
      <c r="A57" t="s">
        <v>129</v>
      </c>
      <c r="D57" s="8">
        <f>+D56/D55*100</f>
        <v>6.779661016949152</v>
      </c>
      <c r="E57" s="8"/>
      <c r="F57" s="8">
        <f>+F56/F55*100</f>
        <v>7.142857142857142</v>
      </c>
      <c r="G57" t="str">
        <f>IF(D55-D56=M50,"ok","err")</f>
        <v>ok</v>
      </c>
      <c r="H57" t="s">
        <v>129</v>
      </c>
      <c r="L57" s="8"/>
      <c r="M57" s="8">
        <f>+M56/M55*100</f>
        <v>16.363636363636363</v>
      </c>
      <c r="N57" s="8"/>
      <c r="O57" s="8">
        <f>+O56/O55*100</f>
        <v>7.8431372549019605</v>
      </c>
      <c r="Q57" s="8"/>
      <c r="R57" s="8"/>
    </row>
    <row r="58" spans="5:15" ht="12">
      <c r="E58" s="8"/>
      <c r="F58" s="8"/>
      <c r="N58" s="8"/>
      <c r="O58" s="8"/>
    </row>
    <row r="59" spans="1:15" ht="12">
      <c r="A59" t="s">
        <v>31</v>
      </c>
      <c r="D59" s="2">
        <f>+'at Pit'!D59+'at GB'!D59+'at Min'!D59+'vs Bal'!D59+'vs Det'!D59+'at Cle'!D59+'vs LA'!D59+'at Det'!D59+'vs NY'!D59+'vs StL'!D59+'vs GB'!D59+'at SF'!D59+'vs Min'!D59+'at Atl'!D59+'Gm 15'!D59+'Gm 16'!D59</f>
        <v>111</v>
      </c>
      <c r="E59" s="8">
        <f>+D59/$B$2</f>
        <v>7.928571428571429</v>
      </c>
      <c r="F59" s="8">
        <v>7</v>
      </c>
      <c r="H59" t="s">
        <v>31</v>
      </c>
      <c r="M59" s="2">
        <f>+'at Pit'!M59+'at GB'!M59+'at Min'!M59+'vs Bal'!M59+'vs Det'!M59+'at Cle'!M59+'vs LA'!M59+'at Det'!M59+'vs NY'!M59+'vs StL'!M59+'vs GB'!M59+'at SF'!M59+'vs Min'!M59+'at Atl'!M59+'Gm 15'!M59+'Gm 16'!M59</f>
        <v>80</v>
      </c>
      <c r="N59" s="8">
        <f>+M59/$B$2</f>
        <v>5.714285714285714</v>
      </c>
      <c r="O59" s="8">
        <v>5.857142857142857</v>
      </c>
    </row>
    <row r="60" spans="1:15" ht="12">
      <c r="A60" t="s">
        <v>32</v>
      </c>
      <c r="D60" s="2">
        <f>+'at Pit'!D60+'at GB'!D60+'at Min'!D60+'vs Bal'!D60+'vs Det'!D60+'at Cle'!D60+'vs LA'!D60+'at Det'!D60+'vs NY'!D60+'vs StL'!D60+'vs GB'!D60+'at SF'!D60+'vs Min'!D60+'at Atl'!D60+'Gm 15'!D60+'Gm 16'!D60</f>
        <v>1083</v>
      </c>
      <c r="E60" s="8">
        <f>+D60/$B$2</f>
        <v>77.35714285714286</v>
      </c>
      <c r="F60" s="8">
        <v>68.07142857142857</v>
      </c>
      <c r="H60" t="s">
        <v>32</v>
      </c>
      <c r="M60" s="2">
        <f>+'at Pit'!M60+'at GB'!M60+'at Min'!M60+'vs Bal'!M60+'vs Det'!M60+'at Cle'!M60+'vs LA'!M60+'at Det'!M60+'vs NY'!M60+'vs StL'!M60+'vs GB'!M60+'at SF'!M60+'vs Min'!M60+'at Atl'!M60+'Gm 15'!M60+'Gm 16'!M60</f>
        <v>712</v>
      </c>
      <c r="N60" s="8">
        <f>+M60/$B$2</f>
        <v>50.857142857142854</v>
      </c>
      <c r="O60" s="8">
        <v>55.857142857142854</v>
      </c>
    </row>
    <row r="61" spans="5:15" ht="12">
      <c r="E61" s="8"/>
      <c r="F61" s="8"/>
      <c r="N61" s="8"/>
      <c r="O61" s="8"/>
    </row>
    <row r="62" spans="1:15" ht="12">
      <c r="A62" t="s">
        <v>33</v>
      </c>
      <c r="D62" s="2">
        <f>+'at Pit'!D62+'at GB'!D62+'at Min'!D62+'vs Bal'!D62+'vs Det'!D62+'at Cle'!D62+'vs LA'!D62+'at Det'!D62+'vs NY'!D62+'vs StL'!D62+'vs GB'!D62+'at SF'!D62+'vs Min'!D62+'at Atl'!D62+'Gm 15'!D62+'Gm 16'!D62</f>
        <v>26</v>
      </c>
      <c r="E62" s="8">
        <f>+D62/$B$2</f>
        <v>1.8571428571428572</v>
      </c>
      <c r="F62" s="8">
        <v>1.7857142857142858</v>
      </c>
      <c r="G62" t="str">
        <f>IF(D62=SUM(H83:H117)+SUM(N121:N126)+SUM(I129:I135)+SUM(H139:H151)+SUM(H154:H158)+SUM(H173:H185)+SUM(G206:G270),"ok","ERR")</f>
        <v>ok</v>
      </c>
      <c r="H62" t="s">
        <v>33</v>
      </c>
      <c r="M62" s="2">
        <f>+'at Pit'!M62+'at GB'!M62+'at Min'!M62+'vs Bal'!M62+'vs Det'!M62+'at Cle'!M62+'vs LA'!M62+'at Det'!M62+'vs NY'!M62+'vs StL'!M62+'vs GB'!M62+'at SF'!M62+'vs Min'!M62+'at Atl'!M62+'Gm 15'!M62+'Gm 16'!M62</f>
        <v>20</v>
      </c>
      <c r="N62" s="8">
        <f>+M62/$B$2</f>
        <v>1.4285714285714286</v>
      </c>
      <c r="O62" s="8">
        <v>1.6428571428571428</v>
      </c>
    </row>
    <row r="63" spans="1:15" ht="12">
      <c r="A63" t="s">
        <v>34</v>
      </c>
      <c r="D63" s="2">
        <f>+'at Pit'!D63+'at GB'!D63+'at Min'!D63+'vs Bal'!D63+'vs Det'!D63+'at Cle'!D63+'vs LA'!D63+'at Det'!D63+'vs NY'!D63+'vs StL'!D63+'vs GB'!D63+'at SF'!D63+'vs Min'!D63+'at Atl'!D63+'Gm 15'!D63+'Gm 16'!D63</f>
        <v>11</v>
      </c>
      <c r="E63" s="8"/>
      <c r="F63" s="8"/>
      <c r="H63" t="s">
        <v>34</v>
      </c>
      <c r="M63" s="2">
        <f>+'at Pit'!M63+'at GB'!M63+'at Min'!M63+'vs Bal'!M63+'vs Det'!M63+'at Cle'!M63+'vs LA'!M63+'at Det'!M63+'vs NY'!M63+'vs StL'!M63+'vs GB'!M63+'at SF'!M63+'vs Min'!M63+'at Atl'!M63+'Gm 15'!M63+'Gm 16'!M63</f>
        <v>4</v>
      </c>
      <c r="N63" s="8"/>
      <c r="O63" s="8"/>
    </row>
    <row r="64" spans="1:15" ht="12">
      <c r="A64" t="s">
        <v>35</v>
      </c>
      <c r="D64" s="2">
        <f>+'at Pit'!D64+'at GB'!D64+'at Min'!D64+'vs Bal'!D64+'vs Det'!D64+'at Cle'!D64+'vs LA'!D64+'at Det'!D64+'vs NY'!D64+'vs StL'!D64+'vs GB'!D64+'at SF'!D64+'vs Min'!D64+'at Atl'!D64+'Gm 15'!D64+'Gm 16'!D64</f>
        <v>0</v>
      </c>
      <c r="E64" s="8"/>
      <c r="F64" s="8"/>
      <c r="H64" t="s">
        <v>35</v>
      </c>
      <c r="M64" s="2">
        <f>+'at Pit'!M64+'at GB'!M64+'at Min'!M64+'vs Bal'!M64+'vs Det'!M64+'at Cle'!M64+'vs LA'!M64+'at Det'!M64+'vs NY'!M64+'vs StL'!M64+'vs GB'!M64+'at SF'!M64+'vs Min'!M64+'at Atl'!M64+'Gm 15'!M64+'Gm 16'!M64</f>
        <v>0</v>
      </c>
      <c r="N64" s="8"/>
      <c r="O64" s="8"/>
    </row>
    <row r="65" spans="1:15" ht="12">
      <c r="A65" t="s">
        <v>36</v>
      </c>
      <c r="D65" s="2">
        <f>+'at Pit'!D65+'at GB'!D65+'at Min'!D65+'vs Bal'!D65+'vs Det'!D65+'at Cle'!D65+'vs LA'!D65+'at Det'!D65+'vs NY'!D65+'vs StL'!D65+'vs GB'!D65+'at SF'!D65+'vs Min'!D65+'at Atl'!D65+'Gm 15'!D65+'Gm 16'!D65</f>
        <v>16</v>
      </c>
      <c r="E65" s="8"/>
      <c r="F65" s="8"/>
      <c r="H65" t="s">
        <v>36</v>
      </c>
      <c r="M65" s="2">
        <f>+'at Pit'!M65+'at GB'!M65+'at Min'!M65+'vs Bal'!M65+'vs Det'!M65+'at Cle'!M65+'vs LA'!M65+'at Det'!M65+'vs NY'!M65+'vs StL'!M65+'vs GB'!M65+'at SF'!M65+'vs Min'!M65+'at Atl'!M65+'Gm 15'!M65+'Gm 16'!M65</f>
        <v>13</v>
      </c>
      <c r="N65" s="8"/>
      <c r="O65" s="8"/>
    </row>
    <row r="66" spans="1:15" ht="12">
      <c r="A66" s="1" t="s">
        <v>37</v>
      </c>
      <c r="D66" s="2">
        <f>+'at Pit'!D66+'at GB'!D66+'at Min'!D66+'vs Bal'!D66+'vs Det'!D66+'at Cle'!D66+'vs LA'!D66+'at Det'!D66+'vs NY'!D66+'vs StL'!D66+'vs GB'!D66+'at SF'!D66+'vs Min'!D66+'at Atl'!D66+'Gm 15'!D66+'Gm 16'!D66</f>
        <v>0</v>
      </c>
      <c r="E66" s="8"/>
      <c r="F66" s="8"/>
      <c r="H66" s="1" t="s">
        <v>37</v>
      </c>
      <c r="M66" s="2">
        <f>+'at Pit'!M66+'at GB'!M66+'at Min'!M66+'vs Bal'!M66+'vs Det'!M66+'at Cle'!M66+'vs LA'!M66+'at Det'!M66+'vs NY'!M66+'vs StL'!M66+'vs GB'!M66+'at SF'!M66+'vs Min'!M66+'at Atl'!M66+'Gm 15'!M66+'Gm 16'!M66</f>
        <v>0</v>
      </c>
      <c r="N66" s="8"/>
      <c r="O66" s="8"/>
    </row>
    <row r="67" spans="5:15" ht="12">
      <c r="E67" s="8"/>
      <c r="F67" s="8"/>
      <c r="N67" s="8"/>
      <c r="O67" s="8"/>
    </row>
    <row r="68" spans="1:16" ht="12">
      <c r="A68" t="s">
        <v>38</v>
      </c>
      <c r="D68" s="2">
        <f>+'at Pit'!D68+'at GB'!D68+'at Min'!D68+'vs Bal'!D68+'vs Det'!D68+'at Cle'!D68+'vs LA'!D68+'at Det'!D68+'vs NY'!D68+'vs StL'!D68+'vs GB'!D68+'at SF'!D68+'vs Min'!D68+'at Atl'!D68+'Gm 15'!D68+'Gm 16'!D68</f>
        <v>236</v>
      </c>
      <c r="E68" s="8">
        <f aca="true" t="shared" si="0" ref="E68:E77">+D68/$B$2</f>
        <v>16.857142857142858</v>
      </c>
      <c r="F68" s="8">
        <v>17.071428571428573</v>
      </c>
      <c r="G68" t="str">
        <f>IF(D68=D69*6+D75*2+D76*3+D73,"ok","ERR")</f>
        <v>ok</v>
      </c>
      <c r="H68" t="s">
        <v>38</v>
      </c>
      <c r="M68" s="2">
        <f>+'at Pit'!M68+'at GB'!M68+'at Min'!M68+'vs Bal'!M68+'vs Det'!M68+'at Cle'!M68+'vs LA'!M68+'at Det'!M68+'vs NY'!M68+'vs StL'!M68+'vs GB'!M68+'at SF'!M68+'vs Min'!M68+'at Atl'!M68+'Gm 15'!M68+'Gm 16'!M68</f>
        <v>238</v>
      </c>
      <c r="N68" s="8">
        <f aca="true" t="shared" si="1" ref="N68:N77">+M68/$B$2</f>
        <v>17</v>
      </c>
      <c r="O68" s="8">
        <v>15.571428571428571</v>
      </c>
      <c r="P68" t="str">
        <f>IF(M68=M69*6+M75*2+M76*3+M73,"ok","ERR")</f>
        <v>ok</v>
      </c>
    </row>
    <row r="69" spans="1:15" ht="12">
      <c r="A69" t="s">
        <v>39</v>
      </c>
      <c r="D69" s="2">
        <f>+'at Pit'!D69+'at GB'!D69+'at Min'!D69+'vs Bal'!D69+'vs Det'!D69+'at Cle'!D69+'vs LA'!D69+'at Det'!D69+'vs NY'!D69+'vs StL'!D69+'vs GB'!D69+'at SF'!D69+'vs Min'!D69+'at Atl'!D69+'Gm 15'!D69+'Gm 16'!D69</f>
        <v>26</v>
      </c>
      <c r="E69" s="8">
        <f t="shared" si="0"/>
        <v>1.8571428571428572</v>
      </c>
      <c r="F69" s="8">
        <v>2.0714285714285716</v>
      </c>
      <c r="G69" t="str">
        <f>IF(D69=SUM(D70:D72),"ok","ERR")</f>
        <v>ok</v>
      </c>
      <c r="H69" t="s">
        <v>39</v>
      </c>
      <c r="M69" s="2">
        <f>+'at Pit'!M69+'at GB'!M69+'at Min'!M69+'vs Bal'!M69+'vs Det'!M69+'at Cle'!M69+'vs LA'!M69+'at Det'!M69+'vs NY'!M69+'vs StL'!M69+'vs GB'!M69+'at SF'!M69+'vs Min'!M69+'at Atl'!M69+'Gm 15'!M69+'Gm 16'!M69</f>
        <v>26</v>
      </c>
      <c r="N69" s="8">
        <f t="shared" si="1"/>
        <v>1.8571428571428572</v>
      </c>
      <c r="O69" s="8">
        <v>1.9285714285714286</v>
      </c>
    </row>
    <row r="70" spans="1:15" ht="12">
      <c r="A70" t="s">
        <v>40</v>
      </c>
      <c r="D70" s="2">
        <f>+'at Pit'!D70+'at GB'!D70+'at Min'!D70+'vs Bal'!D70+'vs Det'!D70+'at Cle'!D70+'vs LA'!D70+'at Det'!D70+'vs NY'!D70+'vs StL'!D70+'vs GB'!D70+'at SF'!D70+'vs Min'!D70+'at Atl'!D70+'Gm 15'!D70+'Gm 16'!D70</f>
        <v>15</v>
      </c>
      <c r="E70" s="8">
        <f t="shared" si="0"/>
        <v>1.0714285714285714</v>
      </c>
      <c r="F70" s="8">
        <v>0.8571428571428571</v>
      </c>
      <c r="G70" t="str">
        <f>IF(D70=SUM(G83:G97),"ok","ERR")</f>
        <v>ok</v>
      </c>
      <c r="H70" t="s">
        <v>40</v>
      </c>
      <c r="M70" s="2">
        <f>+'at Pit'!M70+'at GB'!M70+'at Min'!M70+'vs Bal'!M70+'vs Det'!M70+'at Cle'!M70+'vs LA'!M70+'at Det'!M70+'vs NY'!M70+'vs StL'!M70+'vs GB'!M70+'at SF'!M70+'vs Min'!M70+'at Atl'!M70+'Gm 15'!M70+'Gm 16'!M70</f>
        <v>9</v>
      </c>
      <c r="N70" s="8">
        <f t="shared" si="1"/>
        <v>0.6428571428571429</v>
      </c>
      <c r="O70" s="8">
        <v>0.7857142857142857</v>
      </c>
    </row>
    <row r="71" spans="1:15" ht="12">
      <c r="A71" t="s">
        <v>41</v>
      </c>
      <c r="C71" t="str">
        <f>IF(D71=SUM(G101:G114),"ok","ERR")</f>
        <v>ok</v>
      </c>
      <c r="D71" s="2">
        <f>+'at Pit'!D71+'at GB'!D71+'at Min'!D71+'vs Bal'!D71+'vs Det'!D71+'at Cle'!D71+'vs LA'!D71+'at Det'!D71+'vs NY'!D71+'vs StL'!D71+'vs GB'!D71+'at SF'!D71+'vs Min'!D71+'at Atl'!D71+'Gm 15'!D71+'Gm 16'!D71</f>
        <v>6</v>
      </c>
      <c r="E71" s="8">
        <f t="shared" si="0"/>
        <v>0.42857142857142855</v>
      </c>
      <c r="F71" s="8">
        <v>0.6428571428571429</v>
      </c>
      <c r="G71" t="str">
        <f>IF(D71=SUM(G121:G126),"ok","ERR")</f>
        <v>ok</v>
      </c>
      <c r="H71" t="s">
        <v>41</v>
      </c>
      <c r="M71" s="2">
        <f>+'at Pit'!M71+'at GB'!M71+'at Min'!M71+'vs Bal'!M71+'vs Det'!M71+'at Cle'!M71+'vs LA'!M71+'at Det'!M71+'vs NY'!M71+'vs StL'!M71+'vs GB'!M71+'at SF'!M71+'vs Min'!M71+'at Atl'!M71+'Gm 15'!M71+'Gm 16'!M71</f>
        <v>14</v>
      </c>
      <c r="N71" s="8">
        <f t="shared" si="1"/>
        <v>1</v>
      </c>
      <c r="O71" s="8">
        <v>1</v>
      </c>
    </row>
    <row r="72" spans="1:15" ht="12">
      <c r="A72" t="s">
        <v>42</v>
      </c>
      <c r="D72" s="2">
        <f>+'at Pit'!D72+'at GB'!D72+'at Min'!D72+'vs Bal'!D72+'vs Det'!D72+'at Cle'!D72+'vs LA'!D72+'at Det'!D72+'vs NY'!D72+'vs StL'!D72+'vs GB'!D72+'at SF'!D72+'vs Min'!D72+'at Atl'!D72+'Gm 15'!D72+'Gm 16'!D72</f>
        <v>5</v>
      </c>
      <c r="E72" s="8">
        <f t="shared" si="0"/>
        <v>0.35714285714285715</v>
      </c>
      <c r="F72" s="8">
        <v>0.5714285714285714</v>
      </c>
      <c r="G72" t="str">
        <f>IF(D72=SUM(H129:H135)+SUM(G139:G151)+SUM(G173:G185)+SUM(F206:F270),"ok","ERR")</f>
        <v>ok</v>
      </c>
      <c r="H72" t="s">
        <v>42</v>
      </c>
      <c r="M72" s="2">
        <f>+'at Pit'!M72+'at GB'!M72+'at Min'!M72+'vs Bal'!M72+'vs Det'!M72+'at Cle'!M72+'vs LA'!M72+'at Det'!M72+'vs NY'!M72+'vs StL'!M72+'vs GB'!M72+'at SF'!M72+'vs Min'!M72+'at Atl'!M72+'Gm 15'!M72+'Gm 16'!M72</f>
        <v>3</v>
      </c>
      <c r="N72" s="8">
        <f t="shared" si="1"/>
        <v>0.21428571428571427</v>
      </c>
      <c r="O72" s="8">
        <v>0.14285714285714285</v>
      </c>
    </row>
    <row r="73" spans="1:15" ht="12">
      <c r="A73" t="s">
        <v>43</v>
      </c>
      <c r="D73" s="2">
        <f>+'at Pit'!D73+'at GB'!D73+'at Min'!D73+'vs Bal'!D73+'vs Det'!D73+'at Cle'!D73+'vs LA'!D73+'at Det'!D73+'vs NY'!D73+'vs StL'!D73+'vs GB'!D73+'at SF'!D73+'vs Min'!D73+'at Atl'!D73+'Gm 15'!D73+'Gm 16'!D73</f>
        <v>23</v>
      </c>
      <c r="E73" s="8">
        <f t="shared" si="0"/>
        <v>1.6428571428571428</v>
      </c>
      <c r="F73" s="8">
        <v>6.5</v>
      </c>
      <c r="H73" t="s">
        <v>43</v>
      </c>
      <c r="M73" s="2">
        <f>+'at Pit'!M73+'at GB'!M73+'at Min'!M73+'vs Bal'!M73+'vs Det'!M73+'at Cle'!M73+'vs LA'!M73+'at Det'!M73+'vs NY'!M73+'vs StL'!M73+'vs GB'!M73+'at SF'!M73+'vs Min'!M73+'at Atl'!M73+'Gm 15'!M73+'Gm 16'!M73</f>
        <v>26</v>
      </c>
      <c r="N73" s="8">
        <f t="shared" si="1"/>
        <v>1.8571428571428572</v>
      </c>
      <c r="O73" s="8">
        <v>1.8571428571428572</v>
      </c>
    </row>
    <row r="74" spans="1:15" ht="12">
      <c r="A74" t="s">
        <v>120</v>
      </c>
      <c r="D74" s="2">
        <f>+'at Pit'!D74+'at GB'!D74+'at Min'!D74+'vs Bal'!D74+'vs Det'!D74+'at Cle'!D74+'vs LA'!D74+'at Det'!D74+'vs NY'!D74+'vs StL'!D74+'vs GB'!D74+'at SF'!D74+'vs Min'!D74+'at Atl'!D74+'Gm 15'!D74+'Gm 16'!D74</f>
        <v>0</v>
      </c>
      <c r="E74" s="8">
        <f t="shared" si="0"/>
        <v>0</v>
      </c>
      <c r="F74" s="8">
        <v>0</v>
      </c>
      <c r="H74" t="s">
        <v>120</v>
      </c>
      <c r="M74" s="2">
        <f>+'at Pit'!M74+'at GB'!M74+'at Min'!M74+'vs Bal'!M74+'vs Det'!M74+'at Cle'!M74+'vs LA'!M74+'at Det'!M74+'vs NY'!M74+'vs StL'!M74+'vs GB'!M74+'at SF'!M74+'vs Min'!M74+'at Atl'!M74+'Gm 15'!M74+'Gm 16'!M74</f>
        <v>0</v>
      </c>
      <c r="N74" s="8">
        <f t="shared" si="1"/>
        <v>0</v>
      </c>
      <c r="O74" s="8">
        <v>0</v>
      </c>
    </row>
    <row r="75" spans="1:15" ht="12">
      <c r="A75" t="s">
        <v>44</v>
      </c>
      <c r="D75" s="2">
        <f>+'at Pit'!D75+'at GB'!D75+'at Min'!D75+'vs Bal'!D75+'vs Det'!D75+'at Cle'!D75+'vs LA'!D75+'at Det'!D75+'vs NY'!D75+'vs StL'!D75+'vs GB'!D75+'at SF'!D75+'vs Min'!D75+'at Atl'!D75+'Gm 15'!D75+'Gm 16'!D75</f>
        <v>0</v>
      </c>
      <c r="E75" s="8">
        <f t="shared" si="0"/>
        <v>0</v>
      </c>
      <c r="F75" s="8">
        <v>0</v>
      </c>
      <c r="H75" t="s">
        <v>44</v>
      </c>
      <c r="M75" s="2">
        <f>+'at Pit'!M75+'at GB'!M75+'at Min'!M75+'vs Bal'!M75+'vs Det'!M75+'at Cle'!M75+'vs LA'!M75+'at Det'!M75+'vs NY'!M75+'vs StL'!M75+'vs GB'!M75+'at SF'!M75+'vs Min'!M75+'at Atl'!M75+'Gm 15'!M75+'Gm 16'!M75</f>
        <v>1</v>
      </c>
      <c r="N75" s="8">
        <f t="shared" si="1"/>
        <v>0.07142857142857142</v>
      </c>
      <c r="O75" s="8">
        <v>0</v>
      </c>
    </row>
    <row r="76" spans="1:15" ht="12">
      <c r="A76" t="s">
        <v>45</v>
      </c>
      <c r="D76" s="2">
        <f>+'at Pit'!D76+'at GB'!D76+'at Min'!D76+'vs Bal'!D76+'vs Det'!D76+'at Cle'!D76+'vs LA'!D76+'at Det'!D76+'vs NY'!D76+'vs StL'!D76+'vs GB'!D76+'at SF'!D76+'vs Min'!D76+'at Atl'!D76+'Gm 15'!D76+'Gm 16'!D76</f>
        <v>19</v>
      </c>
      <c r="E76" s="8">
        <f t="shared" si="0"/>
        <v>1.3571428571428572</v>
      </c>
      <c r="F76" s="8">
        <v>0.9285714285714286</v>
      </c>
      <c r="G76" t="str">
        <f>IF(D76=SUM(H162:H169),"ok","ERR")</f>
        <v>ok</v>
      </c>
      <c r="H76" t="s">
        <v>45</v>
      </c>
      <c r="M76" s="2">
        <f>+'at Pit'!M76+'at GB'!M76+'at Min'!M76+'vs Bal'!M76+'vs Det'!M76+'at Cle'!M76+'vs LA'!M76+'at Det'!M76+'vs NY'!M76+'vs StL'!M76+'vs GB'!M76+'at SF'!M76+'vs Min'!M76+'at Atl'!M76+'Gm 15'!M76+'Gm 16'!M76</f>
        <v>18</v>
      </c>
      <c r="N76" s="8">
        <f t="shared" si="1"/>
        <v>1.2857142857142858</v>
      </c>
      <c r="O76" s="8">
        <v>0.7142857142857143</v>
      </c>
    </row>
    <row r="77" spans="1:15" ht="12">
      <c r="A77" t="s">
        <v>46</v>
      </c>
      <c r="D77" s="2">
        <f>+'at Pit'!D77+'at GB'!D77+'at Min'!D77+'vs Bal'!D77+'vs Det'!D77+'at Cle'!D77+'vs LA'!D77+'at Det'!D77+'vs NY'!D77+'vs StL'!D77+'vs GB'!D77+'at SF'!D77+'vs Min'!D77+'at Atl'!D77+'Gm 15'!D77+'Gm 16'!D77</f>
        <v>39</v>
      </c>
      <c r="E77" s="8">
        <f t="shared" si="0"/>
        <v>2.7857142857142856</v>
      </c>
      <c r="F77" s="8">
        <v>1.8571428571428572</v>
      </c>
      <c r="G77" t="str">
        <f>IF(D77=SUM(G162:G169),"ok","ERR")</f>
        <v>ok</v>
      </c>
      <c r="H77" t="s">
        <v>46</v>
      </c>
      <c r="M77" s="2">
        <f>+'at Pit'!M77+'at GB'!M77+'at Min'!M77+'vs Bal'!M77+'vs Det'!M77+'at Cle'!M77+'vs LA'!M77+'at Det'!M77+'vs NY'!M77+'vs StL'!M77+'vs GB'!M77+'at SF'!M77+'vs Min'!M77+'at Atl'!M77+'Gm 15'!M77+'Gm 16'!M77</f>
        <v>33</v>
      </c>
      <c r="N77" s="8">
        <f t="shared" si="1"/>
        <v>2.357142857142857</v>
      </c>
      <c r="O77" s="8">
        <v>1.8571428571428572</v>
      </c>
    </row>
    <row r="78" spans="1:15" ht="12">
      <c r="A78" t="s">
        <v>47</v>
      </c>
      <c r="D78" s="8">
        <f>+D76/D77*100</f>
        <v>48.717948717948715</v>
      </c>
      <c r="E78" s="8"/>
      <c r="F78" s="8">
        <f>+F76/F77*100</f>
        <v>50</v>
      </c>
      <c r="G78" s="7"/>
      <c r="H78" s="7" t="s">
        <v>47</v>
      </c>
      <c r="I78" s="7"/>
      <c r="J78" s="7"/>
      <c r="K78" s="7"/>
      <c r="L78" s="7"/>
      <c r="M78" s="8">
        <f>+M76/M77*100</f>
        <v>54.54545454545454</v>
      </c>
      <c r="N78" s="8"/>
      <c r="O78" s="8">
        <f>+O76/O77*100</f>
        <v>38.46153846153847</v>
      </c>
    </row>
    <row r="79" spans="1:15" ht="12">
      <c r="A79" t="s">
        <v>92</v>
      </c>
      <c r="D79" s="10" t="str">
        <f>IF(V25&lt;10,V29,V28)</f>
        <v>32:12</v>
      </c>
      <c r="E79" s="8"/>
      <c r="F79" s="31" t="s">
        <v>130</v>
      </c>
      <c r="H79" t="s">
        <v>92</v>
      </c>
      <c r="M79" s="10" t="str">
        <f>IF(W25&lt;10,W29,W28)</f>
        <v>27:48</v>
      </c>
      <c r="N79" s="8"/>
      <c r="O79" s="31" t="s">
        <v>130</v>
      </c>
    </row>
    <row r="81" spans="1:15" ht="12">
      <c r="A81" t="s">
        <v>49</v>
      </c>
      <c r="O81" s="3"/>
    </row>
    <row r="82" spans="1:1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  <c r="K82" s="3"/>
      <c r="L82" s="3"/>
      <c r="M82" s="3"/>
      <c r="N82" s="3"/>
      <c r="O82" s="3"/>
      <c r="P82" s="3"/>
      <c r="Q82" s="3"/>
      <c r="R82" s="3"/>
    </row>
    <row r="83" spans="1:18" ht="12">
      <c r="A83" t="s">
        <v>133</v>
      </c>
      <c r="B83" t="s">
        <v>181</v>
      </c>
      <c r="C83">
        <f>+'at Pit'!C83+'at GB'!C83+'at Min'!C83+'vs Bal'!C83+'vs Det'!C83+'at Cle'!C83+'vs LA'!C83+'at Det'!C83+'vs NY'!C83+'vs StL'!C83+'vs GB'!C83+'at SF'!C83+'vs Min'!C83+'at Atl'!C83+'Gm 15'!C83+'Gm 16'!C83</f>
        <v>2</v>
      </c>
      <c r="D83">
        <f>+'at Pit'!D83+'at GB'!D83+'at Min'!D83+'vs Bal'!D83+'vs Det'!D83+'at Cle'!D83+'vs LA'!D83+'at Det'!D83+'vs NY'!D83+'vs StL'!D83+'vs GB'!D83+'at SF'!D83+'vs Min'!D83+'at Atl'!D83+'Gm 15'!D83+'Gm 16'!D83</f>
        <v>-5</v>
      </c>
      <c r="E83" s="12">
        <f aca="true" t="shared" si="2" ref="E83:E94">IF(C83=0,0,+D83/C83)</f>
        <v>-2.5</v>
      </c>
      <c r="F83">
        <f>MAX('at Pit'!F83,'at GB'!F83,'at Min'!F83,'vs Bal'!F83,'vs Det'!F83,'at Cle'!F83,'vs LA'!F83,'at Det'!F83,'vs NY'!F83,'vs StL'!F83,'vs GB'!F83,'at SF'!F83,'vs Min'!F83,'at Atl'!F83,'Gm 15'!F83,'Gm 16'!F83)</f>
        <v>4</v>
      </c>
      <c r="G83">
        <f>+'at Pit'!G83+'at GB'!G83+'at Min'!G83+'vs Bal'!G83+'vs Det'!G83+'at Cle'!G83+'vs LA'!G83+'at Det'!G83+'vs NY'!G83+'vs StL'!G83+'vs GB'!G83+'at SF'!G83+'vs Min'!G83+'at Atl'!G83+'Gm 15'!G83+'Gm 16'!G83</f>
        <v>0</v>
      </c>
      <c r="H83">
        <f>+'at Pit'!H83+'at GB'!H83+'at Min'!H83+'vs Bal'!H83+'vs Det'!H83+'at Cle'!H83+'vs LA'!H83+'at Det'!H83+'vs NY'!H83+'vs StL'!H83+'vs GB'!H83+'at SF'!H83+'vs Min'!H83+'at Atl'!H83+'Gm 15'!H83+'Gm 16'!H83</f>
        <v>0</v>
      </c>
      <c r="M83" s="12"/>
      <c r="P83" s="17"/>
      <c r="Q83" s="17"/>
      <c r="R83" s="17"/>
    </row>
    <row r="84" spans="1:18" ht="12">
      <c r="A84" t="s">
        <v>134</v>
      </c>
      <c r="B84" t="s">
        <v>181</v>
      </c>
      <c r="C84">
        <f>+'at Pit'!C84+'at GB'!C84+'at Min'!C84+'vs Bal'!C84+'vs Det'!C84+'at Cle'!C84+'vs LA'!C84+'at Det'!C84+'vs NY'!C84+'vs StL'!C84+'vs GB'!C84+'at SF'!C84+'vs Min'!C84+'at Atl'!C84+'Gm 15'!C84+'Gm 16'!C84</f>
        <v>72</v>
      </c>
      <c r="D84">
        <f>+'at Pit'!D84+'at GB'!D84+'at Min'!D84+'vs Bal'!D84+'vs Det'!D84+'at Cle'!D84+'vs LA'!D84+'at Det'!D84+'vs NY'!D84+'vs StL'!D84+'vs GB'!D84+'at SF'!D84+'vs Min'!D84+'at Atl'!D84+'Gm 15'!D84+'Gm 16'!D84</f>
        <v>276</v>
      </c>
      <c r="E84" s="12">
        <f t="shared" si="2"/>
        <v>3.8333333333333335</v>
      </c>
      <c r="F84">
        <f>MAX('at Pit'!F84,'at GB'!F84,'at Min'!F84,'vs Bal'!F84,'vs Det'!F84,'at Cle'!F84,'vs LA'!F84,'at Det'!F84,'vs NY'!F84,'vs StL'!F84,'vs GB'!F84,'at SF'!F84,'vs Min'!F84,'at Atl'!F84,'Gm 15'!F84,'Gm 16'!F84)</f>
        <v>25</v>
      </c>
      <c r="G84">
        <f>+'at Pit'!G84+'at GB'!G84+'at Min'!G84+'vs Bal'!G84+'vs Det'!G84+'at Cle'!G84+'vs LA'!G84+'at Det'!G84+'vs NY'!G84+'vs StL'!G84+'vs GB'!G84+'at SF'!G84+'vs Min'!G84+'at Atl'!G84+'Gm 15'!G84+'Gm 16'!G84</f>
        <v>1</v>
      </c>
      <c r="H84">
        <f>+'at Pit'!H84+'at GB'!H84+'at Min'!H84+'vs Bal'!H84+'vs Det'!H84+'at Cle'!H84+'vs LA'!H84+'at Det'!H84+'vs NY'!H84+'vs StL'!H84+'vs GB'!H84+'at SF'!H84+'vs Min'!H84+'at Atl'!H84+'Gm 15'!H84+'Gm 16'!H84</f>
        <v>0</v>
      </c>
      <c r="M84" s="12"/>
      <c r="P84" s="17"/>
      <c r="Q84" s="17"/>
      <c r="R84" s="17"/>
    </row>
    <row r="85" spans="1:18" ht="12">
      <c r="A85" t="s">
        <v>135</v>
      </c>
      <c r="B85" t="s">
        <v>181</v>
      </c>
      <c r="C85">
        <f>+'at Pit'!C85+'at GB'!C85+'at Min'!C85+'vs Bal'!C85+'vs Det'!C85+'at Cle'!C85+'vs LA'!C85+'at Det'!C85+'vs NY'!C85+'vs StL'!C85+'vs GB'!C85+'at SF'!C85+'vs Min'!C85+'at Atl'!C85+'Gm 15'!C85+'Gm 16'!C85</f>
        <v>60</v>
      </c>
      <c r="D85">
        <f>+'at Pit'!D85+'at GB'!D85+'at Min'!D85+'vs Bal'!D85+'vs Det'!D85+'at Cle'!D85+'vs LA'!D85+'at Det'!D85+'vs NY'!D85+'vs StL'!D85+'vs GB'!D85+'at SF'!D85+'vs Min'!D85+'at Atl'!D85+'Gm 15'!D85+'Gm 16'!D85</f>
        <v>347</v>
      </c>
      <c r="E85" s="12">
        <f t="shared" si="2"/>
        <v>5.783333333333333</v>
      </c>
      <c r="F85">
        <f>MAX('at Pit'!F85,'at GB'!F85,'at Min'!F85,'vs Bal'!F85,'vs Det'!F85,'at Cle'!F85,'vs LA'!F85,'at Det'!F85,'vs NY'!F85,'vs StL'!F85,'vs GB'!F85,'at SF'!F85,'vs Min'!F85,'at Atl'!F85,'Gm 15'!F85,'Gm 16'!F85)</f>
        <v>31</v>
      </c>
      <c r="G85">
        <f>+'at Pit'!G85+'at GB'!G85+'at Min'!G85+'vs Bal'!G85+'vs Det'!G85+'at Cle'!G85+'vs LA'!G85+'at Det'!G85+'vs NY'!G85+'vs StL'!G85+'vs GB'!G85+'at SF'!G85+'vs Min'!G85+'at Atl'!G85+'Gm 15'!G85+'Gm 16'!G85</f>
        <v>1</v>
      </c>
      <c r="H85">
        <f>+'at Pit'!H85+'at GB'!H85+'at Min'!H85+'vs Bal'!H85+'vs Det'!H85+'at Cle'!H85+'vs LA'!H85+'at Det'!H85+'vs NY'!H85+'vs StL'!H85+'vs GB'!H85+'at SF'!H85+'vs Min'!H85+'at Atl'!H85+'Gm 15'!H85+'Gm 16'!H85</f>
        <v>3</v>
      </c>
      <c r="M85" s="12"/>
      <c r="P85" s="17"/>
      <c r="Q85" s="17"/>
      <c r="R85" s="17"/>
    </row>
    <row r="86" spans="1:18" ht="12">
      <c r="A86" t="s">
        <v>136</v>
      </c>
      <c r="B86" t="s">
        <v>181</v>
      </c>
      <c r="C86">
        <f>+'at Pit'!C86+'at GB'!C86+'at Min'!C86+'vs Bal'!C86+'vs Det'!C86+'at Cle'!C86+'vs LA'!C86+'at Det'!C86+'vs NY'!C86+'vs StL'!C86+'vs GB'!C86+'at SF'!C86+'vs Min'!C86+'at Atl'!C86+'Gm 15'!C86+'Gm 16'!C86</f>
        <v>3</v>
      </c>
      <c r="D86">
        <f>+'at Pit'!D86+'at GB'!D86+'at Min'!D86+'vs Bal'!D86+'vs Det'!D86+'at Cle'!D86+'vs LA'!D86+'at Det'!D86+'vs NY'!D86+'vs StL'!D86+'vs GB'!D86+'at SF'!D86+'vs Min'!D86+'at Atl'!D86+'Gm 15'!D86+'Gm 16'!D86</f>
        <v>-20</v>
      </c>
      <c r="E86" s="12">
        <f t="shared" si="2"/>
        <v>-6.666666666666667</v>
      </c>
      <c r="F86">
        <f>MAX('at Pit'!F86,'at GB'!F86,'at Min'!F86,'vs Bal'!F86,'vs Det'!F86,'at Cle'!F86,'vs LA'!F86,'at Det'!F86,'vs NY'!F86,'vs StL'!F86,'vs GB'!F86,'at SF'!F86,'vs Min'!F86,'at Atl'!F86,'Gm 15'!F86,'Gm 16'!F86)</f>
        <v>-4</v>
      </c>
      <c r="G86">
        <f>+'at Pit'!G86+'at GB'!G86+'at Min'!G86+'vs Bal'!G86+'vs Det'!G86+'at Cle'!G86+'vs LA'!G86+'at Det'!G86+'vs NY'!G86+'vs StL'!G86+'vs GB'!G86+'at SF'!G86+'vs Min'!G86+'at Atl'!G86+'Gm 15'!G86+'Gm 16'!G86</f>
        <v>0</v>
      </c>
      <c r="H86">
        <f>+'at Pit'!H86+'at GB'!H86+'at Min'!H86+'vs Bal'!H86+'vs Det'!H86+'at Cle'!H86+'vs LA'!H86+'at Det'!H86+'vs NY'!H86+'vs StL'!H86+'vs GB'!H86+'at SF'!H86+'vs Min'!H86+'at Atl'!H86+'Gm 15'!H86+'Gm 16'!H86</f>
        <v>0</v>
      </c>
      <c r="M86" s="12"/>
      <c r="P86" s="17"/>
      <c r="Q86" s="17"/>
      <c r="R86" s="17"/>
    </row>
    <row r="87" spans="1:18" ht="12">
      <c r="A87" t="s">
        <v>137</v>
      </c>
      <c r="B87" t="s">
        <v>181</v>
      </c>
      <c r="C87">
        <f>+'at Pit'!C87+'at GB'!C87+'at Min'!C87+'vs Bal'!C87+'vs Det'!C87+'at Cle'!C87+'vs LA'!C87+'at Det'!C87+'vs NY'!C87+'vs StL'!C87+'vs GB'!C87+'at SF'!C87+'vs Min'!C87+'at Atl'!C87+'Gm 15'!C87+'Gm 16'!C87</f>
        <v>4</v>
      </c>
      <c r="D87">
        <f>+'at Pit'!D87+'at GB'!D87+'at Min'!D87+'vs Bal'!D87+'vs Det'!D87+'at Cle'!D87+'vs LA'!D87+'at Det'!D87+'vs NY'!D87+'vs StL'!D87+'vs GB'!D87+'at SF'!D87+'vs Min'!D87+'at Atl'!D87+'Gm 15'!D87+'Gm 16'!D87</f>
        <v>33</v>
      </c>
      <c r="E87" s="12">
        <f t="shared" si="2"/>
        <v>8.25</v>
      </c>
      <c r="F87">
        <f>MAX('at Pit'!F87,'at GB'!F87,'at Min'!F87,'vs Bal'!F87,'vs Det'!F87,'at Cle'!F87,'vs LA'!F87,'at Det'!F87,'vs NY'!F87,'vs StL'!F87,'vs GB'!F87,'at SF'!F87,'vs Min'!F87,'at Atl'!F87,'Gm 15'!F87,'Gm 16'!F87)</f>
        <v>24</v>
      </c>
      <c r="G87">
        <f>+'at Pit'!G87+'at GB'!G87+'at Min'!G87+'vs Bal'!G87+'vs Det'!G87+'at Cle'!G87+'vs LA'!G87+'at Det'!G87+'vs NY'!G87+'vs StL'!G87+'vs GB'!G87+'at SF'!G87+'vs Min'!G87+'at Atl'!G87+'Gm 15'!G87+'Gm 16'!G87</f>
        <v>0</v>
      </c>
      <c r="H87">
        <f>+'at Pit'!H87+'at GB'!H87+'at Min'!H87+'vs Bal'!H87+'vs Det'!H87+'at Cle'!H87+'vs LA'!H87+'at Det'!H87+'vs NY'!H87+'vs StL'!H87+'vs GB'!H87+'at SF'!H87+'vs Min'!H87+'at Atl'!H87+'Gm 15'!H87+'Gm 16'!H87</f>
        <v>0</v>
      </c>
      <c r="M87" s="12"/>
      <c r="P87" s="17"/>
      <c r="Q87" s="17"/>
      <c r="R87" s="17"/>
    </row>
    <row r="88" spans="1:18" ht="12">
      <c r="A88" t="s">
        <v>138</v>
      </c>
      <c r="B88" t="s">
        <v>181</v>
      </c>
      <c r="C88">
        <f>+'at Pit'!C88+'at GB'!C88+'at Min'!C88+'vs Bal'!C88+'vs Det'!C88+'at Cle'!C88+'vs LA'!C88+'at Det'!C88+'vs NY'!C88+'vs StL'!C88+'vs GB'!C88+'at SF'!C88+'vs Min'!C88+'at Atl'!C88+'Gm 15'!C88+'Gm 16'!C88</f>
        <v>37</v>
      </c>
      <c r="D88">
        <f>+'at Pit'!D88+'at GB'!D88+'at Min'!D88+'vs Bal'!D88+'vs Det'!D88+'at Cle'!D88+'vs LA'!D88+'at Det'!D88+'vs NY'!D88+'vs StL'!D88+'vs GB'!D88+'at SF'!D88+'vs Min'!D88+'at Atl'!D88+'Gm 15'!D88+'Gm 16'!D88</f>
        <v>88</v>
      </c>
      <c r="E88" s="12">
        <f t="shared" si="2"/>
        <v>2.3783783783783785</v>
      </c>
      <c r="F88">
        <f>MAX('at Pit'!F88,'at GB'!F88,'at Min'!F88,'vs Bal'!F88,'vs Det'!F88,'at Cle'!F88,'vs LA'!F88,'at Det'!F88,'vs NY'!F88,'vs StL'!F88,'vs GB'!F88,'at SF'!F88,'vs Min'!F88,'at Atl'!F88,'Gm 15'!F88,'Gm 16'!F88)</f>
        <v>13</v>
      </c>
      <c r="G88">
        <f>+'at Pit'!G88+'at GB'!G88+'at Min'!G88+'vs Bal'!G88+'vs Det'!G88+'at Cle'!G88+'vs LA'!G88+'at Det'!G88+'vs NY'!G88+'vs StL'!G88+'vs GB'!G88+'at SF'!G88+'vs Min'!G88+'at Atl'!G88+'Gm 15'!G88+'Gm 16'!G88</f>
        <v>0</v>
      </c>
      <c r="H88">
        <f>+'at Pit'!H88+'at GB'!H88+'at Min'!H88+'vs Bal'!H88+'vs Det'!H88+'at Cle'!H88+'vs LA'!H88+'at Det'!H88+'vs NY'!H88+'vs StL'!H88+'vs GB'!H88+'at SF'!H88+'vs Min'!H88+'at Atl'!H88+'Gm 15'!H88+'Gm 16'!H88</f>
        <v>0</v>
      </c>
      <c r="M88" s="12"/>
      <c r="P88" s="17"/>
      <c r="Q88" s="17"/>
      <c r="R88" s="17"/>
    </row>
    <row r="89" spans="1:18" ht="12">
      <c r="A89" t="s">
        <v>139</v>
      </c>
      <c r="B89" t="s">
        <v>181</v>
      </c>
      <c r="C89">
        <f>+'at Pit'!C89+'at GB'!C89+'at Min'!C89+'vs Bal'!C89+'vs Det'!C89+'at Cle'!C89+'vs LA'!C89+'at Det'!C89+'vs NY'!C89+'vs StL'!C89+'vs GB'!C89+'at SF'!C89+'vs Min'!C89+'at Atl'!C89+'Gm 15'!C89+'Gm 16'!C89</f>
        <v>33</v>
      </c>
      <c r="D89">
        <f>+'at Pit'!D89+'at GB'!D89+'at Min'!D89+'vs Bal'!D89+'vs Det'!D89+'at Cle'!D89+'vs LA'!D89+'at Det'!D89+'vs NY'!D89+'vs StL'!D89+'vs GB'!D89+'at SF'!D89+'vs Min'!D89+'at Atl'!D89+'Gm 15'!D89+'Gm 16'!D89</f>
        <v>12</v>
      </c>
      <c r="E89" s="12">
        <f t="shared" si="2"/>
        <v>0.36363636363636365</v>
      </c>
      <c r="F89">
        <f>MAX('at Pit'!F89,'at GB'!F89,'at Min'!F89,'vs Bal'!F89,'vs Det'!F89,'at Cle'!F89,'vs LA'!F89,'at Det'!F89,'vs NY'!F89,'vs StL'!F89,'vs GB'!F89,'at SF'!F89,'vs Min'!F89,'at Atl'!F89,'Gm 15'!F89,'Gm 16'!F89)</f>
        <v>6</v>
      </c>
      <c r="G89">
        <f>+'at Pit'!G89+'at GB'!G89+'at Min'!G89+'vs Bal'!G89+'vs Det'!G89+'at Cle'!G89+'vs LA'!G89+'at Det'!G89+'vs NY'!G89+'vs StL'!G89+'vs GB'!G89+'at SF'!G89+'vs Min'!G89+'at Atl'!G89+'Gm 15'!G89+'Gm 16'!G89</f>
        <v>2</v>
      </c>
      <c r="H89">
        <f>+'at Pit'!H89+'at GB'!H89+'at Min'!H89+'vs Bal'!H89+'vs Det'!H89+'at Cle'!H89+'vs LA'!H89+'at Det'!H89+'vs NY'!H89+'vs StL'!H89+'vs GB'!H89+'at SF'!H89+'vs Min'!H89+'at Atl'!H89+'Gm 15'!H89+'Gm 16'!H89</f>
        <v>5</v>
      </c>
      <c r="M89" s="12"/>
      <c r="P89" s="17"/>
      <c r="Q89" s="17"/>
      <c r="R89" s="17"/>
    </row>
    <row r="90" spans="1:18" ht="12">
      <c r="A90" t="s">
        <v>140</v>
      </c>
      <c r="B90" t="s">
        <v>181</v>
      </c>
      <c r="C90">
        <f>+'at Pit'!C90+'at GB'!C90+'at Min'!C90+'vs Bal'!C90+'vs Det'!C90+'at Cle'!C90+'vs LA'!C90+'at Det'!C90+'vs NY'!C90+'vs StL'!C90+'vs GB'!C90+'at SF'!C90+'vs Min'!C90+'at Atl'!C90+'Gm 15'!C90+'Gm 16'!C90</f>
        <v>1</v>
      </c>
      <c r="D90">
        <f>+'at Pit'!D90+'at GB'!D90+'at Min'!D90+'vs Bal'!D90+'vs Det'!D90+'at Cle'!D90+'vs LA'!D90+'at Det'!D90+'vs NY'!D90+'vs StL'!D90+'vs GB'!D90+'at SF'!D90+'vs Min'!D90+'at Atl'!D90+'Gm 15'!D90+'Gm 16'!D90</f>
        <v>2</v>
      </c>
      <c r="E90" s="12">
        <f t="shared" si="2"/>
        <v>2</v>
      </c>
      <c r="F90">
        <f>MAX('at Pit'!F90,'at GB'!F90,'at Min'!F90,'vs Bal'!F90,'vs Det'!F90,'at Cle'!F90,'vs LA'!F90,'at Det'!F90,'vs NY'!F90,'vs StL'!F90,'vs GB'!F90,'at SF'!F90,'vs Min'!F90,'at Atl'!F90,'Gm 15'!F90,'Gm 16'!F90)</f>
        <v>2</v>
      </c>
      <c r="G90">
        <f>+'at Pit'!G90+'at GB'!G90+'at Min'!G90+'vs Bal'!G90+'vs Det'!G90+'at Cle'!G90+'vs LA'!G90+'at Det'!G90+'vs NY'!G90+'vs StL'!G90+'vs GB'!G90+'at SF'!G90+'vs Min'!G90+'at Atl'!G90+'Gm 15'!G90+'Gm 16'!G90</f>
        <v>0</v>
      </c>
      <c r="H90">
        <f>+'at Pit'!H90+'at GB'!H90+'at Min'!H90+'vs Bal'!H90+'vs Det'!H90+'at Cle'!H90+'vs LA'!H90+'at Det'!H90+'vs NY'!H90+'vs StL'!H90+'vs GB'!H90+'at SF'!H90+'vs Min'!H90+'at Atl'!H90+'Gm 15'!H90+'Gm 16'!H90</f>
        <v>0</v>
      </c>
      <c r="M90" s="12"/>
      <c r="P90" s="17"/>
      <c r="Q90" s="17"/>
      <c r="R90" s="17"/>
    </row>
    <row r="91" spans="1:18" ht="12">
      <c r="A91" t="s">
        <v>141</v>
      </c>
      <c r="B91" t="s">
        <v>181</v>
      </c>
      <c r="C91">
        <f>+'at Pit'!C91+'at GB'!C91+'at Min'!C91+'vs Bal'!C91+'vs Det'!C91+'at Cle'!C91+'vs LA'!C91+'at Det'!C91+'vs NY'!C91+'vs StL'!C91+'vs GB'!C91+'at SF'!C91+'vs Min'!C91+'at Atl'!C91+'Gm 15'!C91+'Gm 16'!C91</f>
        <v>98</v>
      </c>
      <c r="D91">
        <f>+'at Pit'!D91+'at GB'!D91+'at Min'!D91+'vs Bal'!D91+'vs Det'!D91+'at Cle'!D91+'vs LA'!D91+'at Det'!D91+'vs NY'!D91+'vs StL'!D91+'vs GB'!D91+'at SF'!D91+'vs Min'!D91+'at Atl'!D91+'Gm 15'!D91+'Gm 16'!D91</f>
        <v>224</v>
      </c>
      <c r="E91" s="12">
        <f t="shared" si="2"/>
        <v>2.2857142857142856</v>
      </c>
      <c r="F91">
        <f>MAX('at Pit'!F91,'at GB'!F91,'at Min'!F91,'vs Bal'!F91,'vs Det'!F91,'at Cle'!F91,'vs LA'!F91,'at Det'!F91,'vs NY'!F91,'vs StL'!F91,'vs GB'!F91,'at SF'!F91,'vs Min'!F91,'at Atl'!F91,'Gm 15'!F91,'Gm 16'!F91)</f>
        <v>31</v>
      </c>
      <c r="G91">
        <f>+'at Pit'!G91+'at GB'!G91+'at Min'!G91+'vs Bal'!G91+'vs Det'!G91+'at Cle'!G91+'vs LA'!G91+'at Det'!G91+'vs NY'!G91+'vs StL'!G91+'vs GB'!G91+'at SF'!G91+'vs Min'!G91+'at Atl'!G91+'Gm 15'!G91+'Gm 16'!G91</f>
        <v>2</v>
      </c>
      <c r="H91">
        <f>+'at Pit'!H91+'at GB'!H91+'at Min'!H91+'vs Bal'!H91+'vs Det'!H91+'at Cle'!H91+'vs LA'!H91+'at Det'!H91+'vs NY'!H91+'vs StL'!H91+'vs GB'!H91+'at SF'!H91+'vs Min'!H91+'at Atl'!H91+'Gm 15'!H91+'Gm 16'!H91</f>
        <v>3</v>
      </c>
      <c r="M91" s="12"/>
      <c r="P91" s="17"/>
      <c r="Q91" s="17"/>
      <c r="R91" s="17"/>
    </row>
    <row r="92" spans="1:18" ht="12">
      <c r="A92" t="s">
        <v>142</v>
      </c>
      <c r="B92" t="s">
        <v>181</v>
      </c>
      <c r="C92">
        <f>+'at Pit'!C92+'at GB'!C92+'at Min'!C92+'vs Bal'!C92+'vs Det'!C92+'at Cle'!C92+'vs LA'!C92+'at Det'!C92+'vs NY'!C92+'vs StL'!C92+'vs GB'!C92+'at SF'!C92+'vs Min'!C92+'at Atl'!C92+'Gm 15'!C92+'Gm 16'!C92</f>
        <v>7</v>
      </c>
      <c r="D92">
        <f>+'at Pit'!D92+'at GB'!D92+'at Min'!D92+'vs Bal'!D92+'vs Det'!D92+'at Cle'!D92+'vs LA'!D92+'at Det'!D92+'vs NY'!D92+'vs StL'!D92+'vs GB'!D92+'at SF'!D92+'vs Min'!D92+'at Atl'!D92+'Gm 15'!D92+'Gm 16'!D92</f>
        <v>12</v>
      </c>
      <c r="E92" s="12">
        <f t="shared" si="2"/>
        <v>1.7142857142857142</v>
      </c>
      <c r="F92">
        <f>MAX('at Pit'!F92,'at GB'!F92,'at Min'!F92,'vs Bal'!F92,'vs Det'!F92,'at Cle'!F92,'vs LA'!F92,'at Det'!F92,'vs NY'!F92,'vs StL'!F92,'vs GB'!F92,'at SF'!F92,'vs Min'!F92,'at Atl'!F92,'Gm 15'!F92,'Gm 16'!F92)</f>
        <v>13</v>
      </c>
      <c r="G92">
        <f>+'at Pit'!G92+'at GB'!G92+'at Min'!G92+'vs Bal'!G92+'vs Det'!G92+'at Cle'!G92+'vs LA'!G92+'at Det'!G92+'vs NY'!G92+'vs StL'!G92+'vs GB'!G92+'at SF'!G92+'vs Min'!G92+'at Atl'!G92+'Gm 15'!G92+'Gm 16'!G92</f>
        <v>0</v>
      </c>
      <c r="H92">
        <f>+'at Pit'!H92+'at GB'!H92+'at Min'!H92+'vs Bal'!H92+'vs Det'!H92+'at Cle'!H92+'vs LA'!H92+'at Det'!H92+'vs NY'!H92+'vs StL'!H92+'vs GB'!H92+'at SF'!H92+'vs Min'!H92+'at Atl'!H92+'Gm 15'!H92+'Gm 16'!H92</f>
        <v>1</v>
      </c>
      <c r="M92" s="12"/>
      <c r="P92" s="17"/>
      <c r="Q92" s="17"/>
      <c r="R92" s="17"/>
    </row>
    <row r="93" spans="1:13" ht="12">
      <c r="A93" t="s">
        <v>143</v>
      </c>
      <c r="B93" t="s">
        <v>181</v>
      </c>
      <c r="C93">
        <f>+'at Pit'!C93+'at GB'!C93+'at Min'!C93+'vs Bal'!C93+'vs Det'!C93+'at Cle'!C93+'vs LA'!C93+'at Det'!C93+'vs NY'!C93+'vs StL'!C93+'vs GB'!C93+'at SF'!C93+'vs Min'!C93+'at Atl'!C93+'Gm 15'!C93+'Gm 16'!C93</f>
        <v>205</v>
      </c>
      <c r="D93">
        <f>+'at Pit'!D93+'at GB'!D93+'at Min'!D93+'vs Bal'!D93+'vs Det'!D93+'at Cle'!D93+'vs LA'!D93+'at Det'!D93+'vs NY'!D93+'vs StL'!D93+'vs GB'!D93+'at SF'!D93+'vs Min'!D93+'at Atl'!D93+'Gm 15'!D93+'Gm 16'!D93</f>
        <v>923</v>
      </c>
      <c r="E93" s="12">
        <f t="shared" si="2"/>
        <v>4.5024390243902435</v>
      </c>
      <c r="F93">
        <f>MAX('at Pit'!F93,'at GB'!F93,'at Min'!F93,'vs Bal'!F93,'vs Det'!F93,'at Cle'!F93,'vs LA'!F93,'at Det'!F93,'vs NY'!F93,'vs StL'!F93,'vs GB'!F93,'at SF'!F93,'vs Min'!F93,'at Atl'!F93,'Gm 15'!F93,'Gm 16'!F93)</f>
        <v>70</v>
      </c>
      <c r="G93">
        <f>+'at Pit'!G93+'at GB'!G93+'at Min'!G93+'vs Bal'!G93+'vs Det'!G93+'at Cle'!G93+'vs LA'!G93+'at Det'!G93+'vs NY'!G93+'vs StL'!G93+'vs GB'!G93+'at SF'!G93+'vs Min'!G93+'at Atl'!G93+'Gm 15'!G93+'Gm 16'!G93</f>
        <v>9</v>
      </c>
      <c r="H93">
        <f>+'at Pit'!H93+'at GB'!H93+'at Min'!H93+'vs Bal'!H93+'vs Det'!H93+'at Cle'!H93+'vs LA'!H93+'at Det'!H93+'vs NY'!H93+'vs StL'!H93+'vs GB'!H93+'at SF'!H93+'vs Min'!H93+'at Atl'!H93+'Gm 15'!H93+'Gm 16'!H93</f>
        <v>8</v>
      </c>
      <c r="M93" s="12"/>
    </row>
    <row r="94" spans="3:13" ht="12">
      <c r="C94">
        <f>+'at Pit'!C94+'at GB'!C94+'at Min'!C94+'vs Bal'!C94+'vs Det'!C94+'at Cle'!C94+'vs LA'!C94+'at Det'!C94+'vs NY'!C94+'vs StL'!C94+'vs GB'!C94+'at SF'!C94+'vs Min'!C94+'at Atl'!C94+'Gm 15'!C94+'Gm 16'!C94</f>
        <v>0</v>
      </c>
      <c r="D94">
        <f>+'at Pit'!D94+'at GB'!D94+'at Min'!D94+'vs Bal'!D94+'vs Det'!D94+'at Cle'!D94+'vs LA'!D94+'at Det'!D94+'vs NY'!D94+'vs StL'!D94+'vs GB'!D94+'at SF'!D94+'vs Min'!D94+'at Atl'!D94+'Gm 15'!D94+'Gm 16'!D94</f>
        <v>0</v>
      </c>
      <c r="E94" s="12">
        <f t="shared" si="2"/>
        <v>0</v>
      </c>
      <c r="F94">
        <f>MAX('at Pit'!F94,'at GB'!F94,'at Min'!F94,'vs Bal'!F94,'vs Det'!F94,'at Cle'!F94,'vs LA'!F94,'at Det'!F94,'vs NY'!F94,'vs StL'!F94,'vs GB'!F94,'at SF'!F94,'vs Min'!F94,'at Atl'!F94,'Gm 15'!F94,'Gm 16'!F94)</f>
        <v>0</v>
      </c>
      <c r="G94">
        <f>+'at Pit'!G94+'at GB'!G94+'at Min'!G94+'vs Bal'!G94+'vs Det'!G94+'at Cle'!G94+'vs LA'!G94+'at Det'!G94+'vs NY'!G94+'vs StL'!G94+'vs GB'!G94+'at SF'!G94+'vs Min'!G94+'at Atl'!G94+'Gm 15'!G94+'Gm 16'!G94</f>
        <v>0</v>
      </c>
      <c r="H94">
        <f>+'at Pit'!H94+'at GB'!H94+'at Min'!H94+'vs Bal'!H94+'vs Det'!H94+'at Cle'!H94+'vs LA'!H94+'at Det'!H94+'vs NY'!H94+'vs StL'!H94+'vs GB'!H94+'at SF'!H94+'vs Min'!H94+'at Atl'!H94+'Gm 15'!H94+'Gm 16'!H94</f>
        <v>0</v>
      </c>
      <c r="M94" s="12"/>
    </row>
    <row r="95" spans="3:13" ht="12">
      <c r="C95">
        <f>+'at Pit'!C95+'at GB'!C95+'at Min'!C95+'vs Bal'!C95+'vs Det'!C95+'at Cle'!C95+'vs LA'!C95+'at Det'!C95+'vs NY'!C95+'vs StL'!C95+'vs GB'!C95+'at SF'!C95+'vs Min'!C95+'at Atl'!C95+'Gm 15'!C95+'Gm 16'!C95</f>
        <v>0</v>
      </c>
      <c r="D95">
        <f>+'at Pit'!D95+'at GB'!D95+'at Min'!D95+'vs Bal'!D95+'vs Det'!D95+'at Cle'!D95+'vs LA'!D95+'at Det'!D95+'vs NY'!D95+'vs StL'!D95+'vs GB'!D95+'at SF'!D95+'vs Min'!D95+'at Atl'!D95+'Gm 15'!D95+'Gm 16'!D95</f>
        <v>0</v>
      </c>
      <c r="E95" s="12">
        <f>IF(C95=0,0,+D95/C95)</f>
        <v>0</v>
      </c>
      <c r="F95">
        <f>MAX('at Pit'!F95,'at GB'!F95,'at Min'!F95,'vs Bal'!F95,'vs Det'!F95,'at Cle'!F95,'vs LA'!F95,'at Det'!F95,'vs NY'!F95,'vs StL'!F95,'vs GB'!F95,'at SF'!F95,'vs Min'!F95,'at Atl'!F95,'Gm 15'!F95,'Gm 16'!F95)</f>
        <v>0</v>
      </c>
      <c r="G95">
        <f>+'at Pit'!G95+'at GB'!G95+'at Min'!G95+'vs Bal'!G95+'vs Det'!G95+'at Cle'!G95+'vs LA'!G95+'at Det'!G95+'vs NY'!G95+'vs StL'!G95+'vs GB'!G95+'at SF'!G95+'vs Min'!G95+'at Atl'!G95+'Gm 15'!G95+'Gm 16'!G95</f>
        <v>0</v>
      </c>
      <c r="H95">
        <f>+'at Pit'!H95+'at GB'!H95+'at Min'!H95+'vs Bal'!H95+'vs Det'!H95+'at Cle'!H95+'vs LA'!H95+'at Det'!H95+'vs NY'!H95+'vs StL'!H95+'vs GB'!H95+'at SF'!H95+'vs Min'!H95+'at Atl'!H95+'Gm 15'!H95+'Gm 16'!H95</f>
        <v>0</v>
      </c>
      <c r="M95" s="12"/>
    </row>
    <row r="96" spans="3:13" ht="12">
      <c r="C96">
        <f>+'at Pit'!C96+'at GB'!C96+'at Min'!C96+'vs Bal'!C96+'vs Det'!C96+'at Cle'!C96+'vs LA'!C96+'at Det'!C96+'vs NY'!C96+'vs StL'!C96+'vs GB'!C96+'at SF'!C96+'vs Min'!C96+'at Atl'!C96+'Gm 15'!C96+'Gm 16'!C96</f>
        <v>0</v>
      </c>
      <c r="D96">
        <f>+'at Pit'!D96+'at GB'!D96+'at Min'!D96+'vs Bal'!D96+'vs Det'!D96+'at Cle'!D96+'vs LA'!D96+'at Det'!D96+'vs NY'!D96+'vs StL'!D96+'vs GB'!D96+'at SF'!D96+'vs Min'!D96+'at Atl'!D96+'Gm 15'!D96+'Gm 16'!D96</f>
        <v>0</v>
      </c>
      <c r="E96" s="12">
        <f>IF(C96=0,0,+D96/C96)</f>
        <v>0</v>
      </c>
      <c r="F96">
        <f>MAX('at Pit'!F96,'at GB'!F96,'at Min'!F96,'vs Bal'!F96,'vs Det'!F96,'at Cle'!F96,'vs LA'!F96,'at Det'!F96,'vs NY'!F96,'vs StL'!F96,'vs GB'!F96,'at SF'!F96,'vs Min'!F96,'at Atl'!F96,'Gm 15'!F96,'Gm 16'!F96)</f>
        <v>0</v>
      </c>
      <c r="G96">
        <f>+'at Pit'!G96+'at GB'!G96+'at Min'!G96+'vs Bal'!G96+'vs Det'!G96+'at Cle'!G96+'vs LA'!G96+'at Det'!G96+'vs NY'!G96+'vs StL'!G96+'vs GB'!G96+'at SF'!G96+'vs Min'!G96+'at Atl'!G96+'Gm 15'!G96+'Gm 16'!G96</f>
        <v>0</v>
      </c>
      <c r="H96">
        <f>+'at Pit'!H96+'at GB'!H96+'at Min'!H96+'vs Bal'!H96+'vs Det'!H96+'at Cle'!H96+'vs LA'!H96+'at Det'!H96+'vs NY'!H96+'vs StL'!H96+'vs GB'!H96+'at SF'!H96+'vs Min'!H96+'at Atl'!H96+'Gm 15'!H96+'Gm 16'!H96</f>
        <v>0</v>
      </c>
      <c r="M96" s="12"/>
    </row>
    <row r="97" spans="3:13" ht="12">
      <c r="C97">
        <f>+'at Pit'!C97+'at GB'!C97+'at Min'!C97+'vs Bal'!C97+'vs Det'!C97+'at Cle'!C97+'vs LA'!C97+'at Det'!C97+'vs NY'!C97+'vs StL'!C97+'vs GB'!C97+'at SF'!C97+'vs Min'!C97+'at Atl'!C97+'Gm 15'!C97+'Gm 16'!C97</f>
        <v>0</v>
      </c>
      <c r="D97">
        <f>+'at Pit'!D97+'at GB'!D97+'at Min'!D97+'vs Bal'!D97+'vs Det'!D97+'at Cle'!D97+'vs LA'!D97+'at Det'!D97+'vs NY'!D97+'vs StL'!D97+'vs GB'!D97+'at SF'!D97+'vs Min'!D97+'at Atl'!D97+'Gm 15'!D97+'Gm 16'!D97</f>
        <v>0</v>
      </c>
      <c r="E97" s="12">
        <f>IF(C97=0,0,+D97/C97)</f>
        <v>0</v>
      </c>
      <c r="F97">
        <f>MAX('at Pit'!F97,'at GB'!F97,'at Min'!F97,'vs Bal'!F97,'vs Det'!F97,'at Cle'!F97,'vs LA'!F97,'at Det'!F97,'vs NY'!F97,'vs StL'!F97,'vs GB'!F97,'at SF'!F97,'vs Min'!F97,'at Atl'!F97,'Gm 15'!F97,'Gm 16'!F97)</f>
        <v>0</v>
      </c>
      <c r="G97">
        <f>+'at Pit'!G97+'at GB'!G97+'at Min'!G97+'vs Bal'!G97+'vs Det'!G97+'at Cle'!G97+'vs LA'!G97+'at Det'!G97+'vs NY'!G97+'vs StL'!G97+'vs GB'!G97+'at SF'!G97+'vs Min'!G97+'at Atl'!G97+'Gm 15'!G97+'Gm 16'!G97</f>
        <v>0</v>
      </c>
      <c r="H97">
        <f>+'at Pit'!H97+'at GB'!H97+'at Min'!H97+'vs Bal'!H97+'vs Det'!H97+'at Cle'!H97+'vs LA'!H97+'at Det'!H97+'vs NY'!H97+'vs StL'!H97+'vs GB'!H97+'at SF'!H97+'vs Min'!H97+'at Atl'!H97+'Gm 15'!H97+'Gm 16'!H97</f>
        <v>0</v>
      </c>
      <c r="M97" s="12"/>
    </row>
    <row r="98" spans="5:13" ht="12">
      <c r="E98" s="12"/>
      <c r="M98" s="12"/>
    </row>
    <row r="99" ht="12">
      <c r="E99" s="8"/>
    </row>
    <row r="100" spans="1:1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  <c r="K100" s="3"/>
      <c r="L100" s="3"/>
      <c r="M100" s="15"/>
      <c r="N100" s="3"/>
      <c r="P100" s="3"/>
      <c r="Q100" s="3"/>
      <c r="R100" s="3"/>
    </row>
    <row r="101" spans="1:18" ht="12">
      <c r="A101" t="s">
        <v>134</v>
      </c>
      <c r="B101" t="s">
        <v>181</v>
      </c>
      <c r="C101">
        <f>+'at Pit'!C101+'at GB'!C101+'at Min'!C101+'vs Bal'!C101+'vs Det'!C101+'at Cle'!C101+'vs LA'!C101+'at Det'!C101+'vs NY'!C101+'vs StL'!C101+'vs GB'!C101+'at SF'!C101+'vs Min'!C101+'at Atl'!C101+'Gm 15'!C101+'Gm 16'!C101</f>
        <v>23</v>
      </c>
      <c r="D101">
        <f>+'at Pit'!D101+'at GB'!D101+'at Min'!D101+'vs Bal'!D101+'vs Det'!D101+'at Cle'!D101+'vs LA'!D101+'at Det'!D101+'vs NY'!D101+'vs StL'!D101+'vs GB'!D101+'at SF'!D101+'vs Min'!D101+'at Atl'!D101+'Gm 15'!D101+'Gm 16'!D101</f>
        <v>359</v>
      </c>
      <c r="E101" s="12">
        <f aca="true" t="shared" si="3" ref="E101:E114">IF(C101=0,0,+D101/C101)</f>
        <v>15.608695652173912</v>
      </c>
      <c r="F101">
        <f>MAX('at Pit'!F101,'at GB'!F101,'at Min'!F101,'vs Bal'!F101,'vs Det'!F101,'at Cle'!F101,'vs LA'!F101,'at Det'!F101,'vs NY'!F101,'vs StL'!F101,'vs GB'!F101,'at SF'!F101,'vs Min'!F101,'at Atl'!F101,'Gm 15'!F101,'Gm 16'!F101)</f>
        <v>28</v>
      </c>
      <c r="G101">
        <f>+'at Pit'!G101+'at GB'!G101+'at Min'!G101+'vs Bal'!G101+'vs Det'!G101+'at Cle'!G101+'vs LA'!G101+'at Det'!G101+'vs NY'!G101+'vs StL'!G101+'vs GB'!G101+'at SF'!G101+'vs Min'!G101+'at Atl'!G101+'Gm 15'!G101+'Gm 16'!G101</f>
        <v>1</v>
      </c>
      <c r="H101">
        <f>+'at Pit'!H101+'at GB'!H101+'at Min'!H101+'vs Bal'!H101+'vs Det'!H101+'at Cle'!H101+'vs LA'!H101+'at Det'!H101+'vs NY'!H101+'vs StL'!H101+'vs GB'!H101+'at SF'!H101+'vs Min'!H101+'at Atl'!H101+'Gm 15'!H101+'Gm 16'!H101</f>
        <v>0</v>
      </c>
      <c r="M101" s="12"/>
      <c r="P101" s="17"/>
      <c r="Q101" s="17"/>
      <c r="R101" s="17"/>
    </row>
    <row r="102" spans="1:18" ht="12">
      <c r="A102" t="s">
        <v>144</v>
      </c>
      <c r="B102" t="s">
        <v>181</v>
      </c>
      <c r="C102">
        <f>+'at Pit'!C102+'at GB'!C102+'at Min'!C102+'vs Bal'!C102+'vs Det'!C102+'at Cle'!C102+'vs LA'!C102+'at Det'!C102+'vs NY'!C102+'vs StL'!C102+'vs GB'!C102+'at SF'!C102+'vs Min'!C102+'at Atl'!C102+'Gm 15'!C102+'Gm 16'!C102</f>
        <v>11</v>
      </c>
      <c r="D102">
        <f>+'at Pit'!D102+'at GB'!D102+'at Min'!D102+'vs Bal'!D102+'vs Det'!D102+'at Cle'!D102+'vs LA'!D102+'at Det'!D102+'vs NY'!D102+'vs StL'!D102+'vs GB'!D102+'at SF'!D102+'vs Min'!D102+'at Atl'!D102+'Gm 15'!D102+'Gm 16'!D102</f>
        <v>102</v>
      </c>
      <c r="E102" s="12">
        <f t="shared" si="3"/>
        <v>9.272727272727273</v>
      </c>
      <c r="F102">
        <f>MAX('at Pit'!F102,'at GB'!F102,'at Min'!F102,'vs Bal'!F102,'vs Det'!F102,'at Cle'!F102,'vs LA'!F102,'at Det'!F102,'vs NY'!F102,'vs StL'!F102,'vs GB'!F102,'at SF'!F102,'vs Min'!F102,'at Atl'!F102,'Gm 15'!F102,'Gm 16'!F102)</f>
        <v>19</v>
      </c>
      <c r="G102">
        <f>+'at Pit'!G102+'at GB'!G102+'at Min'!G102+'vs Bal'!G102+'vs Det'!G102+'at Cle'!G102+'vs LA'!G102+'at Det'!G102+'vs NY'!G102+'vs StL'!G102+'vs GB'!G102+'at SF'!G102+'vs Min'!G102+'at Atl'!G102+'Gm 15'!G102+'Gm 16'!G102</f>
        <v>0</v>
      </c>
      <c r="H102">
        <f>+'at Pit'!H102+'at GB'!H102+'at Min'!H102+'vs Bal'!H102+'vs Det'!H102+'at Cle'!H102+'vs LA'!H102+'at Det'!H102+'vs NY'!H102+'vs StL'!H102+'vs GB'!H102+'at SF'!H102+'vs Min'!H102+'at Atl'!H102+'Gm 15'!H102+'Gm 16'!H102</f>
        <v>0</v>
      </c>
      <c r="M102" s="12"/>
      <c r="P102" s="17"/>
      <c r="Q102" s="17"/>
      <c r="R102" s="17"/>
    </row>
    <row r="103" spans="1:18" ht="12">
      <c r="A103" t="s">
        <v>136</v>
      </c>
      <c r="B103" t="s">
        <v>181</v>
      </c>
      <c r="C103">
        <f>+'at Pit'!C103+'at GB'!C103+'at Min'!C103+'vs Bal'!C103+'vs Det'!C103+'at Cle'!C103+'vs LA'!C103+'at Det'!C103+'vs NY'!C103+'vs StL'!C103+'vs GB'!C103+'at SF'!C103+'vs Min'!C103+'at Atl'!C103+'Gm 15'!C103+'Gm 16'!C103</f>
        <v>31</v>
      </c>
      <c r="D103">
        <f>+'at Pit'!D103+'at GB'!D103+'at Min'!D103+'vs Bal'!D103+'vs Det'!D103+'at Cle'!D103+'vs LA'!D103+'at Det'!D103+'vs NY'!D103+'vs StL'!D103+'vs GB'!D103+'at SF'!D103+'vs Min'!D103+'at Atl'!D103+'Gm 15'!D103+'Gm 16'!D103</f>
        <v>407</v>
      </c>
      <c r="E103" s="12">
        <f t="shared" si="3"/>
        <v>13.129032258064516</v>
      </c>
      <c r="F103">
        <f>MAX('at Pit'!F103,'at GB'!F103,'at Min'!F103,'vs Bal'!F103,'vs Det'!F103,'at Cle'!F103,'vs LA'!F103,'at Det'!F103,'vs NY'!F103,'vs StL'!F103,'vs GB'!F103,'at SF'!F103,'vs Min'!F103,'at Atl'!F103,'Gm 15'!F103,'Gm 16'!F103)</f>
        <v>31</v>
      </c>
      <c r="G103">
        <f>+'at Pit'!G103+'at GB'!G103+'at Min'!G103+'vs Bal'!G103+'vs Det'!G103+'at Cle'!G103+'vs LA'!G103+'at Det'!G103+'vs NY'!G103+'vs StL'!G103+'vs GB'!G103+'at SF'!G103+'vs Min'!G103+'at Atl'!G103+'Gm 15'!G103+'Gm 16'!G103</f>
        <v>3</v>
      </c>
      <c r="H103">
        <f>+'at Pit'!H103+'at GB'!H103+'at Min'!H103+'vs Bal'!H103+'vs Det'!H103+'at Cle'!H103+'vs LA'!H103+'at Det'!H103+'vs NY'!H103+'vs StL'!H103+'vs GB'!H103+'at SF'!H103+'vs Min'!H103+'at Atl'!H103+'Gm 15'!H103+'Gm 16'!H103</f>
        <v>1</v>
      </c>
      <c r="M103" s="12"/>
      <c r="P103" s="17"/>
      <c r="Q103" s="17"/>
      <c r="R103" s="17"/>
    </row>
    <row r="104" spans="1:18" ht="12">
      <c r="A104" t="s">
        <v>145</v>
      </c>
      <c r="B104" t="s">
        <v>181</v>
      </c>
      <c r="C104">
        <f>+'at Pit'!C104+'at GB'!C104+'at Min'!C104+'vs Bal'!C104+'vs Det'!C104+'at Cle'!C104+'vs LA'!C104+'at Det'!C104+'vs NY'!C104+'vs StL'!C104+'vs GB'!C104+'at SF'!C104+'vs Min'!C104+'at Atl'!C104+'Gm 15'!C104+'Gm 16'!C104</f>
        <v>3</v>
      </c>
      <c r="D104">
        <f>+'at Pit'!D104+'at GB'!D104+'at Min'!D104+'vs Bal'!D104+'vs Det'!D104+'at Cle'!D104+'vs LA'!D104+'at Det'!D104+'vs NY'!D104+'vs StL'!D104+'vs GB'!D104+'at SF'!D104+'vs Min'!D104+'at Atl'!D104+'Gm 15'!D104+'Gm 16'!D104</f>
        <v>86</v>
      </c>
      <c r="E104" s="12">
        <f t="shared" si="3"/>
        <v>28.666666666666668</v>
      </c>
      <c r="F104">
        <f>MAX('at Pit'!F104,'at GB'!F104,'at Min'!F104,'vs Bal'!F104,'vs Det'!F104,'at Cle'!F104,'vs LA'!F104,'at Det'!F104,'vs NY'!F104,'vs StL'!F104,'vs GB'!F104,'at SF'!F104,'vs Min'!F104,'at Atl'!F104,'Gm 15'!F104,'Gm 16'!F104)</f>
        <v>36</v>
      </c>
      <c r="G104">
        <f>+'at Pit'!G104+'at GB'!G104+'at Min'!G104+'vs Bal'!G104+'vs Det'!G104+'at Cle'!G104+'vs LA'!G104+'at Det'!G104+'vs NY'!G104+'vs StL'!G104+'vs GB'!G104+'at SF'!G104+'vs Min'!G104+'at Atl'!G104+'Gm 15'!G104+'Gm 16'!G104</f>
        <v>0</v>
      </c>
      <c r="H104">
        <f>+'at Pit'!H104+'at GB'!H104+'at Min'!H104+'vs Bal'!H104+'vs Det'!H104+'at Cle'!H104+'vs LA'!H104+'at Det'!H104+'vs NY'!H104+'vs StL'!H104+'vs GB'!H104+'at SF'!H104+'vs Min'!H104+'at Atl'!H104+'Gm 15'!H104+'Gm 16'!H104</f>
        <v>0</v>
      </c>
      <c r="M104" s="12"/>
      <c r="P104" s="17"/>
      <c r="Q104" s="17"/>
      <c r="R104" s="17"/>
    </row>
    <row r="105" spans="1:18" ht="12">
      <c r="A105" t="s">
        <v>137</v>
      </c>
      <c r="B105" t="s">
        <v>181</v>
      </c>
      <c r="C105">
        <f>+'at Pit'!C105+'at GB'!C105+'at Min'!C105+'vs Bal'!C105+'vs Det'!C105+'at Cle'!C105+'vs LA'!C105+'at Det'!C105+'vs NY'!C105+'vs StL'!C105+'vs GB'!C105+'at SF'!C105+'vs Min'!C105+'at Atl'!C105+'Gm 15'!C105+'Gm 16'!C105</f>
        <v>7</v>
      </c>
      <c r="D105">
        <f>+'at Pit'!D105+'at GB'!D105+'at Min'!D105+'vs Bal'!D105+'vs Det'!D105+'at Cle'!D105+'vs LA'!D105+'at Det'!D105+'vs NY'!D105+'vs StL'!D105+'vs GB'!D105+'at SF'!D105+'vs Min'!D105+'at Atl'!D105+'Gm 15'!D105+'Gm 16'!D105</f>
        <v>152</v>
      </c>
      <c r="E105" s="12">
        <f t="shared" si="3"/>
        <v>21.714285714285715</v>
      </c>
      <c r="F105">
        <f>MAX('at Pit'!F105,'at GB'!F105,'at Min'!F105,'vs Bal'!F105,'vs Det'!F105,'at Cle'!F105,'vs LA'!F105,'at Det'!F105,'vs NY'!F105,'vs StL'!F105,'vs GB'!F105,'at SF'!F105,'vs Min'!F105,'at Atl'!F105,'Gm 15'!F105,'Gm 16'!F105)</f>
        <v>31</v>
      </c>
      <c r="G105">
        <f>+'at Pit'!G105+'at GB'!G105+'at Min'!G105+'vs Bal'!G105+'vs Det'!G105+'at Cle'!G105+'vs LA'!G105+'at Det'!G105+'vs NY'!G105+'vs StL'!G105+'vs GB'!G105+'at SF'!G105+'vs Min'!G105+'at Atl'!G105+'Gm 15'!G105+'Gm 16'!G105</f>
        <v>1</v>
      </c>
      <c r="H105">
        <f>+'at Pit'!H105+'at GB'!H105+'at Min'!H105+'vs Bal'!H105+'vs Det'!H105+'at Cle'!H105+'vs LA'!H105+'at Det'!H105+'vs NY'!H105+'vs StL'!H105+'vs GB'!H105+'at SF'!H105+'vs Min'!H105+'at Atl'!H105+'Gm 15'!H105+'Gm 16'!H105</f>
        <v>0</v>
      </c>
      <c r="M105" s="12"/>
      <c r="P105" s="17"/>
      <c r="Q105" s="17"/>
      <c r="R105" s="17"/>
    </row>
    <row r="106" spans="1:18" ht="12">
      <c r="A106" t="s">
        <v>138</v>
      </c>
      <c r="B106" t="s">
        <v>181</v>
      </c>
      <c r="C106">
        <f>+'at Pit'!C106+'at GB'!C106+'at Min'!C106+'vs Bal'!C106+'vs Det'!C106+'at Cle'!C106+'vs LA'!C106+'at Det'!C106+'vs NY'!C106+'vs StL'!C106+'vs GB'!C106+'at SF'!C106+'vs Min'!C106+'at Atl'!C106+'Gm 15'!C106+'Gm 16'!C106</f>
        <v>6</v>
      </c>
      <c r="D106">
        <f>+'at Pit'!D106+'at GB'!D106+'at Min'!D106+'vs Bal'!D106+'vs Det'!D106+'at Cle'!D106+'vs LA'!D106+'at Det'!D106+'vs NY'!D106+'vs StL'!D106+'vs GB'!D106+'at SF'!D106+'vs Min'!D106+'at Atl'!D106+'Gm 15'!D106+'Gm 16'!D106</f>
        <v>38</v>
      </c>
      <c r="E106" s="12">
        <f t="shared" si="3"/>
        <v>6.333333333333333</v>
      </c>
      <c r="F106">
        <f>MAX('at Pit'!F106,'at GB'!F106,'at Min'!F106,'vs Bal'!F106,'vs Det'!F106,'at Cle'!F106,'vs LA'!F106,'at Det'!F106,'vs NY'!F106,'vs StL'!F106,'vs GB'!F106,'at SF'!F106,'vs Min'!F106,'at Atl'!F106,'Gm 15'!F106,'Gm 16'!F106)</f>
        <v>21</v>
      </c>
      <c r="G106">
        <f>+'at Pit'!G106+'at GB'!G106+'at Min'!G106+'vs Bal'!G106+'vs Det'!G106+'at Cle'!G106+'vs LA'!G106+'at Det'!G106+'vs NY'!G106+'vs StL'!G106+'vs GB'!G106+'at SF'!G106+'vs Min'!G106+'at Atl'!G106+'Gm 15'!G106+'Gm 16'!G106</f>
        <v>0</v>
      </c>
      <c r="H106">
        <f>+'at Pit'!H106+'at GB'!H106+'at Min'!H106+'vs Bal'!H106+'vs Det'!H106+'at Cle'!H106+'vs LA'!H106+'at Det'!H106+'vs NY'!H106+'vs StL'!H106+'vs GB'!H106+'at SF'!H106+'vs Min'!H106+'at Atl'!H106+'Gm 15'!H106+'Gm 16'!H106</f>
        <v>0</v>
      </c>
      <c r="M106" s="12"/>
      <c r="P106" s="17"/>
      <c r="Q106" s="17"/>
      <c r="R106" s="17"/>
    </row>
    <row r="107" spans="1:18" ht="12">
      <c r="A107" t="s">
        <v>139</v>
      </c>
      <c r="B107" t="s">
        <v>181</v>
      </c>
      <c r="C107">
        <f>+'at Pit'!C107+'at GB'!C107+'at Min'!C107+'vs Bal'!C107+'vs Det'!C107+'at Cle'!C107+'vs LA'!C107+'at Det'!C107+'vs NY'!C107+'vs StL'!C107+'vs GB'!C107+'at SF'!C107+'vs Min'!C107+'at Atl'!C107+'Gm 15'!C107+'Gm 16'!C107</f>
        <v>7</v>
      </c>
      <c r="D107">
        <f>+'at Pit'!D107+'at GB'!D107+'at Min'!D107+'vs Bal'!D107+'vs Det'!D107+'at Cle'!D107+'vs LA'!D107+'at Det'!D107+'vs NY'!D107+'vs StL'!D107+'vs GB'!D107+'at SF'!D107+'vs Min'!D107+'at Atl'!D107+'Gm 15'!D107+'Gm 16'!D107</f>
        <v>117</v>
      </c>
      <c r="E107" s="12">
        <f t="shared" si="3"/>
        <v>16.714285714285715</v>
      </c>
      <c r="F107">
        <f>MAX('at Pit'!F107,'at GB'!F107,'at Min'!F107,'vs Bal'!F107,'vs Det'!F107,'at Cle'!F107,'vs LA'!F107,'at Det'!F107,'vs NY'!F107,'vs StL'!F107,'vs GB'!F107,'at SF'!F107,'vs Min'!F107,'at Atl'!F107,'Gm 15'!F107,'Gm 16'!F107)</f>
        <v>30</v>
      </c>
      <c r="G107">
        <f>+'at Pit'!G107+'at GB'!G107+'at Min'!G107+'vs Bal'!G107+'vs Det'!G107+'at Cle'!G107+'vs LA'!G107+'at Det'!G107+'vs NY'!G107+'vs StL'!G107+'vs GB'!G107+'at SF'!G107+'vs Min'!G107+'at Atl'!G107+'Gm 15'!G107+'Gm 16'!G107</f>
        <v>0</v>
      </c>
      <c r="H107">
        <f>+'at Pit'!H107+'at GB'!H107+'at Min'!H107+'vs Bal'!H107+'vs Det'!H107+'at Cle'!H107+'vs LA'!H107+'at Det'!H107+'vs NY'!H107+'vs StL'!H107+'vs GB'!H107+'at SF'!H107+'vs Min'!H107+'at Atl'!H107+'Gm 15'!H107+'Gm 16'!H107</f>
        <v>0</v>
      </c>
      <c r="M107" s="12"/>
      <c r="P107" s="17"/>
      <c r="Q107" s="17"/>
      <c r="R107" s="17"/>
    </row>
    <row r="108" spans="1:18" ht="12">
      <c r="A108" t="s">
        <v>140</v>
      </c>
      <c r="B108" t="s">
        <v>181</v>
      </c>
      <c r="C108">
        <f>+'at Pit'!C108+'at GB'!C108+'at Min'!C108+'vs Bal'!C108+'vs Det'!C108+'at Cle'!C108+'vs LA'!C108+'at Det'!C108+'vs NY'!C108+'vs StL'!C108+'vs GB'!C108+'at SF'!C108+'vs Min'!C108+'at Atl'!C108+'Gm 15'!C108+'Gm 16'!C108</f>
        <v>23</v>
      </c>
      <c r="D108">
        <f>+'at Pit'!D108+'at GB'!D108+'at Min'!D108+'vs Bal'!D108+'vs Det'!D108+'at Cle'!D108+'vs LA'!D108+'at Det'!D108+'vs NY'!D108+'vs StL'!D108+'vs GB'!D108+'at SF'!D108+'vs Min'!D108+'at Atl'!D108+'Gm 15'!D108+'Gm 16'!D108</f>
        <v>323</v>
      </c>
      <c r="E108" s="12">
        <f t="shared" si="3"/>
        <v>14.043478260869565</v>
      </c>
      <c r="F108">
        <f>MAX('at Pit'!F108,'at GB'!F108,'at Min'!F108,'vs Bal'!F108,'vs Det'!F108,'at Cle'!F108,'vs LA'!F108,'at Det'!F108,'vs NY'!F108,'vs StL'!F108,'vs GB'!F108,'at SF'!F108,'vs Min'!F108,'at Atl'!F108,'Gm 15'!F108,'Gm 16'!F108)</f>
        <v>31</v>
      </c>
      <c r="G108">
        <f>+'at Pit'!G108+'at GB'!G108+'at Min'!G108+'vs Bal'!G108+'vs Det'!G108+'at Cle'!G108+'vs LA'!G108+'at Det'!G108+'vs NY'!G108+'vs StL'!G108+'vs GB'!G108+'at SF'!G108+'vs Min'!G108+'at Atl'!G108+'Gm 15'!G108+'Gm 16'!G108</f>
        <v>0</v>
      </c>
      <c r="H108">
        <f>+'at Pit'!H108+'at GB'!H108+'at Min'!H108+'vs Bal'!H108+'vs Det'!H108+'at Cle'!H108+'vs LA'!H108+'at Det'!H108+'vs NY'!H108+'vs StL'!H108+'vs GB'!H108+'at SF'!H108+'vs Min'!H108+'at Atl'!H108+'Gm 15'!H108+'Gm 16'!H108</f>
        <v>0</v>
      </c>
      <c r="M108" s="12"/>
      <c r="P108" s="17"/>
      <c r="Q108" s="17"/>
      <c r="R108" s="17"/>
    </row>
    <row r="109" spans="1:18" ht="12">
      <c r="A109" t="s">
        <v>141</v>
      </c>
      <c r="B109" t="s">
        <v>181</v>
      </c>
      <c r="C109">
        <f>+'at Pit'!C109+'at GB'!C109+'at Min'!C109+'vs Bal'!C109+'vs Det'!C109+'at Cle'!C109+'vs LA'!C109+'at Det'!C109+'vs NY'!C109+'vs StL'!C109+'vs GB'!C109+'at SF'!C109+'vs Min'!C109+'at Atl'!C109+'Gm 15'!C109+'Gm 16'!C109</f>
        <v>17</v>
      </c>
      <c r="D109">
        <f>+'at Pit'!D109+'at GB'!D109+'at Min'!D109+'vs Bal'!D109+'vs Det'!D109+'at Cle'!D109+'vs LA'!D109+'at Det'!D109+'vs NY'!D109+'vs StL'!D109+'vs GB'!D109+'at SF'!D109+'vs Min'!D109+'at Atl'!D109+'Gm 15'!D109+'Gm 16'!D109</f>
        <v>138</v>
      </c>
      <c r="E109" s="12">
        <f t="shared" si="3"/>
        <v>8.117647058823529</v>
      </c>
      <c r="F109">
        <f>MAX('at Pit'!F109,'at GB'!F109,'at Min'!F109,'vs Bal'!F109,'vs Det'!F109,'at Cle'!F109,'vs LA'!F109,'at Det'!F109,'vs NY'!F109,'vs StL'!F109,'vs GB'!F109,'at SF'!F109,'vs Min'!F109,'at Atl'!F109,'Gm 15'!F109,'Gm 16'!F109)</f>
        <v>14</v>
      </c>
      <c r="G109">
        <f>+'at Pit'!G109+'at GB'!G109+'at Min'!G109+'vs Bal'!G109+'vs Det'!G109+'at Cle'!G109+'vs LA'!G109+'at Det'!G109+'vs NY'!G109+'vs StL'!G109+'vs GB'!G109+'at SF'!G109+'vs Min'!G109+'at Atl'!G109+'Gm 15'!G109+'Gm 16'!G109</f>
        <v>0</v>
      </c>
      <c r="H109">
        <f>+'at Pit'!H109+'at GB'!H109+'at Min'!H109+'vs Bal'!H109+'vs Det'!H109+'at Cle'!H109+'vs LA'!H109+'at Det'!H109+'vs NY'!H109+'vs StL'!H109+'vs GB'!H109+'at SF'!H109+'vs Min'!H109+'at Atl'!H109+'Gm 15'!H109+'Gm 16'!H109</f>
        <v>0</v>
      </c>
      <c r="M109" s="12"/>
      <c r="P109" s="17"/>
      <c r="Q109" s="17"/>
      <c r="R109" s="17"/>
    </row>
    <row r="110" spans="1:18" ht="12">
      <c r="A110" t="s">
        <v>143</v>
      </c>
      <c r="B110" t="s">
        <v>181</v>
      </c>
      <c r="C110">
        <f>+'at Pit'!C110+'at GB'!C110+'at Min'!C110+'vs Bal'!C110+'vs Det'!C110+'at Cle'!C110+'vs LA'!C110+'at Det'!C110+'vs NY'!C110+'vs StL'!C110+'vs GB'!C110+'at SF'!C110+'vs Min'!C110+'at Atl'!C110+'Gm 15'!C110+'Gm 16'!C110</f>
        <v>17</v>
      </c>
      <c r="D110">
        <f>+'at Pit'!D110+'at GB'!D110+'at Min'!D110+'vs Bal'!D110+'vs Det'!D110+'at Cle'!D110+'vs LA'!D110+'at Det'!D110+'vs NY'!D110+'vs StL'!D110+'vs GB'!D110+'at SF'!D110+'vs Min'!D110+'at Atl'!D110+'Gm 15'!D110+'Gm 16'!D110</f>
        <v>146</v>
      </c>
      <c r="E110" s="12">
        <f t="shared" si="3"/>
        <v>8.588235294117647</v>
      </c>
      <c r="F110">
        <f>MAX('at Pit'!F110,'at GB'!F110,'at Min'!F110,'vs Bal'!F110,'vs Det'!F110,'at Cle'!F110,'vs LA'!F110,'at Det'!F110,'vs NY'!F110,'vs StL'!F110,'vs GB'!F110,'at SF'!F110,'vs Min'!F110,'at Atl'!F110,'Gm 15'!F110,'Gm 16'!F110)</f>
        <v>25</v>
      </c>
      <c r="G110">
        <f>+'at Pit'!G110+'at GB'!G110+'at Min'!G110+'vs Bal'!G110+'vs Det'!G110+'at Cle'!G110+'vs LA'!G110+'at Det'!G110+'vs NY'!G110+'vs StL'!G110+'vs GB'!G110+'at SF'!G110+'vs Min'!G110+'at Atl'!G110+'Gm 15'!G110+'Gm 16'!G110</f>
        <v>1</v>
      </c>
      <c r="H110">
        <f>+'at Pit'!H110+'at GB'!H110+'at Min'!H110+'vs Bal'!H110+'vs Det'!H110+'at Cle'!H110+'vs LA'!H110+'at Det'!H110+'vs NY'!H110+'vs StL'!H110+'vs GB'!H110+'at SF'!H110+'vs Min'!H110+'at Atl'!H110+'Gm 15'!H110+'Gm 16'!H110</f>
        <v>0</v>
      </c>
      <c r="M110" s="12"/>
      <c r="P110" s="17"/>
      <c r="Q110" s="17"/>
      <c r="R110" s="17"/>
    </row>
    <row r="111" spans="1:18" ht="12">
      <c r="A111" t="s">
        <v>146</v>
      </c>
      <c r="B111" t="s">
        <v>181</v>
      </c>
      <c r="C111">
        <f>+'at Pit'!C111+'at GB'!C111+'at Min'!C111+'vs Bal'!C111+'vs Det'!C111+'at Cle'!C111+'vs LA'!C111+'at Det'!C111+'vs NY'!C111+'vs StL'!C111+'vs GB'!C111+'at SF'!C111+'vs Min'!C111+'at Atl'!C111+'Gm 15'!C111+'Gm 16'!C111</f>
        <v>1</v>
      </c>
      <c r="D111">
        <f>+'at Pit'!D111+'at GB'!D111+'at Min'!D111+'vs Bal'!D111+'vs Det'!D111+'at Cle'!D111+'vs LA'!D111+'at Det'!D111+'vs NY'!D111+'vs StL'!D111+'vs GB'!D111+'at SF'!D111+'vs Min'!D111+'at Atl'!D111+'Gm 15'!D111+'Gm 16'!D111</f>
        <v>10</v>
      </c>
      <c r="E111" s="12">
        <f t="shared" si="3"/>
        <v>10</v>
      </c>
      <c r="F111">
        <f>MAX('at Pit'!F111,'at GB'!F111,'at Min'!F111,'vs Bal'!F111,'vs Det'!F111,'at Cle'!F111,'vs LA'!F111,'at Det'!F111,'vs NY'!F111,'vs StL'!F111,'vs GB'!F111,'at SF'!F111,'vs Min'!F111,'at Atl'!F111,'Gm 15'!F111,'Gm 16'!F111)</f>
        <v>10</v>
      </c>
      <c r="G111">
        <f>+'at Pit'!G111+'at GB'!G111+'at Min'!G111+'vs Bal'!G111+'vs Det'!G111+'at Cle'!G111+'vs LA'!G111+'at Det'!G111+'vs NY'!G111+'vs StL'!G111+'vs GB'!G111+'at SF'!G111+'vs Min'!G111+'at Atl'!G111+'Gm 15'!G111+'Gm 16'!G111</f>
        <v>0</v>
      </c>
      <c r="H111">
        <f>+'at Pit'!H111+'at GB'!H111+'at Min'!H111+'vs Bal'!H111+'vs Det'!H111+'at Cle'!H111+'vs LA'!H111+'at Det'!H111+'vs NY'!H111+'vs StL'!H111+'vs GB'!H111+'at SF'!H111+'vs Min'!H111+'at Atl'!H111+'Gm 15'!H111+'Gm 16'!H111</f>
        <v>0</v>
      </c>
      <c r="M111" s="12"/>
      <c r="P111" s="17"/>
      <c r="Q111" s="17"/>
      <c r="R111" s="17"/>
    </row>
    <row r="112" spans="3:18" ht="12">
      <c r="C112">
        <f>+'at Pit'!C112+'at GB'!C112+'at Min'!C112+'vs Bal'!C112+'vs Det'!C112+'at Cle'!C112+'vs LA'!C112+'at Det'!C112+'vs NY'!C112+'vs StL'!C112+'vs GB'!C112+'at SF'!C112+'vs Min'!C112+'at Atl'!C112+'Gm 15'!C112+'Gm 16'!C112</f>
        <v>0</v>
      </c>
      <c r="D112">
        <f>+'at Pit'!D112+'at GB'!D112+'at Min'!D112+'vs Bal'!D112+'vs Det'!D112+'at Cle'!D112+'vs LA'!D112+'at Det'!D112+'vs NY'!D112+'vs StL'!D112+'vs GB'!D112+'at SF'!D112+'vs Min'!D112+'at Atl'!D112+'Gm 15'!D112+'Gm 16'!D112</f>
        <v>0</v>
      </c>
      <c r="E112" s="12">
        <f t="shared" si="3"/>
        <v>0</v>
      </c>
      <c r="F112">
        <f>MAX('at Pit'!F112,'at GB'!F112,'at Min'!F112,'vs Bal'!F112,'vs Det'!F112,'at Cle'!F112,'vs LA'!F112,'at Det'!F112,'vs NY'!F112,'vs StL'!F112,'vs GB'!F112,'at SF'!F112,'vs Min'!F112,'at Atl'!F112,'Gm 15'!F112,'Gm 16'!F112)</f>
        <v>0</v>
      </c>
      <c r="G112">
        <f>+'at Pit'!G112+'at GB'!G112+'at Min'!G112+'vs Bal'!G112+'vs Det'!G112+'at Cle'!G112+'vs LA'!G112+'at Det'!G112+'vs NY'!G112+'vs StL'!G112+'vs GB'!G112+'at SF'!G112+'vs Min'!G112+'at Atl'!G112+'Gm 15'!G112+'Gm 16'!G112</f>
        <v>0</v>
      </c>
      <c r="H112">
        <f>+'at Pit'!H112+'at GB'!H112+'at Min'!H112+'vs Bal'!H112+'vs Det'!H112+'at Cle'!H112+'vs LA'!H112+'at Det'!H112+'vs NY'!H112+'vs StL'!H112+'vs GB'!H112+'at SF'!H112+'vs Min'!H112+'at Atl'!H112+'Gm 15'!H112+'Gm 16'!H112</f>
        <v>0</v>
      </c>
      <c r="M112" s="12"/>
      <c r="P112" s="17"/>
      <c r="Q112" s="17"/>
      <c r="R112" s="17"/>
    </row>
    <row r="113" spans="3:18" ht="12">
      <c r="C113">
        <f>+'at Pit'!C113+'at GB'!C113+'at Min'!C113+'vs Bal'!C113+'vs Det'!C113+'at Cle'!C113+'vs LA'!C113+'at Det'!C113+'vs NY'!C113+'vs StL'!C113+'vs GB'!C113+'at SF'!C113+'vs Min'!C113+'at Atl'!C113+'Gm 15'!C113+'Gm 16'!C113</f>
        <v>0</v>
      </c>
      <c r="D113">
        <f>+'at Pit'!D113+'at GB'!D113+'at Min'!D113+'vs Bal'!D113+'vs Det'!D113+'at Cle'!D113+'vs LA'!D113+'at Det'!D113+'vs NY'!D113+'vs StL'!D113+'vs GB'!D113+'at SF'!D113+'vs Min'!D113+'at Atl'!D113+'Gm 15'!D113+'Gm 16'!D113</f>
        <v>0</v>
      </c>
      <c r="E113" s="12">
        <f t="shared" si="3"/>
        <v>0</v>
      </c>
      <c r="F113">
        <f>MAX('at Pit'!F113,'at GB'!F113,'at Min'!F113,'vs Bal'!F113,'vs Det'!F113,'at Cle'!F113,'vs LA'!F113,'at Det'!F113,'vs NY'!F113,'vs StL'!F113,'vs GB'!F113,'at SF'!F113,'vs Min'!F113,'at Atl'!F113,'Gm 15'!F113,'Gm 16'!F113)</f>
        <v>0</v>
      </c>
      <c r="G113">
        <f>+'at Pit'!G113+'at GB'!G113+'at Min'!G113+'vs Bal'!G113+'vs Det'!G113+'at Cle'!G113+'vs LA'!G113+'at Det'!G113+'vs NY'!G113+'vs StL'!G113+'vs GB'!G113+'at SF'!G113+'vs Min'!G113+'at Atl'!G113+'Gm 15'!G113+'Gm 16'!G113</f>
        <v>0</v>
      </c>
      <c r="H113">
        <f>+'at Pit'!H113+'at GB'!H113+'at Min'!H113+'vs Bal'!H113+'vs Det'!H113+'at Cle'!H113+'vs LA'!H113+'at Det'!H113+'vs NY'!H113+'vs StL'!H113+'vs GB'!H113+'at SF'!H113+'vs Min'!H113+'at Atl'!H113+'Gm 15'!H113+'Gm 16'!H113</f>
        <v>0</v>
      </c>
      <c r="M113" s="12"/>
      <c r="P113" s="17"/>
      <c r="Q113" s="17"/>
      <c r="R113" s="17"/>
    </row>
    <row r="114" spans="3:18" ht="12">
      <c r="C114">
        <f>+'at Pit'!C114+'at GB'!C114+'at Min'!C114+'vs Bal'!C114+'vs Det'!C114+'at Cle'!C114+'vs LA'!C114+'at Det'!C114+'vs NY'!C114+'vs StL'!C114+'vs GB'!C114+'at SF'!C114+'vs Min'!C114+'at Atl'!C114+'Gm 15'!C114+'Gm 16'!C114</f>
        <v>0</v>
      </c>
      <c r="D114">
        <f>+'at Pit'!D114+'at GB'!D114+'at Min'!D114+'vs Bal'!D114+'vs Det'!D114+'at Cle'!D114+'vs LA'!D114+'at Det'!D114+'vs NY'!D114+'vs StL'!D114+'vs GB'!D114+'at SF'!D114+'vs Min'!D114+'at Atl'!D114+'Gm 15'!D114+'Gm 16'!D114</f>
        <v>0</v>
      </c>
      <c r="E114" s="12">
        <f t="shared" si="3"/>
        <v>0</v>
      </c>
      <c r="F114">
        <f>MAX('at Pit'!F114,'at GB'!F114,'at Min'!F114,'vs Bal'!F114,'vs Det'!F114,'at Cle'!F114,'vs LA'!F114,'at Det'!F114,'vs NY'!F114,'vs StL'!F114,'vs GB'!F114,'at SF'!F114,'vs Min'!F114,'at Atl'!F114,'Gm 15'!F114,'Gm 16'!F114)</f>
        <v>0</v>
      </c>
      <c r="G114">
        <f>+'at Pit'!G114+'at GB'!G114+'at Min'!G114+'vs Bal'!G114+'vs Det'!G114+'at Cle'!G114+'vs LA'!G114+'at Det'!G114+'vs NY'!G114+'vs StL'!G114+'vs GB'!G114+'at SF'!G114+'vs Min'!G114+'at Atl'!G114+'Gm 15'!G114+'Gm 16'!G114</f>
        <v>0</v>
      </c>
      <c r="H114">
        <f>+'at Pit'!H114+'at GB'!H114+'at Min'!H114+'vs Bal'!H114+'vs Det'!H114+'at Cle'!H114+'vs LA'!H114+'at Det'!H114+'vs NY'!H114+'vs StL'!H114+'vs GB'!H114+'at SF'!H114+'vs Min'!H114+'at Atl'!H114+'Gm 15'!H114+'Gm 16'!H114</f>
        <v>0</v>
      </c>
      <c r="M114" s="12"/>
      <c r="P114" s="17"/>
      <c r="Q114" s="17"/>
      <c r="R114" s="17"/>
    </row>
    <row r="115" spans="3:18" ht="12">
      <c r="C115">
        <f>+'at Pit'!C115+'at GB'!C115+'at Min'!C115+'vs Bal'!C115+'vs Det'!C115+'at Cle'!C115+'vs LA'!C115+'at Det'!C115+'vs NY'!C115+'vs StL'!C115+'vs GB'!C115+'at SF'!C115+'vs Min'!C115+'at Atl'!C115+'Gm 15'!C115+'Gm 16'!C115</f>
        <v>0</v>
      </c>
      <c r="D115">
        <f>+'at Pit'!D115+'at GB'!D115+'at Min'!D115+'vs Bal'!D115+'vs Det'!D115+'at Cle'!D115+'vs LA'!D115+'at Det'!D115+'vs NY'!D115+'vs StL'!D115+'vs GB'!D115+'at SF'!D115+'vs Min'!D115+'at Atl'!D115+'Gm 15'!D115+'Gm 16'!D115</f>
        <v>0</v>
      </c>
      <c r="E115" s="12">
        <f>IF(C115=0,0,+D115/C115)</f>
        <v>0</v>
      </c>
      <c r="F115">
        <f>MAX('at Pit'!F115,'at GB'!F115,'at Min'!F115,'vs Bal'!F115,'vs Det'!F115,'at Cle'!F115,'vs LA'!F115,'at Det'!F115,'vs NY'!F115,'vs StL'!F115,'vs GB'!F115,'at SF'!F115,'vs Min'!F115,'at Atl'!F115,'Gm 15'!F115,'Gm 16'!F115)</f>
        <v>0</v>
      </c>
      <c r="G115">
        <f>+'at Pit'!G115+'at GB'!G115+'at Min'!G115+'vs Bal'!G115+'vs Det'!G115+'at Cle'!G115+'vs LA'!G115+'at Det'!G115+'vs NY'!G115+'vs StL'!G115+'vs GB'!G115+'at SF'!G115+'vs Min'!G115+'at Atl'!G115+'Gm 15'!G115+'Gm 16'!G115</f>
        <v>0</v>
      </c>
      <c r="H115">
        <f>+'at Pit'!H115+'at GB'!H115+'at Min'!H115+'vs Bal'!H115+'vs Det'!H115+'at Cle'!H115+'vs LA'!H115+'at Det'!H115+'vs NY'!H115+'vs StL'!H115+'vs GB'!H115+'at SF'!H115+'vs Min'!H115+'at Atl'!H115+'Gm 15'!H115+'Gm 16'!H115</f>
        <v>0</v>
      </c>
      <c r="M115" s="12"/>
      <c r="P115" s="17"/>
      <c r="Q115" s="17"/>
      <c r="R115" s="17"/>
    </row>
    <row r="116" spans="3:18" ht="12">
      <c r="C116">
        <f>+'at Pit'!C116+'at GB'!C116+'at Min'!C116+'vs Bal'!C116+'vs Det'!C116+'at Cle'!C116+'vs LA'!C116+'at Det'!C116+'vs NY'!C116+'vs StL'!C116+'vs GB'!C116+'at SF'!C116+'vs Min'!C116+'at Atl'!C116+'Gm 15'!C116+'Gm 16'!C116</f>
        <v>0</v>
      </c>
      <c r="D116">
        <f>+'at Pit'!D116+'at GB'!D116+'at Min'!D116+'vs Bal'!D116+'vs Det'!D116+'at Cle'!D116+'vs LA'!D116+'at Det'!D116+'vs NY'!D116+'vs StL'!D116+'vs GB'!D116+'at SF'!D116+'vs Min'!D116+'at Atl'!D116+'Gm 15'!D116+'Gm 16'!D116</f>
        <v>0</v>
      </c>
      <c r="E116" s="12">
        <f>IF(C116=0,0,+D116/C116)</f>
        <v>0</v>
      </c>
      <c r="F116">
        <f>MAX('at Pit'!F116,'at GB'!F116,'at Min'!F116,'vs Bal'!F116,'vs Det'!F116,'at Cle'!F116,'vs LA'!F116,'at Det'!F116,'vs NY'!F116,'vs StL'!F116,'vs GB'!F116,'at SF'!F116,'vs Min'!F116,'at Atl'!F116,'Gm 15'!F116,'Gm 16'!F116)</f>
        <v>0</v>
      </c>
      <c r="G116">
        <f>+'at Pit'!G116+'at GB'!G116+'at Min'!G116+'vs Bal'!G116+'vs Det'!G116+'at Cle'!G116+'vs LA'!G116+'at Det'!G116+'vs NY'!G116+'vs StL'!G116+'vs GB'!G116+'at SF'!G116+'vs Min'!G116+'at Atl'!G116+'Gm 15'!G116+'Gm 16'!G116</f>
        <v>0</v>
      </c>
      <c r="H116">
        <f>+'at Pit'!H116+'at GB'!H116+'at Min'!H116+'vs Bal'!H116+'vs Det'!H116+'at Cle'!H116+'vs LA'!H116+'at Det'!H116+'vs NY'!H116+'vs StL'!H116+'vs GB'!H116+'at SF'!H116+'vs Min'!H116+'at Atl'!H116+'Gm 15'!H116+'Gm 16'!H116</f>
        <v>0</v>
      </c>
      <c r="M116" s="12"/>
      <c r="P116" s="17"/>
      <c r="Q116" s="17"/>
      <c r="R116" s="17"/>
    </row>
    <row r="117" spans="3:18" ht="12">
      <c r="C117">
        <f>+'at Pit'!C117+'at GB'!C117+'at Min'!C117+'vs Bal'!C117+'vs Det'!C117+'at Cle'!C117+'vs LA'!C117+'at Det'!C117+'vs NY'!C117+'vs StL'!C117+'vs GB'!C117+'at SF'!C117+'vs Min'!C117+'at Atl'!C117+'Gm 15'!C117+'Gm 16'!C117</f>
        <v>0</v>
      </c>
      <c r="D117">
        <f>+'at Pit'!D117+'at GB'!D117+'at Min'!D117+'vs Bal'!D117+'vs Det'!D117+'at Cle'!D117+'vs LA'!D117+'at Det'!D117+'vs NY'!D117+'vs StL'!D117+'vs GB'!D117+'at SF'!D117+'vs Min'!D117+'at Atl'!D117+'Gm 15'!D117+'Gm 16'!D117</f>
        <v>0</v>
      </c>
      <c r="E117" s="12">
        <f>IF(C117=0,0,+D117/C117)</f>
        <v>0</v>
      </c>
      <c r="F117">
        <f>MAX('at Pit'!F117,'at GB'!F117,'at Min'!F117,'vs Bal'!F117,'vs Det'!F117,'at Cle'!F117,'vs LA'!F117,'at Det'!F117,'vs NY'!F117,'vs StL'!F117,'vs GB'!F117,'at SF'!F117,'vs Min'!F117,'at Atl'!F117,'Gm 15'!F117,'Gm 16'!F117)</f>
        <v>0</v>
      </c>
      <c r="G117">
        <f>+'at Pit'!G117+'at GB'!G117+'at Min'!G117+'vs Bal'!G117+'vs Det'!G117+'at Cle'!G117+'vs LA'!G117+'at Det'!G117+'vs NY'!G117+'vs StL'!G117+'vs GB'!G117+'at SF'!G117+'vs Min'!G117+'at Atl'!G117+'Gm 15'!G117+'Gm 16'!G117</f>
        <v>0</v>
      </c>
      <c r="H117">
        <f>+'at Pit'!H117+'at GB'!H117+'at Min'!H117+'vs Bal'!H117+'vs Det'!H117+'at Cle'!H117+'vs LA'!H117+'at Det'!H117+'vs NY'!H117+'vs StL'!H117+'vs GB'!H117+'at SF'!H117+'vs Min'!H117+'at Atl'!H117+'Gm 15'!H117+'Gm 16'!H117</f>
        <v>0</v>
      </c>
      <c r="M117" s="12"/>
      <c r="P117" s="17"/>
      <c r="Q117" s="17"/>
      <c r="R117" s="17"/>
    </row>
    <row r="118" ht="12">
      <c r="E118" s="8"/>
    </row>
    <row r="119" spans="1:17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  <c r="Q119" s="3" t="s">
        <v>107</v>
      </c>
    </row>
    <row r="120" spans="1:17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  <c r="P120" s="3" t="s">
        <v>106</v>
      </c>
      <c r="Q120" s="3" t="s">
        <v>61</v>
      </c>
    </row>
    <row r="121" spans="1:25" ht="12">
      <c r="A121" t="s">
        <v>133</v>
      </c>
      <c r="B121" t="s">
        <v>181</v>
      </c>
      <c r="C121">
        <f>+'at Pit'!C121+'at GB'!C121+'at Min'!C121+'vs Bal'!C121+'vs Det'!C121+'at Cle'!C121+'vs LA'!C121+'at Det'!C121+'vs NY'!C121+'vs StL'!C121+'vs GB'!C121+'at SF'!C121+'vs Min'!C121+'at Atl'!C121+'Gm 15'!C121+'Gm 16'!C121</f>
        <v>29</v>
      </c>
      <c r="D121">
        <f>+'at Pit'!D121+'at GB'!D121+'at Min'!D121+'vs Bal'!D121+'vs Det'!D121+'at Cle'!D121+'vs LA'!D121+'at Det'!D121+'vs NY'!D121+'vs StL'!D121+'vs GB'!D121+'at SF'!D121+'vs Min'!D121+'at Atl'!D121+'Gm 15'!D121+'Gm 16'!D121</f>
        <v>11</v>
      </c>
      <c r="E121" s="12">
        <f aca="true" t="shared" si="4" ref="E121:E126">IF(C121=0,0,+D121/C121*100)</f>
        <v>37.93103448275862</v>
      </c>
      <c r="F121">
        <f>+'at Pit'!F121+'at GB'!F121+'at Min'!F121+'vs Bal'!F121+'vs Det'!F121+'at Cle'!F121+'vs LA'!F121+'at Det'!F121+'vs NY'!F121+'vs StL'!F121+'vs GB'!F121+'at SF'!F121+'vs Min'!F121+'at Atl'!F121+'Gm 15'!F121+'Gm 16'!F121</f>
        <v>137</v>
      </c>
      <c r="G121">
        <f>+'at Pit'!G121+'at GB'!G121+'at Min'!G121+'vs Bal'!G121+'vs Det'!G121+'at Cle'!G121+'vs LA'!G121+'at Det'!G121+'vs NY'!G121+'vs StL'!G121+'vs GB'!G121+'at SF'!G121+'vs Min'!G121+'at Atl'!G121+'Gm 15'!G121+'Gm 16'!G121</f>
        <v>0</v>
      </c>
      <c r="H121">
        <f>MAX('at Pit'!H121,'at GB'!H121,'at Min'!H121,'vs Bal'!H121,'vs Det'!H121,'at Cle'!H121,'vs LA'!H121,'at Det'!H121,'vs NY'!H121,'vs StL'!H121,'vs GB'!H121,'at SF'!H121,'vs Min'!H121,'at Atl'!H121,'Gm 15'!H121,'Gm 16'!H121)</f>
        <v>31</v>
      </c>
      <c r="I121">
        <f>+'at Pit'!I121+'at GB'!I121+'at Min'!I121+'vs Bal'!I121+'vs Det'!I121+'at Cle'!I121+'vs LA'!I121+'at Det'!I121+'vs NY'!I121+'vs StL'!I121+'vs GB'!I121+'at SF'!I121+'vs Min'!I121+'at Atl'!I121+'Gm 15'!I121+'Gm 16'!I121</f>
        <v>4</v>
      </c>
      <c r="J121" s="8">
        <f aca="true" t="shared" si="5" ref="J121:J126">IF($C121=0,0,+G121/C121*100)</f>
        <v>0</v>
      </c>
      <c r="K121" s="12">
        <f aca="true" t="shared" si="6" ref="K121:K126">IF(C121=0,0,+I121/C121*100)</f>
        <v>13.793103448275861</v>
      </c>
      <c r="L121" s="12">
        <f aca="true" t="shared" si="7" ref="L121:L126">IF(C121=0,0,+F121/C121)</f>
        <v>4.724137931034483</v>
      </c>
      <c r="M121" s="12">
        <f aca="true" t="shared" si="8" ref="M121:M126">IF(C121=0,0,100*(S121+U121+W121+Y121)/6)</f>
        <v>13.793103448275863</v>
      </c>
      <c r="N121">
        <f>+'at Pit'!N121+'at GB'!N121+'at Min'!N121+'vs Bal'!N121+'vs Det'!N121+'at Cle'!N121+'vs LA'!N121+'at Det'!N121+'vs NY'!N121+'vs StL'!N121+'vs GB'!N121+'at SF'!N121+'vs Min'!N121+'at Atl'!N121+'Gm 15'!N121+'Gm 16'!N121</f>
        <v>2</v>
      </c>
      <c r="O121">
        <f>+'at Pit'!O121+'at GB'!O121+'at Min'!O121+'vs Bal'!O121+'vs Det'!O121+'at Cle'!O121+'vs LA'!O121+'at Det'!O121+'vs NY'!O121+'vs StL'!O121+'vs GB'!O121+'at SF'!O121+'vs Min'!O121+'at Atl'!O121+'Gm 15'!O121+'Gm 16'!O121</f>
        <v>2</v>
      </c>
      <c r="P121" s="15">
        <f aca="true" t="shared" si="9" ref="P121:P126">IF(D121=0,0,F121/D121)</f>
        <v>12.454545454545455</v>
      </c>
      <c r="Q121" s="15">
        <f aca="true" t="shared" si="10" ref="Q121:Q126">IF(C121=0,0,O121/(C121+O121))*100</f>
        <v>6.451612903225806</v>
      </c>
      <c r="R121">
        <f aca="true" t="shared" si="11" ref="R121:R126">+(E121-30)/20</f>
        <v>0.39655172413793094</v>
      </c>
      <c r="S121" s="2">
        <f aca="true" t="shared" si="12" ref="S121:S126">IF(R121&lt;0,0,IF(R121&gt;2.375,2.375,R121))</f>
        <v>0.39655172413793094</v>
      </c>
      <c r="T121" s="6">
        <f aca="true" t="shared" si="13" ref="T121:T126">+(L121-3)/4</f>
        <v>0.4310344827586208</v>
      </c>
      <c r="U121" s="2">
        <f aca="true" t="shared" si="14" ref="U121:U126">IF(T121&lt;0,0,IF(T121&gt;2.375,2.375,T121))</f>
        <v>0.4310344827586208</v>
      </c>
      <c r="V121">
        <f aca="true" t="shared" si="15" ref="V121:V126">+J121/5</f>
        <v>0</v>
      </c>
      <c r="W121" s="2">
        <f aca="true" t="shared" si="16" ref="W121:W126">IF(V121&lt;0,0,IF(V121&gt;2.375,2.375,V121))</f>
        <v>0</v>
      </c>
      <c r="X121">
        <f aca="true" t="shared" si="17" ref="X121:X126">(9.5-K121)/4</f>
        <v>-1.0732758620689653</v>
      </c>
      <c r="Y121" s="2">
        <f aca="true" t="shared" si="18" ref="Y121:Y126">IF(X121&lt;0,0,X121)</f>
        <v>0</v>
      </c>
    </row>
    <row r="122" spans="1:25" ht="12">
      <c r="A122" t="s">
        <v>135</v>
      </c>
      <c r="B122" t="s">
        <v>181</v>
      </c>
      <c r="C122">
        <f>+'at Pit'!C122+'at GB'!C122+'at Min'!C122+'vs Bal'!C122+'vs Det'!C122+'at Cle'!C122+'vs LA'!C122+'at Det'!C122+'vs NY'!C122+'vs StL'!C122+'vs GB'!C122+'at SF'!C122+'vs Min'!C122+'at Atl'!C122+'Gm 15'!C122+'Gm 16'!C122</f>
        <v>200</v>
      </c>
      <c r="D122">
        <f>+'at Pit'!D122+'at GB'!D122+'at Min'!D122+'vs Bal'!D122+'vs Det'!D122+'at Cle'!D122+'vs LA'!D122+'at Det'!D122+'vs NY'!D122+'vs StL'!D122+'vs GB'!D122+'at SF'!D122+'vs Min'!D122+'at Atl'!D122+'Gm 15'!D122+'Gm 16'!D122</f>
        <v>98</v>
      </c>
      <c r="E122" s="12">
        <f t="shared" si="4"/>
        <v>49</v>
      </c>
      <c r="F122">
        <f>+'at Pit'!F122+'at GB'!F122+'at Min'!F122+'vs Bal'!F122+'vs Det'!F122+'at Cle'!F122+'vs LA'!F122+'at Det'!F122+'vs NY'!F122+'vs StL'!F122+'vs GB'!F122+'at SF'!F122+'vs Min'!F122+'at Atl'!F122+'Gm 15'!F122+'Gm 16'!F122</f>
        <v>1355</v>
      </c>
      <c r="G122">
        <f>+'at Pit'!G122+'at GB'!G122+'at Min'!G122+'vs Bal'!G122+'vs Det'!G122+'at Cle'!G122+'vs LA'!G122+'at Det'!G122+'vs NY'!G122+'vs StL'!G122+'vs GB'!G122+'at SF'!G122+'vs Min'!G122+'at Atl'!G122+'Gm 15'!G122+'Gm 16'!G122</f>
        <v>4</v>
      </c>
      <c r="H122">
        <f>MAX('at Pit'!H122,'at GB'!H122,'at Min'!H122,'vs Bal'!H122,'vs Det'!H122,'at Cle'!H122,'vs LA'!H122,'at Det'!H122,'vs NY'!H122,'vs StL'!H122,'vs GB'!H122,'at SF'!H122,'vs Min'!H122,'at Atl'!H122,'Gm 15'!H122,'Gm 16'!H122)</f>
        <v>36</v>
      </c>
      <c r="I122">
        <f>+'at Pit'!I122+'at GB'!I122+'at Min'!I122+'vs Bal'!I122+'vs Det'!I122+'at Cle'!I122+'vs LA'!I122+'at Det'!I122+'vs NY'!I122+'vs StL'!I122+'vs GB'!I122+'at SF'!I122+'vs Min'!I122+'at Atl'!I122+'Gm 15'!I122+'Gm 16'!I122</f>
        <v>15</v>
      </c>
      <c r="J122" s="8">
        <f t="shared" si="5"/>
        <v>2</v>
      </c>
      <c r="K122" s="12">
        <f t="shared" si="6"/>
        <v>7.5</v>
      </c>
      <c r="L122" s="12">
        <f t="shared" si="7"/>
        <v>6.775</v>
      </c>
      <c r="M122" s="12">
        <f t="shared" si="8"/>
        <v>46.5625</v>
      </c>
      <c r="N122">
        <f>+'at Pit'!N122+'at GB'!N122+'at Min'!N122+'vs Bal'!N122+'vs Det'!N122+'at Cle'!N122+'vs LA'!N122+'at Det'!N122+'vs NY'!N122+'vs StL'!N122+'vs GB'!N122+'at SF'!N122+'vs Min'!N122+'at Atl'!N122+'Gm 15'!N122+'Gm 16'!N122</f>
        <v>2</v>
      </c>
      <c r="O122">
        <f>+'at Pit'!O122+'at GB'!O122+'at Min'!O122+'vs Bal'!O122+'vs Det'!O122+'at Cle'!O122+'vs LA'!O122+'at Det'!O122+'vs NY'!O122+'vs StL'!O122+'vs GB'!O122+'at SF'!O122+'vs Min'!O122+'at Atl'!O122+'Gm 15'!O122+'Gm 16'!O122</f>
        <v>23</v>
      </c>
      <c r="P122" s="15">
        <f t="shared" si="9"/>
        <v>13.826530612244898</v>
      </c>
      <c r="Q122" s="15">
        <f t="shared" si="10"/>
        <v>10.31390134529148</v>
      </c>
      <c r="R122">
        <f t="shared" si="11"/>
        <v>0.95</v>
      </c>
      <c r="S122" s="2">
        <f t="shared" si="12"/>
        <v>0.95</v>
      </c>
      <c r="T122" s="6">
        <f t="shared" si="13"/>
        <v>0.9437500000000001</v>
      </c>
      <c r="U122" s="2">
        <f t="shared" si="14"/>
        <v>0.9437500000000001</v>
      </c>
      <c r="V122">
        <f t="shared" si="15"/>
        <v>0.4</v>
      </c>
      <c r="W122" s="2">
        <f t="shared" si="16"/>
        <v>0.4</v>
      </c>
      <c r="X122">
        <f t="shared" si="17"/>
        <v>0.5</v>
      </c>
      <c r="Y122" s="2">
        <f t="shared" si="18"/>
        <v>0.5</v>
      </c>
    </row>
    <row r="123" spans="1:25" ht="12">
      <c r="A123" t="s">
        <v>147</v>
      </c>
      <c r="B123" t="s">
        <v>181</v>
      </c>
      <c r="C123">
        <f>+'at Pit'!C123+'at GB'!C123+'at Min'!C123+'vs Bal'!C123+'vs Det'!C123+'at Cle'!C123+'vs LA'!C123+'at Det'!C123+'vs NY'!C123+'vs StL'!C123+'vs GB'!C123+'at SF'!C123+'vs Min'!C123+'at Atl'!C123+'Gm 15'!C123+'Gm 16'!C123</f>
        <v>0</v>
      </c>
      <c r="D123">
        <f>+'at Pit'!D123+'at GB'!D123+'at Min'!D123+'vs Bal'!D123+'vs Det'!D123+'at Cle'!D123+'vs LA'!D123+'at Det'!D123+'vs NY'!D123+'vs StL'!D123+'vs GB'!D123+'at SF'!D123+'vs Min'!D123+'at Atl'!D123+'Gm 15'!D123+'Gm 16'!D123</f>
        <v>0</v>
      </c>
      <c r="E123" s="12">
        <f t="shared" si="4"/>
        <v>0</v>
      </c>
      <c r="F123">
        <f>+'at Pit'!F123+'at GB'!F123+'at Min'!F123+'vs Bal'!F123+'vs Det'!F123+'at Cle'!F123+'vs LA'!F123+'at Det'!F123+'vs NY'!F123+'vs StL'!F123+'vs GB'!F123+'at SF'!F123+'vs Min'!F123+'at Atl'!F123+'Gm 15'!F123+'Gm 16'!F123</f>
        <v>0</v>
      </c>
      <c r="G123">
        <f>+'at Pit'!G123+'at GB'!G123+'at Min'!G123+'vs Bal'!G123+'vs Det'!G123+'at Cle'!G123+'vs LA'!G123+'at Det'!G123+'vs NY'!G123+'vs StL'!G123+'vs GB'!G123+'at SF'!G123+'vs Min'!G123+'at Atl'!G123+'Gm 15'!G123+'Gm 16'!G123</f>
        <v>0</v>
      </c>
      <c r="H123">
        <f>MAX('at Pit'!H123,'at GB'!H123,'at Min'!H123,'vs Bal'!H123,'vs Det'!H123,'at Cle'!H123,'vs LA'!H123,'at Det'!H123,'vs NY'!H123,'vs StL'!H123,'vs GB'!H123,'at SF'!H123,'vs Min'!H123,'at Atl'!H123,'Gm 15'!H123,'Gm 16'!H123)</f>
        <v>0</v>
      </c>
      <c r="I123">
        <f>+'at Pit'!I123+'at GB'!I123+'at Min'!I123+'vs Bal'!I123+'vs Det'!I123+'at Cle'!I123+'vs LA'!I123+'at Det'!I123+'vs NY'!I123+'vs StL'!I123+'vs GB'!I123+'at SF'!I123+'vs Min'!I123+'at Atl'!I123+'Gm 15'!I123+'Gm 16'!I123</f>
        <v>0</v>
      </c>
      <c r="J123" s="8">
        <f t="shared" si="5"/>
        <v>0</v>
      </c>
      <c r="K123" s="12">
        <f t="shared" si="6"/>
        <v>0</v>
      </c>
      <c r="L123" s="12">
        <f t="shared" si="7"/>
        <v>0</v>
      </c>
      <c r="M123" s="12">
        <f t="shared" si="8"/>
        <v>0</v>
      </c>
      <c r="N123">
        <f>+'at Pit'!N123+'at GB'!N123+'at Min'!N123+'vs Bal'!N123+'vs Det'!N123+'at Cle'!N123+'vs LA'!N123+'at Det'!N123+'vs NY'!N123+'vs StL'!N123+'vs GB'!N123+'at SF'!N123+'vs Min'!N123+'at Atl'!N123+'Gm 15'!N123+'Gm 16'!N123</f>
        <v>0</v>
      </c>
      <c r="O123">
        <f>+'at Pit'!O123+'at GB'!O123+'at Min'!O123+'vs Bal'!O123+'vs Det'!O123+'at Cle'!O123+'vs LA'!O123+'at Det'!O123+'vs NY'!O123+'vs StL'!O123+'vs GB'!O123+'at SF'!O123+'vs Min'!O123+'at Atl'!O123+'Gm 15'!O123+'Gm 16'!O123</f>
        <v>1</v>
      </c>
      <c r="P123" s="15">
        <f t="shared" si="9"/>
        <v>0</v>
      </c>
      <c r="Q123" s="15">
        <f t="shared" si="10"/>
        <v>0</v>
      </c>
      <c r="R123">
        <f t="shared" si="11"/>
        <v>-1.5</v>
      </c>
      <c r="S123" s="2">
        <f t="shared" si="12"/>
        <v>0</v>
      </c>
      <c r="T123" s="6">
        <f t="shared" si="13"/>
        <v>-0.75</v>
      </c>
      <c r="U123" s="2">
        <f t="shared" si="14"/>
        <v>0</v>
      </c>
      <c r="V123">
        <f t="shared" si="15"/>
        <v>0</v>
      </c>
      <c r="W123" s="2">
        <f t="shared" si="16"/>
        <v>0</v>
      </c>
      <c r="X123">
        <f t="shared" si="17"/>
        <v>2.375</v>
      </c>
      <c r="Y123" s="2">
        <f t="shared" si="18"/>
        <v>2.375</v>
      </c>
    </row>
    <row r="124" spans="1:25" ht="12">
      <c r="A124" t="s">
        <v>142</v>
      </c>
      <c r="B124" t="s">
        <v>181</v>
      </c>
      <c r="C124">
        <f>+'at Pit'!C124+'at GB'!C124+'at Min'!C124+'vs Bal'!C124+'vs Det'!C124+'at Cle'!C124+'vs LA'!C124+'at Det'!C124+'vs NY'!C124+'vs StL'!C124+'vs GB'!C124+'at SF'!C124+'vs Min'!C124+'at Atl'!C124+'Gm 15'!C124+'Gm 16'!C124</f>
        <v>64</v>
      </c>
      <c r="D124">
        <f>+'at Pit'!D124+'at GB'!D124+'at Min'!D124+'vs Bal'!D124+'vs Det'!D124+'at Cle'!D124+'vs LA'!D124+'at Det'!D124+'vs NY'!D124+'vs StL'!D124+'vs GB'!D124+'at SF'!D124+'vs Min'!D124+'at Atl'!D124+'Gm 15'!D124+'Gm 16'!D124</f>
        <v>37</v>
      </c>
      <c r="E124" s="12">
        <f t="shared" si="4"/>
        <v>57.8125</v>
      </c>
      <c r="F124">
        <f>+'at Pit'!F124+'at GB'!F124+'at Min'!F124+'vs Bal'!F124+'vs Det'!F124+'at Cle'!F124+'vs LA'!F124+'at Det'!F124+'vs NY'!F124+'vs StL'!F124+'vs GB'!F124+'at SF'!F124+'vs Min'!F124+'at Atl'!F124+'Gm 15'!F124+'Gm 16'!F124</f>
        <v>386</v>
      </c>
      <c r="G124">
        <f>+'at Pit'!G124+'at GB'!G124+'at Min'!G124+'vs Bal'!G124+'vs Det'!G124+'at Cle'!G124+'vs LA'!G124+'at Det'!G124+'vs NY'!G124+'vs StL'!G124+'vs GB'!G124+'at SF'!G124+'vs Min'!G124+'at Atl'!G124+'Gm 15'!G124+'Gm 16'!G124</f>
        <v>2</v>
      </c>
      <c r="H124">
        <f>MAX('at Pit'!H124,'at GB'!H124,'at Min'!H124,'vs Bal'!H124,'vs Det'!H124,'at Cle'!H124,'vs LA'!H124,'at Det'!H124,'vs NY'!H124,'vs StL'!H124,'vs GB'!H124,'at SF'!H124,'vs Min'!H124,'at Atl'!H124,'Gm 15'!H124,'Gm 16'!H124)</f>
        <v>30</v>
      </c>
      <c r="I124">
        <f>+'at Pit'!I124+'at GB'!I124+'at Min'!I124+'vs Bal'!I124+'vs Det'!I124+'at Cle'!I124+'vs LA'!I124+'at Det'!I124+'vs NY'!I124+'vs StL'!I124+'vs GB'!I124+'at SF'!I124+'vs Min'!I124+'at Atl'!I124+'Gm 15'!I124+'Gm 16'!I124</f>
        <v>0</v>
      </c>
      <c r="J124" s="8">
        <f t="shared" si="5"/>
        <v>3.125</v>
      </c>
      <c r="K124" s="12">
        <f t="shared" si="6"/>
        <v>0</v>
      </c>
      <c r="L124" s="12">
        <f t="shared" si="7"/>
        <v>6.03125</v>
      </c>
      <c r="M124" s="12">
        <f t="shared" si="8"/>
        <v>85.80729166666667</v>
      </c>
      <c r="N124">
        <f>+'at Pit'!N124+'at GB'!N124+'at Min'!N124+'vs Bal'!N124+'vs Det'!N124+'at Cle'!N124+'vs LA'!N124+'at Det'!N124+'vs NY'!N124+'vs StL'!N124+'vs GB'!N124+'at SF'!N124+'vs Min'!N124+'at Atl'!N124+'Gm 15'!N124+'Gm 16'!N124</f>
        <v>0</v>
      </c>
      <c r="O124">
        <f>+'at Pit'!O124+'at GB'!O124+'at Min'!O124+'vs Bal'!O124+'vs Det'!O124+'at Cle'!O124+'vs LA'!O124+'at Det'!O124+'vs NY'!O124+'vs StL'!O124+'vs GB'!O124+'at SF'!O124+'vs Min'!O124+'at Atl'!O124+'Gm 15'!O124+'Gm 16'!O124</f>
        <v>3</v>
      </c>
      <c r="P124" s="15">
        <f t="shared" si="9"/>
        <v>10.432432432432432</v>
      </c>
      <c r="Q124" s="15">
        <f t="shared" si="10"/>
        <v>4.477611940298507</v>
      </c>
      <c r="R124">
        <f t="shared" si="11"/>
        <v>1.390625</v>
      </c>
      <c r="S124" s="2">
        <f t="shared" si="12"/>
        <v>1.390625</v>
      </c>
      <c r="T124" s="6">
        <f t="shared" si="13"/>
        <v>0.7578125</v>
      </c>
      <c r="U124" s="2">
        <f t="shared" si="14"/>
        <v>0.7578125</v>
      </c>
      <c r="V124">
        <f t="shared" si="15"/>
        <v>0.625</v>
      </c>
      <c r="W124" s="2">
        <f t="shared" si="16"/>
        <v>0.625</v>
      </c>
      <c r="X124">
        <f t="shared" si="17"/>
        <v>2.375</v>
      </c>
      <c r="Y124" s="2">
        <f t="shared" si="18"/>
        <v>2.375</v>
      </c>
    </row>
    <row r="125" spans="1:25" ht="12">
      <c r="A125" t="s">
        <v>143</v>
      </c>
      <c r="B125" t="s">
        <v>181</v>
      </c>
      <c r="C125">
        <f>+'at Pit'!C125+'at GB'!C125+'at Min'!C125+'vs Bal'!C125+'vs Det'!C125+'at Cle'!C125+'vs LA'!C125+'at Det'!C125+'vs NY'!C125+'vs StL'!C125+'vs GB'!C125+'at SF'!C125+'vs Min'!C125+'at Atl'!C125+'Gm 15'!C125+'Gm 16'!C125</f>
        <v>2</v>
      </c>
      <c r="D125">
        <f>+'at Pit'!D125+'at GB'!D125+'at Min'!D125+'vs Bal'!D125+'vs Det'!D125+'at Cle'!D125+'vs LA'!D125+'at Det'!D125+'vs NY'!D125+'vs StL'!D125+'vs GB'!D125+'at SF'!D125+'vs Min'!D125+'at Atl'!D125+'Gm 15'!D125+'Gm 16'!D125</f>
        <v>0</v>
      </c>
      <c r="E125" s="12">
        <f t="shared" si="4"/>
        <v>0</v>
      </c>
      <c r="F125">
        <f>+'at Pit'!F125+'at GB'!F125+'at Min'!F125+'vs Bal'!F125+'vs Det'!F125+'at Cle'!F125+'vs LA'!F125+'at Det'!F125+'vs NY'!F125+'vs StL'!F125+'vs GB'!F125+'at SF'!F125+'vs Min'!F125+'at Atl'!F125+'Gm 15'!F125+'Gm 16'!F125</f>
        <v>0</v>
      </c>
      <c r="G125">
        <f>+'at Pit'!G125+'at GB'!G125+'at Min'!G125+'vs Bal'!G125+'vs Det'!G125+'at Cle'!G125+'vs LA'!G125+'at Det'!G125+'vs NY'!G125+'vs StL'!G125+'vs GB'!G125+'at SF'!G125+'vs Min'!G125+'at Atl'!G125+'Gm 15'!G125+'Gm 16'!G125</f>
        <v>0</v>
      </c>
      <c r="H125">
        <f>MAX('at Pit'!H125,'at GB'!H125,'at Min'!H125,'vs Bal'!H125,'vs Det'!H125,'at Cle'!H125,'vs LA'!H125,'at Det'!H125,'vs NY'!H125,'vs StL'!H125,'vs GB'!H125,'at SF'!H125,'vs Min'!H125,'at Atl'!H125,'Gm 15'!H125,'Gm 16'!H125)</f>
        <v>0</v>
      </c>
      <c r="I125">
        <f>+'at Pit'!I125+'at GB'!I125+'at Min'!I125+'vs Bal'!I125+'vs Det'!I125+'at Cle'!I125+'vs LA'!I125+'at Det'!I125+'vs NY'!I125+'vs StL'!I125+'vs GB'!I125+'at SF'!I125+'vs Min'!I125+'at Atl'!I125+'Gm 15'!I125+'Gm 16'!I125</f>
        <v>0</v>
      </c>
      <c r="J125" s="8">
        <f t="shared" si="5"/>
        <v>0</v>
      </c>
      <c r="K125" s="12">
        <f t="shared" si="6"/>
        <v>0</v>
      </c>
      <c r="L125" s="12">
        <f t="shared" si="7"/>
        <v>0</v>
      </c>
      <c r="M125" s="12">
        <f t="shared" si="8"/>
        <v>39.583333333333336</v>
      </c>
      <c r="N125">
        <f>+'at Pit'!N125+'at GB'!N125+'at Min'!N125+'vs Bal'!N125+'vs Det'!N125+'at Cle'!N125+'vs LA'!N125+'at Det'!N125+'vs NY'!N125+'vs StL'!N125+'vs GB'!N125+'at SF'!N125+'vs Min'!N125+'at Atl'!N125+'Gm 15'!N125+'Gm 16'!N125</f>
        <v>0</v>
      </c>
      <c r="O125">
        <f>+'at Pit'!O125+'at GB'!O125+'at Min'!O125+'vs Bal'!O125+'vs Det'!O125+'at Cle'!O125+'vs LA'!O125+'at Det'!O125+'vs NY'!O125+'vs StL'!O125+'vs GB'!O125+'at SF'!O125+'vs Min'!O125+'at Atl'!O125+'Gm 15'!O125+'Gm 16'!O125</f>
        <v>1</v>
      </c>
      <c r="P125" s="15">
        <f t="shared" si="9"/>
        <v>0</v>
      </c>
      <c r="Q125" s="15">
        <f t="shared" si="10"/>
        <v>33.33333333333333</v>
      </c>
      <c r="R125">
        <f t="shared" si="11"/>
        <v>-1.5</v>
      </c>
      <c r="S125" s="2">
        <f t="shared" si="12"/>
        <v>0</v>
      </c>
      <c r="T125" s="6">
        <f t="shared" si="13"/>
        <v>-0.75</v>
      </c>
      <c r="U125" s="2">
        <f t="shared" si="14"/>
        <v>0</v>
      </c>
      <c r="V125">
        <f t="shared" si="15"/>
        <v>0</v>
      </c>
      <c r="W125" s="2">
        <f t="shared" si="16"/>
        <v>0</v>
      </c>
      <c r="X125">
        <f t="shared" si="17"/>
        <v>2.375</v>
      </c>
      <c r="Y125" s="2">
        <f t="shared" si="18"/>
        <v>2.375</v>
      </c>
    </row>
    <row r="126" spans="3:25" ht="12">
      <c r="C126">
        <f>+'at Pit'!C126+'at GB'!C126+'at Min'!C126+'vs Bal'!C126+'vs Det'!C126+'at Cle'!C126+'vs LA'!C126+'at Det'!C126+'vs NY'!C126+'vs StL'!C126+'vs GB'!C126+'at SF'!C126+'vs Min'!C126+'at Atl'!C126+'Gm 15'!C126+'Gm 16'!C126</f>
        <v>0</v>
      </c>
      <c r="D126">
        <f>+'at Pit'!D126+'at GB'!D126+'at Min'!D126+'vs Bal'!D126+'vs Det'!D126+'at Cle'!D126+'vs LA'!D126+'at Det'!D126+'vs NY'!D126+'vs StL'!D126+'vs GB'!D126+'at SF'!D126+'vs Min'!D126+'at Atl'!D126+'Gm 15'!D126+'Gm 16'!D126</f>
        <v>0</v>
      </c>
      <c r="E126" s="12">
        <f t="shared" si="4"/>
        <v>0</v>
      </c>
      <c r="F126">
        <f>+'at Pit'!F126+'at GB'!F126+'at Min'!F126+'vs Bal'!F126+'vs Det'!F126+'at Cle'!F126+'vs LA'!F126+'at Det'!F126+'vs NY'!F126+'vs StL'!F126+'vs GB'!F126+'at SF'!F126+'vs Min'!F126+'at Atl'!F126+'Gm 15'!F126+'Gm 16'!F126</f>
        <v>0</v>
      </c>
      <c r="G126">
        <f>+'at Pit'!G126+'at GB'!G126+'at Min'!G126+'vs Bal'!G126+'vs Det'!G126+'at Cle'!G126+'vs LA'!G126+'at Det'!G126+'vs NY'!G126+'vs StL'!G126+'vs GB'!G126+'at SF'!G126+'vs Min'!G126+'at Atl'!G126+'Gm 15'!G126+'Gm 16'!G126</f>
        <v>0</v>
      </c>
      <c r="H126">
        <f>MAX('at Pit'!H126,'at GB'!H126,'at Min'!H126,'vs Bal'!H126,'vs Det'!H126,'at Cle'!H126,'vs LA'!H126,'at Det'!H126,'vs NY'!H126,'vs StL'!H126,'vs GB'!H126,'at SF'!H126,'vs Min'!H126,'at Atl'!H126,'Gm 15'!H126,'Gm 16'!H126)</f>
        <v>0</v>
      </c>
      <c r="I126">
        <f>+'at Pit'!I126+'at GB'!I126+'at Min'!I126+'vs Bal'!I126+'vs Det'!I126+'at Cle'!I126+'vs LA'!I126+'at Det'!I126+'vs NY'!I126+'vs StL'!I126+'vs GB'!I126+'at SF'!I126+'vs Min'!I126+'at Atl'!I126+'Gm 15'!I126+'Gm 16'!I126</f>
        <v>0</v>
      </c>
      <c r="J126" s="8">
        <f t="shared" si="5"/>
        <v>0</v>
      </c>
      <c r="K126" s="12">
        <f t="shared" si="6"/>
        <v>0</v>
      </c>
      <c r="L126" s="12">
        <f t="shared" si="7"/>
        <v>0</v>
      </c>
      <c r="M126" s="12">
        <f t="shared" si="8"/>
        <v>0</v>
      </c>
      <c r="N126">
        <f>+'at Pit'!N126+'at GB'!N126+'at Min'!N126+'vs Bal'!N126+'vs Det'!N126+'at Cle'!N126+'vs LA'!N126+'at Det'!N126+'vs NY'!N126+'vs StL'!N126+'vs GB'!N126+'at SF'!N126+'vs Min'!N126+'at Atl'!N126+'Gm 15'!N126+'Gm 16'!N126</f>
        <v>0</v>
      </c>
      <c r="O126">
        <f>+'at Pit'!O126+'at GB'!O126+'at Min'!O126+'vs Bal'!O126+'vs Det'!O126+'at Cle'!O126+'vs LA'!O126+'at Det'!O126+'vs NY'!O126+'vs StL'!O126+'vs GB'!O126+'at SF'!O126+'vs Min'!O126+'at Atl'!O126+'Gm 15'!O126+'Gm 16'!O126</f>
        <v>0</v>
      </c>
      <c r="P126" s="15">
        <f t="shared" si="9"/>
        <v>0</v>
      </c>
      <c r="Q126" s="15">
        <f t="shared" si="10"/>
        <v>0</v>
      </c>
      <c r="R126">
        <f t="shared" si="11"/>
        <v>-1.5</v>
      </c>
      <c r="S126" s="2">
        <f t="shared" si="12"/>
        <v>0</v>
      </c>
      <c r="T126" s="6">
        <f t="shared" si="13"/>
        <v>-0.75</v>
      </c>
      <c r="U126" s="2">
        <f t="shared" si="14"/>
        <v>0</v>
      </c>
      <c r="V126">
        <f t="shared" si="15"/>
        <v>0</v>
      </c>
      <c r="W126" s="2">
        <f t="shared" si="16"/>
        <v>0</v>
      </c>
      <c r="X126">
        <f t="shared" si="17"/>
        <v>2.375</v>
      </c>
      <c r="Y126" s="2">
        <f t="shared" si="18"/>
        <v>2.375</v>
      </c>
    </row>
    <row r="128" spans="1:11" ht="12">
      <c r="A128" s="2" t="s">
        <v>71</v>
      </c>
      <c r="C128" s="3" t="s">
        <v>72</v>
      </c>
      <c r="D128" s="3" t="s">
        <v>73</v>
      </c>
      <c r="E128" s="3" t="s">
        <v>74</v>
      </c>
      <c r="F128" s="3" t="s">
        <v>53</v>
      </c>
      <c r="G128" s="3" t="s">
        <v>64</v>
      </c>
      <c r="H128" s="3" t="s">
        <v>55</v>
      </c>
      <c r="I128" s="3" t="s">
        <v>84</v>
      </c>
      <c r="K128" s="3" t="s">
        <v>118</v>
      </c>
    </row>
    <row r="129" spans="1:11" ht="12">
      <c r="A129" t="s">
        <v>148</v>
      </c>
      <c r="B129" t="s">
        <v>181</v>
      </c>
      <c r="C129">
        <f>+'at Pit'!C129+'at GB'!C129+'at Min'!C129+'vs Bal'!C129+'vs Det'!C129+'at Cle'!C129+'vs LA'!C129+'at Det'!C129+'vs NY'!C129+'vs StL'!C129+'vs GB'!C129+'at SF'!C129+'vs Min'!C129+'at Atl'!C129+'Gm 15'!C129+'Gm 16'!C129</f>
        <v>2</v>
      </c>
      <c r="D129">
        <f>+'at Pit'!D129+'at GB'!D129+'at Min'!D129+'vs Bal'!D129+'vs Det'!D129+'at Cle'!D129+'vs LA'!D129+'at Det'!D129+'vs NY'!D129+'vs StL'!D129+'vs GB'!D129+'at SF'!D129+'vs Min'!D129+'at Atl'!D129+'Gm 15'!D129+'Gm 16'!D129</f>
        <v>1</v>
      </c>
      <c r="E129">
        <f>+'at Pit'!E129+'at GB'!E129+'at Min'!E129+'vs Bal'!E129+'vs Det'!E129+'at Cle'!E129+'vs LA'!E129+'at Det'!E129+'vs NY'!E129+'vs StL'!E129+'vs GB'!E129+'at SF'!E129+'vs Min'!E129+'at Atl'!E129+'Gm 15'!E129+'Gm 16'!E129</f>
        <v>29</v>
      </c>
      <c r="F129" s="12">
        <f aca="true" t="shared" si="19" ref="F129:F135">IF(C129=0,0,+E129/C129)</f>
        <v>14.5</v>
      </c>
      <c r="G129">
        <f>MAX('at Pit'!G129,'at GB'!G129,'at Min'!G129,'vs Bal'!G129,'vs Det'!G129,'at Cle'!G129,'vs LA'!G129,'at Det'!G129,'vs NY'!G129,'vs StL'!G129,'vs GB'!G129,'at SF'!G129,'vs Min'!G129,'at Atl'!G129,'Gm 15'!G129,'Gm 16'!G129)</f>
        <v>29</v>
      </c>
      <c r="H129">
        <f>+'at Pit'!H129+'at GB'!H129+'at Min'!H129+'vs Bal'!H129+'vs Det'!H129+'at Cle'!H129+'vs LA'!H129+'at Det'!H129+'vs NY'!H129+'vs StL'!H129+'vs GB'!H129+'at SF'!H129+'vs Min'!H129+'at Atl'!H129+'Gm 15'!H129+'Gm 16'!H129</f>
        <v>0</v>
      </c>
      <c r="I129">
        <f>+'at Pit'!I129+'at GB'!I129+'at Min'!I129+'vs Bal'!I129+'vs Det'!I129+'at Cle'!I129+'vs LA'!I129+'at Det'!I129+'vs NY'!I129+'vs StL'!I129+'vs GB'!I129+'at SF'!I129+'vs Min'!I129+'at Atl'!I129+'Gm 15'!I129+'Gm 16'!I129</f>
        <v>0</v>
      </c>
      <c r="K129">
        <f>+C129+D129</f>
        <v>3</v>
      </c>
    </row>
    <row r="130" spans="1:11" ht="12">
      <c r="A130" t="s">
        <v>136</v>
      </c>
      <c r="B130" t="s">
        <v>181</v>
      </c>
      <c r="C130">
        <f>+'at Pit'!C130+'at GB'!C130+'at Min'!C130+'vs Bal'!C130+'vs Det'!C130+'at Cle'!C130+'vs LA'!C130+'at Det'!C130+'vs NY'!C130+'vs StL'!C130+'vs GB'!C130+'at SF'!C130+'vs Min'!C130+'at Atl'!C130+'Gm 15'!C130+'Gm 16'!C130</f>
        <v>17</v>
      </c>
      <c r="D130">
        <f>+'at Pit'!D130+'at GB'!D130+'at Min'!D130+'vs Bal'!D130+'vs Det'!D130+'at Cle'!D130+'vs LA'!D130+'at Det'!D130+'vs NY'!D130+'vs StL'!D130+'vs GB'!D130+'at SF'!D130+'vs Min'!D130+'at Atl'!D130+'Gm 15'!D130+'Gm 16'!D130</f>
        <v>8</v>
      </c>
      <c r="E130">
        <f>+'at Pit'!E130+'at GB'!E130+'at Min'!E130+'vs Bal'!E130+'vs Det'!E130+'at Cle'!E130+'vs LA'!E130+'at Det'!E130+'vs NY'!E130+'vs StL'!E130+'vs GB'!E130+'at SF'!E130+'vs Min'!E130+'at Atl'!E130+'Gm 15'!E130+'Gm 16'!E130</f>
        <v>156</v>
      </c>
      <c r="F130" s="12">
        <f t="shared" si="19"/>
        <v>9.176470588235293</v>
      </c>
      <c r="G130">
        <f>MAX('at Pit'!G130,'at GB'!G130,'at Min'!G130,'vs Bal'!G130,'vs Det'!G130,'at Cle'!G130,'vs LA'!G130,'at Det'!G130,'vs NY'!G130,'vs StL'!G130,'vs GB'!G130,'at SF'!G130,'vs Min'!G130,'at Atl'!G130,'Gm 15'!G130,'Gm 16'!G130)</f>
        <v>66</v>
      </c>
      <c r="H130">
        <f>+'at Pit'!H130+'at GB'!H130+'at Min'!H130+'vs Bal'!H130+'vs Det'!H130+'at Cle'!H130+'vs LA'!H130+'at Det'!H130+'vs NY'!H130+'vs StL'!H130+'vs GB'!H130+'at SF'!H130+'vs Min'!H130+'at Atl'!H130+'Gm 15'!H130+'Gm 16'!H130</f>
        <v>0</v>
      </c>
      <c r="I130">
        <f>+'at Pit'!I130+'at GB'!I130+'at Min'!I130+'vs Bal'!I130+'vs Det'!I130+'at Cle'!I130+'vs LA'!I130+'at Det'!I130+'vs NY'!I130+'vs StL'!I130+'vs GB'!I130+'at SF'!I130+'vs Min'!I130+'at Atl'!I130+'Gm 15'!I130+'Gm 16'!I130</f>
        <v>0</v>
      </c>
      <c r="K130">
        <f aca="true" t="shared" si="20" ref="K130:K135">+C130+D130</f>
        <v>25</v>
      </c>
    </row>
    <row r="131" spans="1:11" ht="12">
      <c r="A131" t="s">
        <v>140</v>
      </c>
      <c r="B131" t="s">
        <v>181</v>
      </c>
      <c r="C131">
        <f>+'at Pit'!C131+'at GB'!C131+'at Min'!C131+'vs Bal'!C131+'vs Det'!C131+'at Cle'!C131+'vs LA'!C131+'at Det'!C131+'vs NY'!C131+'vs StL'!C131+'vs GB'!C131+'at SF'!C131+'vs Min'!C131+'at Atl'!C131+'Gm 15'!C131+'Gm 16'!C131</f>
        <v>6</v>
      </c>
      <c r="D131">
        <f>+'at Pit'!D131+'at GB'!D131+'at Min'!D131+'vs Bal'!D131+'vs Det'!D131+'at Cle'!D131+'vs LA'!D131+'at Det'!D131+'vs NY'!D131+'vs StL'!D131+'vs GB'!D131+'at SF'!D131+'vs Min'!D131+'at Atl'!D131+'Gm 15'!D131+'Gm 16'!D131</f>
        <v>0</v>
      </c>
      <c r="E131">
        <f>+'at Pit'!E131+'at GB'!E131+'at Min'!E131+'vs Bal'!E131+'vs Det'!E131+'at Cle'!E131+'vs LA'!E131+'at Det'!E131+'vs NY'!E131+'vs StL'!E131+'vs GB'!E131+'at SF'!E131+'vs Min'!E131+'at Atl'!E131+'Gm 15'!E131+'Gm 16'!E131</f>
        <v>60</v>
      </c>
      <c r="F131" s="12">
        <f t="shared" si="19"/>
        <v>10</v>
      </c>
      <c r="G131">
        <f>MAX('at Pit'!G131,'at GB'!G131,'at Min'!G131,'vs Bal'!G131,'vs Det'!G131,'at Cle'!G131,'vs LA'!G131,'at Det'!G131,'vs NY'!G131,'vs StL'!G131,'vs GB'!G131,'at SF'!G131,'vs Min'!G131,'at Atl'!G131,'Gm 15'!G131,'Gm 16'!G131)</f>
        <v>20</v>
      </c>
      <c r="H131">
        <f>+'at Pit'!H131+'at GB'!H131+'at Min'!H131+'vs Bal'!H131+'vs Det'!H131+'at Cle'!H131+'vs LA'!H131+'at Det'!H131+'vs NY'!H131+'vs StL'!H131+'vs GB'!H131+'at SF'!H131+'vs Min'!H131+'at Atl'!H131+'Gm 15'!H131+'Gm 16'!H131</f>
        <v>0</v>
      </c>
      <c r="I131">
        <f>+'at Pit'!I131+'at GB'!I131+'at Min'!I131+'vs Bal'!I131+'vs Det'!I131+'at Cle'!I131+'vs LA'!I131+'at Det'!I131+'vs NY'!I131+'vs StL'!I131+'vs GB'!I131+'at SF'!I131+'vs Min'!I131+'at Atl'!I131+'Gm 15'!I131+'Gm 16'!I131</f>
        <v>0</v>
      </c>
      <c r="K131">
        <f t="shared" si="20"/>
        <v>6</v>
      </c>
    </row>
    <row r="132" spans="1:11" ht="12">
      <c r="A132" t="s">
        <v>143</v>
      </c>
      <c r="B132" t="s">
        <v>181</v>
      </c>
      <c r="C132">
        <f>+'at Pit'!C132+'at GB'!C132+'at Min'!C132+'vs Bal'!C132+'vs Det'!C132+'at Cle'!C132+'vs LA'!C132+'at Det'!C132+'vs NY'!C132+'vs StL'!C132+'vs GB'!C132+'at SF'!C132+'vs Min'!C132+'at Atl'!C132+'Gm 15'!C132+'Gm 16'!C132</f>
        <v>4</v>
      </c>
      <c r="D132">
        <f>+'at Pit'!D132+'at GB'!D132+'at Min'!D132+'vs Bal'!D132+'vs Det'!D132+'at Cle'!D132+'vs LA'!D132+'at Det'!D132+'vs NY'!D132+'vs StL'!D132+'vs GB'!D132+'at SF'!D132+'vs Min'!D132+'at Atl'!D132+'Gm 15'!D132+'Gm 16'!D132</f>
        <v>12</v>
      </c>
      <c r="E132">
        <f>+'at Pit'!E132+'at GB'!E132+'at Min'!E132+'vs Bal'!E132+'vs Det'!E132+'at Cle'!E132+'vs LA'!E132+'at Det'!E132+'vs NY'!E132+'vs StL'!E132+'vs GB'!E132+'at SF'!E132+'vs Min'!E132+'at Atl'!E132+'Gm 15'!E132+'Gm 16'!E132</f>
        <v>24</v>
      </c>
      <c r="F132" s="12">
        <f t="shared" si="19"/>
        <v>6</v>
      </c>
      <c r="G132">
        <f>MAX('at Pit'!G132,'at GB'!G132,'at Min'!G132,'vs Bal'!G132,'vs Det'!G132,'at Cle'!G132,'vs LA'!G132,'at Det'!G132,'vs NY'!G132,'vs StL'!G132,'vs GB'!G132,'at SF'!G132,'vs Min'!G132,'at Atl'!G132,'Gm 15'!G132,'Gm 16'!G132)</f>
        <v>13</v>
      </c>
      <c r="H132">
        <f>+'at Pit'!H132+'at GB'!H132+'at Min'!H132+'vs Bal'!H132+'vs Det'!H132+'at Cle'!H132+'vs LA'!H132+'at Det'!H132+'vs NY'!H132+'vs StL'!H132+'vs GB'!H132+'at SF'!H132+'vs Min'!H132+'at Atl'!H132+'Gm 15'!H132+'Gm 16'!H132</f>
        <v>0</v>
      </c>
      <c r="I132">
        <f>+'at Pit'!I132+'at GB'!I132+'at Min'!I132+'vs Bal'!I132+'vs Det'!I132+'at Cle'!I132+'vs LA'!I132+'at Det'!I132+'vs NY'!I132+'vs StL'!I132+'vs GB'!I132+'at SF'!I132+'vs Min'!I132+'at Atl'!I132+'Gm 15'!I132+'Gm 16'!I132</f>
        <v>0</v>
      </c>
      <c r="K132">
        <f t="shared" si="20"/>
        <v>16</v>
      </c>
    </row>
    <row r="133" spans="3:11" ht="12">
      <c r="C133">
        <f>+'at Pit'!C133+'at GB'!C133+'at Min'!C133+'vs Bal'!C133+'vs Det'!C133+'at Cle'!C133+'vs LA'!C133+'at Det'!C133+'vs NY'!C133+'vs StL'!C133+'vs GB'!C133+'at SF'!C133+'vs Min'!C133+'at Atl'!C133+'Gm 15'!C133+'Gm 16'!C133</f>
        <v>0</v>
      </c>
      <c r="D133">
        <f>+'at Pit'!D133+'at GB'!D133+'at Min'!D133+'vs Bal'!D133+'vs Det'!D133+'at Cle'!D133+'vs LA'!D133+'at Det'!D133+'vs NY'!D133+'vs StL'!D133+'vs GB'!D133+'at SF'!D133+'vs Min'!D133+'at Atl'!D133+'Gm 15'!D133+'Gm 16'!D133</f>
        <v>0</v>
      </c>
      <c r="E133">
        <f>+'at Pit'!E133+'at GB'!E133+'at Min'!E133+'vs Bal'!E133+'vs Det'!E133+'at Cle'!E133+'vs LA'!E133+'at Det'!E133+'vs NY'!E133+'vs StL'!E133+'vs GB'!E133+'at SF'!E133+'vs Min'!E133+'at Atl'!E133+'Gm 15'!E133+'Gm 16'!E133</f>
        <v>0</v>
      </c>
      <c r="F133" s="12">
        <f t="shared" si="19"/>
        <v>0</v>
      </c>
      <c r="G133">
        <f>MAX('at Pit'!G133,'at GB'!G133,'at Min'!G133,'vs Bal'!G133,'vs Det'!G133,'at Cle'!G133,'vs LA'!G133,'at Det'!G133,'vs NY'!G133,'vs StL'!G133,'vs GB'!G133,'at SF'!G133,'vs Min'!G133,'at Atl'!G133,'Gm 15'!G133,'Gm 16'!G133)</f>
        <v>0</v>
      </c>
      <c r="H133">
        <f>+'at Pit'!H133+'at GB'!H133+'at Min'!H133+'vs Bal'!H133+'vs Det'!H133+'at Cle'!H133+'vs LA'!H133+'at Det'!H133+'vs NY'!H133+'vs StL'!H133+'vs GB'!H133+'at SF'!H133+'vs Min'!H133+'at Atl'!H133+'Gm 15'!H133+'Gm 16'!H133</f>
        <v>0</v>
      </c>
      <c r="I133">
        <f>+'at Pit'!I133+'at GB'!I133+'at Min'!I133+'vs Bal'!I133+'vs Det'!I133+'at Cle'!I133+'vs LA'!I133+'at Det'!I133+'vs NY'!I133+'vs StL'!I133+'vs GB'!I133+'at SF'!I133+'vs Min'!I133+'at Atl'!I133+'Gm 15'!I133+'Gm 16'!I133</f>
        <v>0</v>
      </c>
      <c r="K133">
        <f t="shared" si="20"/>
        <v>0</v>
      </c>
    </row>
    <row r="134" spans="3:11" ht="12">
      <c r="C134">
        <f>+'at Pit'!C134+'at GB'!C134+'at Min'!C134+'vs Bal'!C134+'vs Det'!C134+'at Cle'!C134+'vs LA'!C134+'at Det'!C134+'vs NY'!C134+'vs StL'!C134+'vs GB'!C134+'at SF'!C134+'vs Min'!C134+'at Atl'!C134+'Gm 15'!C134+'Gm 16'!C134</f>
        <v>0</v>
      </c>
      <c r="D134">
        <f>+'at Pit'!D134+'at GB'!D134+'at Min'!D134+'vs Bal'!D134+'vs Det'!D134+'at Cle'!D134+'vs LA'!D134+'at Det'!D134+'vs NY'!D134+'vs StL'!D134+'vs GB'!D134+'at SF'!D134+'vs Min'!D134+'at Atl'!D134+'Gm 15'!D134+'Gm 16'!D134</f>
        <v>0</v>
      </c>
      <c r="E134">
        <f>+'at Pit'!E134+'at GB'!E134+'at Min'!E134+'vs Bal'!E134+'vs Det'!E134+'at Cle'!E134+'vs LA'!E134+'at Det'!E134+'vs NY'!E134+'vs StL'!E134+'vs GB'!E134+'at SF'!E134+'vs Min'!E134+'at Atl'!E134+'Gm 15'!E134+'Gm 16'!E134</f>
        <v>0</v>
      </c>
      <c r="F134" s="12">
        <f t="shared" si="19"/>
        <v>0</v>
      </c>
      <c r="G134">
        <f>MAX('at Pit'!G134,'at GB'!G134,'at Min'!G134,'vs Bal'!G134,'vs Det'!G134,'at Cle'!G134,'vs LA'!G134,'at Det'!G134,'vs NY'!G134,'vs StL'!G134,'vs GB'!G134,'at SF'!G134,'vs Min'!G134,'at Atl'!G134,'Gm 15'!G134,'Gm 16'!G134)</f>
        <v>0</v>
      </c>
      <c r="H134">
        <f>+'at Pit'!H134+'at GB'!H134+'at Min'!H134+'vs Bal'!H134+'vs Det'!H134+'at Cle'!H134+'vs LA'!H134+'at Det'!H134+'vs NY'!H134+'vs StL'!H134+'vs GB'!H134+'at SF'!H134+'vs Min'!H134+'at Atl'!H134+'Gm 15'!H134+'Gm 16'!H134</f>
        <v>0</v>
      </c>
      <c r="I134">
        <f>+'at Pit'!I134+'at GB'!I134+'at Min'!I134+'vs Bal'!I134+'vs Det'!I134+'at Cle'!I134+'vs LA'!I134+'at Det'!I134+'vs NY'!I134+'vs StL'!I134+'vs GB'!I134+'at SF'!I134+'vs Min'!I134+'at Atl'!I134+'Gm 15'!I134+'Gm 16'!I134</f>
        <v>0</v>
      </c>
      <c r="K134">
        <f t="shared" si="20"/>
        <v>0</v>
      </c>
    </row>
    <row r="135" spans="3:11" ht="12">
      <c r="C135">
        <f>+'at Pit'!C135+'at GB'!C135+'at Min'!C135+'vs Bal'!C135+'vs Det'!C135+'at Cle'!C135+'vs LA'!C135+'at Det'!C135+'vs NY'!C135+'vs StL'!C135+'vs GB'!C135+'at SF'!C135+'vs Min'!C135+'at Atl'!C135+'Gm 15'!C135+'Gm 16'!C135</f>
        <v>0</v>
      </c>
      <c r="D135">
        <f>+'at Pit'!D135+'at GB'!D135+'at Min'!D135+'vs Bal'!D135+'vs Det'!D135+'at Cle'!D135+'vs LA'!D135+'at Det'!D135+'vs NY'!D135+'vs StL'!D135+'vs GB'!D135+'at SF'!D135+'vs Min'!D135+'at Atl'!D135+'Gm 15'!D135+'Gm 16'!D135</f>
        <v>0</v>
      </c>
      <c r="E135">
        <f>+'at Pit'!E135+'at GB'!E135+'at Min'!E135+'vs Bal'!E135+'vs Det'!E135+'at Cle'!E135+'vs LA'!E135+'at Det'!E135+'vs NY'!E135+'vs StL'!E135+'vs GB'!E135+'at SF'!E135+'vs Min'!E135+'at Atl'!E135+'Gm 15'!E135+'Gm 16'!E135</f>
        <v>0</v>
      </c>
      <c r="F135" s="12">
        <f t="shared" si="19"/>
        <v>0</v>
      </c>
      <c r="G135">
        <f>MAX('at Pit'!G135,'at GB'!G135,'at Min'!G135,'vs Bal'!G135,'vs Det'!G135,'at Cle'!G135,'vs LA'!G135,'at Det'!G135,'vs NY'!G135,'vs StL'!G135,'vs GB'!G135,'at SF'!G135,'vs Min'!G135,'at Atl'!G135,'Gm 15'!G135,'Gm 16'!G135)</f>
        <v>0</v>
      </c>
      <c r="H135">
        <f>+'at Pit'!H135+'at GB'!H135+'at Min'!H135+'vs Bal'!H135+'vs Det'!H135+'at Cle'!H135+'vs LA'!H135+'at Det'!H135+'vs NY'!H135+'vs StL'!H135+'vs GB'!H135+'at SF'!H135+'vs Min'!H135+'at Atl'!H135+'Gm 15'!H135+'Gm 16'!H135</f>
        <v>0</v>
      </c>
      <c r="I135">
        <f>+'at Pit'!I135+'at GB'!I135+'at Min'!I135+'vs Bal'!I135+'vs Det'!I135+'at Cle'!I135+'vs LA'!I135+'at Det'!I135+'vs NY'!I135+'vs StL'!I135+'vs GB'!I135+'at SF'!I135+'vs Min'!I135+'at Atl'!I135+'Gm 15'!I135+'Gm 16'!I135</f>
        <v>0</v>
      </c>
      <c r="K135">
        <f t="shared" si="20"/>
        <v>0</v>
      </c>
    </row>
    <row r="138" spans="1:8" ht="12">
      <c r="A138" s="2" t="s">
        <v>30</v>
      </c>
      <c r="C138" s="3" t="s">
        <v>72</v>
      </c>
      <c r="D138" s="3" t="s">
        <v>74</v>
      </c>
      <c r="E138" s="3" t="s">
        <v>53</v>
      </c>
      <c r="F138" s="3" t="s">
        <v>64</v>
      </c>
      <c r="G138" s="3" t="s">
        <v>55</v>
      </c>
      <c r="H138" s="3" t="s">
        <v>84</v>
      </c>
    </row>
    <row r="139" spans="1:8" ht="12">
      <c r="A139" t="s">
        <v>149</v>
      </c>
      <c r="B139" t="s">
        <v>181</v>
      </c>
      <c r="C139">
        <f>+'at Pit'!C139+'at GB'!C139+'at Min'!C139+'vs Bal'!C139+'vs Det'!C139+'at Cle'!C139+'vs LA'!C139+'at Det'!C139+'vs NY'!C139+'vs StL'!C139+'vs GB'!C139+'at SF'!C139+'vs Min'!C139+'at Atl'!C139+'Gm 15'!C139+'Gm 16'!C139</f>
        <v>1</v>
      </c>
      <c r="D139">
        <f>+'at Pit'!D139+'at GB'!D139+'at Min'!D139+'vs Bal'!D139+'vs Det'!D139+'at Cle'!D139+'vs LA'!D139+'at Det'!D139+'vs NY'!D139+'vs StL'!D139+'vs GB'!D139+'at SF'!D139+'vs Min'!D139+'at Atl'!D139+'Gm 15'!D139+'Gm 16'!D139</f>
        <v>19</v>
      </c>
      <c r="E139" s="12">
        <f aca="true" t="shared" si="21" ref="E139:E147">IF(C139=0,0,+D139/C139)</f>
        <v>19</v>
      </c>
      <c r="F139">
        <f>MAX('at Pit'!F139,'at GB'!F139,'at Min'!F139,'vs Bal'!F139,'vs Det'!F139,'at Cle'!F139,'vs LA'!F139,'at Det'!F139,'vs NY'!F139,'vs StL'!F139,'vs GB'!F139,'at SF'!F139,'vs Min'!F139,'at Atl'!F139,'Gm 15'!F139,'Gm 16'!F139)</f>
        <v>19</v>
      </c>
      <c r="G139">
        <f>+'at Pit'!G139+'at GB'!G139+'at Min'!G139+'vs Bal'!G139+'vs Det'!G139+'at Cle'!G139+'vs LA'!G139+'at Det'!G139+'vs NY'!G139+'vs StL'!G139+'vs GB'!G139+'at SF'!G139+'vs Min'!G139+'at Atl'!G139+'Gm 15'!G139+'Gm 16'!G139</f>
        <v>0</v>
      </c>
      <c r="H139">
        <f>+'at Pit'!H139+'at GB'!H139+'at Min'!H139+'vs Bal'!H139+'vs Det'!H139+'at Cle'!H139+'vs LA'!H139+'at Det'!H139+'vs NY'!H139+'vs StL'!H139+'vs GB'!H139+'at SF'!H139+'vs Min'!H139+'at Atl'!H139+'Gm 15'!H139+'Gm 16'!H139</f>
        <v>0</v>
      </c>
    </row>
    <row r="140" spans="1:8" ht="12">
      <c r="A140" t="s">
        <v>148</v>
      </c>
      <c r="B140" t="s">
        <v>181</v>
      </c>
      <c r="C140">
        <f>+'at Pit'!C140+'at GB'!C140+'at Min'!C140+'vs Bal'!C140+'vs Det'!C140+'at Cle'!C140+'vs LA'!C140+'at Det'!C140+'vs NY'!C140+'vs StL'!C140+'vs GB'!C140+'at SF'!C140+'vs Min'!C140+'at Atl'!C140+'Gm 15'!C140+'Gm 16'!C140</f>
        <v>3</v>
      </c>
      <c r="D140">
        <f>+'at Pit'!D140+'at GB'!D140+'at Min'!D140+'vs Bal'!D140+'vs Det'!D140+'at Cle'!D140+'vs LA'!D140+'at Det'!D140+'vs NY'!D140+'vs StL'!D140+'vs GB'!D140+'at SF'!D140+'vs Min'!D140+'at Atl'!D140+'Gm 15'!D140+'Gm 16'!D140</f>
        <v>10</v>
      </c>
      <c r="E140" s="12">
        <f t="shared" si="21"/>
        <v>3.3333333333333335</v>
      </c>
      <c r="F140">
        <f>MAX('at Pit'!F140,'at GB'!F140,'at Min'!F140,'vs Bal'!F140,'vs Det'!F140,'at Cle'!F140,'vs LA'!F140,'at Det'!F140,'vs NY'!F140,'vs StL'!F140,'vs GB'!F140,'at SF'!F140,'vs Min'!F140,'at Atl'!F140,'Gm 15'!F140,'Gm 16'!F140)</f>
        <v>8</v>
      </c>
      <c r="G140">
        <f>+'at Pit'!G140+'at GB'!G140+'at Min'!G140+'vs Bal'!G140+'vs Det'!G140+'at Cle'!G140+'vs LA'!G140+'at Det'!G140+'vs NY'!G140+'vs StL'!G140+'vs GB'!G140+'at SF'!G140+'vs Min'!G140+'at Atl'!G140+'Gm 15'!G140+'Gm 16'!G140</f>
        <v>0</v>
      </c>
      <c r="H140">
        <f>+'at Pit'!H140+'at GB'!H140+'at Min'!H140+'vs Bal'!H140+'vs Det'!H140+'at Cle'!H140+'vs LA'!H140+'at Det'!H140+'vs NY'!H140+'vs StL'!H140+'vs GB'!H140+'at SF'!H140+'vs Min'!H140+'at Atl'!H140+'Gm 15'!H140+'Gm 16'!H140</f>
        <v>0</v>
      </c>
    </row>
    <row r="141" spans="1:8" ht="12">
      <c r="A141" t="s">
        <v>136</v>
      </c>
      <c r="B141" t="s">
        <v>181</v>
      </c>
      <c r="C141">
        <f>+'at Pit'!C141+'at GB'!C141+'at Min'!C141+'vs Bal'!C141+'vs Det'!C141+'at Cle'!C141+'vs LA'!C141+'at Det'!C141+'vs NY'!C141+'vs StL'!C141+'vs GB'!C141+'at SF'!C141+'vs Min'!C141+'at Atl'!C141+'Gm 15'!C141+'Gm 16'!C141</f>
        <v>11</v>
      </c>
      <c r="D141">
        <f>+'at Pit'!D141+'at GB'!D141+'at Min'!D141+'vs Bal'!D141+'vs Det'!D141+'at Cle'!D141+'vs LA'!D141+'at Det'!D141+'vs NY'!D141+'vs StL'!D141+'vs GB'!D141+'at SF'!D141+'vs Min'!D141+'at Atl'!D141+'Gm 15'!D141+'Gm 16'!D141</f>
        <v>277</v>
      </c>
      <c r="E141" s="12">
        <f t="shared" si="21"/>
        <v>25.181818181818183</v>
      </c>
      <c r="F141">
        <f>MAX('at Pit'!F141,'at GB'!F141,'at Min'!F141,'vs Bal'!F141,'vs Det'!F141,'at Cle'!F141,'vs LA'!F141,'at Det'!F141,'vs NY'!F141,'vs StL'!F141,'vs GB'!F141,'at SF'!F141,'vs Min'!F141,'at Atl'!F141,'Gm 15'!F141,'Gm 16'!F141)</f>
        <v>36</v>
      </c>
      <c r="G141">
        <f>+'at Pit'!G141+'at GB'!G141+'at Min'!G141+'vs Bal'!G141+'vs Det'!G141+'at Cle'!G141+'vs LA'!G141+'at Det'!G141+'vs NY'!G141+'vs StL'!G141+'vs GB'!G141+'at SF'!G141+'vs Min'!G141+'at Atl'!G141+'Gm 15'!G141+'Gm 16'!G141</f>
        <v>0</v>
      </c>
      <c r="H141">
        <f>+'at Pit'!H141+'at GB'!H141+'at Min'!H141+'vs Bal'!H141+'vs Det'!H141+'at Cle'!H141+'vs LA'!H141+'at Det'!H141+'vs NY'!H141+'vs StL'!H141+'vs GB'!H141+'at SF'!H141+'vs Min'!H141+'at Atl'!H141+'Gm 15'!H141+'Gm 16'!H141</f>
        <v>0</v>
      </c>
    </row>
    <row r="142" spans="1:8" ht="12">
      <c r="A142" t="s">
        <v>150</v>
      </c>
      <c r="B142" t="s">
        <v>181</v>
      </c>
      <c r="C142">
        <f>+'at Pit'!C142+'at GB'!C142+'at Min'!C142+'vs Bal'!C142+'vs Det'!C142+'at Cle'!C142+'vs LA'!C142+'at Det'!C142+'vs NY'!C142+'vs StL'!C142+'vs GB'!C142+'at SF'!C142+'vs Min'!C142+'at Atl'!C142+'Gm 15'!C142+'Gm 16'!C142</f>
        <v>0</v>
      </c>
      <c r="D142">
        <f>+'at Pit'!D142+'at GB'!D142+'at Min'!D142+'vs Bal'!D142+'vs Det'!D142+'at Cle'!D142+'vs LA'!D142+'at Det'!D142+'vs NY'!D142+'vs StL'!D142+'vs GB'!D142+'at SF'!D142+'vs Min'!D142+'at Atl'!D142+'Gm 15'!D142+'Gm 16'!D142</f>
        <v>0</v>
      </c>
      <c r="E142" s="12">
        <f t="shared" si="21"/>
        <v>0</v>
      </c>
      <c r="F142">
        <f>MAX('at Pit'!F142,'at GB'!F142,'at Min'!F142,'vs Bal'!F142,'vs Det'!F142,'at Cle'!F142,'vs LA'!F142,'at Det'!F142,'vs NY'!F142,'vs StL'!F142,'vs GB'!F142,'at SF'!F142,'vs Min'!F142,'at Atl'!F142,'Gm 15'!F142,'Gm 16'!F142)</f>
        <v>0</v>
      </c>
      <c r="G142">
        <f>+'at Pit'!G142+'at GB'!G142+'at Min'!G142+'vs Bal'!G142+'vs Det'!G142+'at Cle'!G142+'vs LA'!G142+'at Det'!G142+'vs NY'!G142+'vs StL'!G142+'vs GB'!G142+'at SF'!G142+'vs Min'!G142+'at Atl'!G142+'Gm 15'!G142+'Gm 16'!G142</f>
        <v>0</v>
      </c>
      <c r="H142">
        <f>+'at Pit'!H142+'at GB'!H142+'at Min'!H142+'vs Bal'!H142+'vs Det'!H142+'at Cle'!H142+'vs LA'!H142+'at Det'!H142+'vs NY'!H142+'vs StL'!H142+'vs GB'!H142+'at SF'!H142+'vs Min'!H142+'at Atl'!H142+'Gm 15'!H142+'Gm 16'!H142</f>
        <v>0</v>
      </c>
    </row>
    <row r="143" spans="1:8" ht="12">
      <c r="A143" t="s">
        <v>151</v>
      </c>
      <c r="B143" t="s">
        <v>181</v>
      </c>
      <c r="C143">
        <f>+'at Pit'!C143+'at GB'!C143+'at Min'!C143+'vs Bal'!C143+'vs Det'!C143+'at Cle'!C143+'vs LA'!C143+'at Det'!C143+'vs NY'!C143+'vs StL'!C143+'vs GB'!C143+'at SF'!C143+'vs Min'!C143+'at Atl'!C143+'Gm 15'!C143+'Gm 16'!C143</f>
        <v>0</v>
      </c>
      <c r="D143">
        <f>+'at Pit'!D143+'at GB'!D143+'at Min'!D143+'vs Bal'!D143+'vs Det'!D143+'at Cle'!D143+'vs LA'!D143+'at Det'!D143+'vs NY'!D143+'vs StL'!D143+'vs GB'!D143+'at SF'!D143+'vs Min'!D143+'at Atl'!D143+'Gm 15'!D143+'Gm 16'!D143</f>
        <v>0</v>
      </c>
      <c r="E143" s="12">
        <f t="shared" si="21"/>
        <v>0</v>
      </c>
      <c r="F143">
        <f>MAX('at Pit'!F143,'at GB'!F143,'at Min'!F143,'vs Bal'!F143,'vs Det'!F143,'at Cle'!F143,'vs LA'!F143,'at Det'!F143,'vs NY'!F143,'vs StL'!F143,'vs GB'!F143,'at SF'!F143,'vs Min'!F143,'at Atl'!F143,'Gm 15'!F143,'Gm 16'!F143)</f>
        <v>0</v>
      </c>
      <c r="G143">
        <f>+'at Pit'!G143+'at GB'!G143+'at Min'!G143+'vs Bal'!G143+'vs Det'!G143+'at Cle'!G143+'vs LA'!G143+'at Det'!G143+'vs NY'!G143+'vs StL'!G143+'vs GB'!G143+'at SF'!G143+'vs Min'!G143+'at Atl'!G143+'Gm 15'!G143+'Gm 16'!G143</f>
        <v>0</v>
      </c>
      <c r="H143">
        <f>+'at Pit'!H143+'at GB'!H143+'at Min'!H143+'vs Bal'!H143+'vs Det'!H143+'at Cle'!H143+'vs LA'!H143+'at Det'!H143+'vs NY'!H143+'vs StL'!H143+'vs GB'!H143+'at SF'!H143+'vs Min'!H143+'at Atl'!H143+'Gm 15'!H143+'Gm 16'!H143</f>
        <v>0</v>
      </c>
    </row>
    <row r="144" spans="1:8" ht="12">
      <c r="A144" t="s">
        <v>152</v>
      </c>
      <c r="B144" t="s">
        <v>181</v>
      </c>
      <c r="C144">
        <f>+'at Pit'!C144+'at GB'!C144+'at Min'!C144+'vs Bal'!C144+'vs Det'!C144+'at Cle'!C144+'vs LA'!C144+'at Det'!C144+'vs NY'!C144+'vs StL'!C144+'vs GB'!C144+'at SF'!C144+'vs Min'!C144+'at Atl'!C144+'Gm 15'!C144+'Gm 16'!C144</f>
        <v>0</v>
      </c>
      <c r="D144">
        <f>+'at Pit'!D144+'at GB'!D144+'at Min'!D144+'vs Bal'!D144+'vs Det'!D144+'at Cle'!D144+'vs LA'!D144+'at Det'!D144+'vs NY'!D144+'vs StL'!D144+'vs GB'!D144+'at SF'!D144+'vs Min'!D144+'at Atl'!D144+'Gm 15'!D144+'Gm 16'!D144</f>
        <v>0</v>
      </c>
      <c r="E144" s="12">
        <f t="shared" si="21"/>
        <v>0</v>
      </c>
      <c r="F144">
        <f>MAX('at Pit'!F144,'at GB'!F144,'at Min'!F144,'vs Bal'!F144,'vs Det'!F144,'at Cle'!F144,'vs LA'!F144,'at Det'!F144,'vs NY'!F144,'vs StL'!F144,'vs GB'!F144,'at SF'!F144,'vs Min'!F144,'at Atl'!F144,'Gm 15'!F144,'Gm 16'!F144)</f>
        <v>0</v>
      </c>
      <c r="G144">
        <f>+'at Pit'!G144+'at GB'!G144+'at Min'!G144+'vs Bal'!G144+'vs Det'!G144+'at Cle'!G144+'vs LA'!G144+'at Det'!G144+'vs NY'!G144+'vs StL'!G144+'vs GB'!G144+'at SF'!G144+'vs Min'!G144+'at Atl'!G144+'Gm 15'!G144+'Gm 16'!G144</f>
        <v>0</v>
      </c>
      <c r="H144">
        <f>+'at Pit'!H144+'at GB'!H144+'at Min'!H144+'vs Bal'!H144+'vs Det'!H144+'at Cle'!H144+'vs LA'!H144+'at Det'!H144+'vs NY'!H144+'vs StL'!H144+'vs GB'!H144+'at SF'!H144+'vs Min'!H144+'at Atl'!H144+'Gm 15'!H144+'Gm 16'!H144</f>
        <v>0</v>
      </c>
    </row>
    <row r="145" spans="1:8" ht="12">
      <c r="A145" t="s">
        <v>138</v>
      </c>
      <c r="B145" t="s">
        <v>181</v>
      </c>
      <c r="C145">
        <f>+'at Pit'!C145+'at GB'!C145+'at Min'!C145+'vs Bal'!C145+'vs Det'!C145+'at Cle'!C145+'vs LA'!C145+'at Det'!C145+'vs NY'!C145+'vs StL'!C145+'vs GB'!C145+'at SF'!C145+'vs Min'!C145+'at Atl'!C145+'Gm 15'!C145+'Gm 16'!C145</f>
        <v>7</v>
      </c>
      <c r="D145">
        <f>+'at Pit'!D145+'at GB'!D145+'at Min'!D145+'vs Bal'!D145+'vs Det'!D145+'at Cle'!D145+'vs LA'!D145+'at Det'!D145+'vs NY'!D145+'vs StL'!D145+'vs GB'!D145+'at SF'!D145+'vs Min'!D145+'at Atl'!D145+'Gm 15'!D145+'Gm 16'!D145</f>
        <v>112</v>
      </c>
      <c r="E145" s="12">
        <f t="shared" si="21"/>
        <v>16</v>
      </c>
      <c r="F145">
        <f>MAX('at Pit'!F145,'at GB'!F145,'at Min'!F145,'vs Bal'!F145,'vs Det'!F145,'at Cle'!F145,'vs LA'!F145,'at Det'!F145,'vs NY'!F145,'vs StL'!F145,'vs GB'!F145,'at SF'!F145,'vs Min'!F145,'at Atl'!F145,'Gm 15'!F145,'Gm 16'!F145)</f>
        <v>27</v>
      </c>
      <c r="G145">
        <f>+'at Pit'!G145+'at GB'!G145+'at Min'!G145+'vs Bal'!G145+'vs Det'!G145+'at Cle'!G145+'vs LA'!G145+'at Det'!G145+'vs NY'!G145+'vs StL'!G145+'vs GB'!G145+'at SF'!G145+'vs Min'!G145+'at Atl'!G145+'Gm 15'!G145+'Gm 16'!G145</f>
        <v>0</v>
      </c>
      <c r="H145">
        <f>+'at Pit'!H145+'at GB'!H145+'at Min'!H145+'vs Bal'!H145+'vs Det'!H145+'at Cle'!H145+'vs LA'!H145+'at Det'!H145+'vs NY'!H145+'vs StL'!H145+'vs GB'!H145+'at SF'!H145+'vs Min'!H145+'at Atl'!H145+'Gm 15'!H145+'Gm 16'!H145</f>
        <v>1</v>
      </c>
    </row>
    <row r="146" spans="1:8" ht="12">
      <c r="A146" t="s">
        <v>143</v>
      </c>
      <c r="B146" t="s">
        <v>181</v>
      </c>
      <c r="C146">
        <f>+'at Pit'!C146+'at GB'!C146+'at Min'!C146+'vs Bal'!C146+'vs Det'!C146+'at Cle'!C146+'vs LA'!C146+'at Det'!C146+'vs NY'!C146+'vs StL'!C146+'vs GB'!C146+'at SF'!C146+'vs Min'!C146+'at Atl'!C146+'Gm 15'!C146+'Gm 16'!C146</f>
        <v>23</v>
      </c>
      <c r="D146">
        <f>+'at Pit'!D146+'at GB'!D146+'at Min'!D146+'vs Bal'!D146+'vs Det'!D146+'at Cle'!D146+'vs LA'!D146+'at Det'!D146+'vs NY'!D146+'vs StL'!D146+'vs GB'!D146+'at SF'!D146+'vs Min'!D146+'at Atl'!D146+'Gm 15'!D146+'Gm 16'!D146</f>
        <v>920</v>
      </c>
      <c r="E146" s="12">
        <f t="shared" si="21"/>
        <v>40</v>
      </c>
      <c r="F146">
        <f>MAX('at Pit'!F146,'at GB'!F146,'at Min'!F146,'vs Bal'!F146,'vs Det'!F146,'at Cle'!F146,'vs LA'!F146,'at Det'!F146,'vs NY'!F146,'vs StL'!F146,'vs GB'!F146,'at SF'!F146,'vs Min'!F146,'at Atl'!F146,'Gm 15'!F146,'Gm 16'!F146)</f>
        <v>102</v>
      </c>
      <c r="G146">
        <f>+'at Pit'!G146+'at GB'!G146+'at Min'!G146+'vs Bal'!G146+'vs Det'!G146+'at Cle'!G146+'vs LA'!G146+'at Det'!G146+'vs NY'!G146+'vs StL'!G146+'vs GB'!G146+'at SF'!G146+'vs Min'!G146+'at Atl'!G146+'Gm 15'!G146+'Gm 16'!G146</f>
        <v>3</v>
      </c>
      <c r="H146">
        <f>+'at Pit'!H146+'at GB'!H146+'at Min'!H146+'vs Bal'!H146+'vs Det'!H146+'at Cle'!H146+'vs LA'!H146+'at Det'!H146+'vs NY'!H146+'vs StL'!H146+'vs GB'!H146+'at SF'!H146+'vs Min'!H146+'at Atl'!H146+'Gm 15'!H146+'Gm 16'!H146</f>
        <v>0</v>
      </c>
    </row>
    <row r="147" spans="1:8" ht="12">
      <c r="A147" t="s">
        <v>146</v>
      </c>
      <c r="B147" t="s">
        <v>181</v>
      </c>
      <c r="C147">
        <f>+'at Pit'!C147+'at GB'!C147+'at Min'!C147+'vs Bal'!C147+'vs Det'!C147+'at Cle'!C147+'vs LA'!C147+'at Det'!C147+'vs NY'!C147+'vs StL'!C147+'vs GB'!C147+'at SF'!C147+'vs Min'!C147+'at Atl'!C147+'Gm 15'!C147+'Gm 16'!C147</f>
        <v>1</v>
      </c>
      <c r="D147">
        <f>+'at Pit'!D147+'at GB'!D147+'at Min'!D147+'vs Bal'!D147+'vs Det'!D147+'at Cle'!D147+'vs LA'!D147+'at Det'!D147+'vs NY'!D147+'vs StL'!D147+'vs GB'!D147+'at SF'!D147+'vs Min'!D147+'at Atl'!D147+'Gm 15'!D147+'Gm 16'!D147</f>
        <v>0</v>
      </c>
      <c r="E147" s="12">
        <f t="shared" si="21"/>
        <v>0</v>
      </c>
      <c r="F147">
        <f>MAX('at Pit'!F147,'at GB'!F147,'at Min'!F147,'vs Bal'!F147,'vs Det'!F147,'at Cle'!F147,'vs LA'!F147,'at Det'!F147,'vs NY'!F147,'vs StL'!F147,'vs GB'!F147,'at SF'!F147,'vs Min'!F147,'at Atl'!F147,'Gm 15'!F147,'Gm 16'!F147)</f>
        <v>0</v>
      </c>
      <c r="G147">
        <f>+'at Pit'!G147+'at GB'!G147+'at Min'!G147+'vs Bal'!G147+'vs Det'!G147+'at Cle'!G147+'vs LA'!G147+'at Det'!G147+'vs NY'!G147+'vs StL'!G147+'vs GB'!G147+'at SF'!G147+'vs Min'!G147+'at Atl'!G147+'Gm 15'!G147+'Gm 16'!G147</f>
        <v>0</v>
      </c>
      <c r="H147">
        <f>+'at Pit'!H147+'at GB'!H147+'at Min'!H147+'vs Bal'!H147+'vs Det'!H147+'at Cle'!H147+'vs LA'!H147+'at Det'!H147+'vs NY'!H147+'vs StL'!H147+'vs GB'!H147+'at SF'!H147+'vs Min'!H147+'at Atl'!H147+'Gm 15'!H147+'Gm 16'!H147</f>
        <v>0</v>
      </c>
    </row>
    <row r="148" spans="1:8" ht="12">
      <c r="A148" t="s">
        <v>153</v>
      </c>
      <c r="B148" t="s">
        <v>181</v>
      </c>
      <c r="C148">
        <f>+'at Pit'!C148+'at GB'!C148+'at Min'!C148+'vs Bal'!C148+'vs Det'!C148+'at Cle'!C148+'vs LA'!C148+'at Det'!C148+'vs NY'!C148+'vs StL'!C148+'vs GB'!C148+'at SF'!C148+'vs Min'!C148+'at Atl'!C148+'Gm 15'!C148+'Gm 16'!C148</f>
        <v>0</v>
      </c>
      <c r="D148">
        <f>+'at Pit'!D148+'at GB'!D148+'at Min'!D148+'vs Bal'!D148+'vs Det'!D148+'at Cle'!D148+'vs LA'!D148+'at Det'!D148+'vs NY'!D148+'vs StL'!D148+'vs GB'!D148+'at SF'!D148+'vs Min'!D148+'at Atl'!D148+'Gm 15'!D148+'Gm 16'!D148</f>
        <v>0</v>
      </c>
      <c r="E148" s="12">
        <f>IF(C148=0,0,+D148/C148)</f>
        <v>0</v>
      </c>
      <c r="F148">
        <f>MAX('at Pit'!F148,'at GB'!F148,'at Min'!F148,'vs Bal'!F148,'vs Det'!F148,'at Cle'!F148,'vs LA'!F148,'at Det'!F148,'vs NY'!F148,'vs StL'!F148,'vs GB'!F148,'at SF'!F148,'vs Min'!F148,'at Atl'!F148,'Gm 15'!F148,'Gm 16'!F148)</f>
        <v>0</v>
      </c>
      <c r="G148">
        <f>+'at Pit'!G148+'at GB'!G148+'at Min'!G148+'vs Bal'!G148+'vs Det'!G148+'at Cle'!G148+'vs LA'!G148+'at Det'!G148+'vs NY'!G148+'vs StL'!G148+'vs GB'!G148+'at SF'!G148+'vs Min'!G148+'at Atl'!G148+'Gm 15'!G148+'Gm 16'!G148</f>
        <v>0</v>
      </c>
      <c r="H148">
        <f>+'at Pit'!H148+'at GB'!H148+'at Min'!H148+'vs Bal'!H148+'vs Det'!H148+'at Cle'!H148+'vs LA'!H148+'at Det'!H148+'vs NY'!H148+'vs StL'!H148+'vs GB'!H148+'at SF'!H148+'vs Min'!H148+'at Atl'!H148+'Gm 15'!H148+'Gm 16'!H148</f>
        <v>0</v>
      </c>
    </row>
    <row r="149" spans="3:8" ht="12">
      <c r="C149">
        <f>+'at Pit'!C149+'at GB'!C149+'at Min'!C149+'vs Bal'!C149+'vs Det'!C149+'at Cle'!C149+'vs LA'!C149+'at Det'!C149+'vs NY'!C149+'vs StL'!C149+'vs GB'!C149+'at SF'!C149+'vs Min'!C149+'at Atl'!C149+'Gm 15'!C149+'Gm 16'!C149</f>
        <v>0</v>
      </c>
      <c r="D149">
        <f>+'at Pit'!D149+'at GB'!D149+'at Min'!D149+'vs Bal'!D149+'vs Det'!D149+'at Cle'!D149+'vs LA'!D149+'at Det'!D149+'vs NY'!D149+'vs StL'!D149+'vs GB'!D149+'at SF'!D149+'vs Min'!D149+'at Atl'!D149+'Gm 15'!D149+'Gm 16'!D149</f>
        <v>0</v>
      </c>
      <c r="E149" s="12">
        <f>IF(C149=0,0,+D149/C149)</f>
        <v>0</v>
      </c>
      <c r="F149">
        <f>MAX('at Pit'!F149,'at GB'!F149,'at Min'!F149,'vs Bal'!F149,'vs Det'!F149,'at Cle'!F149,'vs LA'!F149,'at Det'!F149,'vs NY'!F149,'vs StL'!F149,'vs GB'!F149,'at SF'!F149,'vs Min'!F149,'at Atl'!F149,'Gm 15'!F149,'Gm 16'!F149)</f>
        <v>0</v>
      </c>
      <c r="G149">
        <f>+'at Pit'!G149+'at GB'!G149+'at Min'!G149+'vs Bal'!G149+'vs Det'!G149+'at Cle'!G149+'vs LA'!G149+'at Det'!G149+'vs NY'!G149+'vs StL'!G149+'vs GB'!G149+'at SF'!G149+'vs Min'!G149+'at Atl'!G149+'Gm 15'!G149+'Gm 16'!G149</f>
        <v>0</v>
      </c>
      <c r="H149">
        <f>+'at Pit'!H149+'at GB'!H149+'at Min'!H149+'vs Bal'!H149+'vs Det'!H149+'at Cle'!H149+'vs LA'!H149+'at Det'!H149+'vs NY'!H149+'vs StL'!H149+'vs GB'!H149+'at SF'!H149+'vs Min'!H149+'at Atl'!H149+'Gm 15'!H149+'Gm 16'!H149</f>
        <v>0</v>
      </c>
    </row>
    <row r="150" spans="3:8" ht="12">
      <c r="C150">
        <f>+'at Pit'!C150+'at GB'!C150+'at Min'!C150+'vs Bal'!C150+'vs Det'!C150+'at Cle'!C150+'vs LA'!C150+'at Det'!C150+'vs NY'!C150+'vs StL'!C150+'vs GB'!C150+'at SF'!C150+'vs Min'!C150+'at Atl'!C150+'Gm 15'!C150+'Gm 16'!C150</f>
        <v>0</v>
      </c>
      <c r="D150">
        <f>+'at Pit'!D150+'at GB'!D150+'at Min'!D150+'vs Bal'!D150+'vs Det'!D150+'at Cle'!D150+'vs LA'!D150+'at Det'!D150+'vs NY'!D150+'vs StL'!D150+'vs GB'!D150+'at SF'!D150+'vs Min'!D150+'at Atl'!D150+'Gm 15'!D150+'Gm 16'!D150</f>
        <v>0</v>
      </c>
      <c r="E150" s="12">
        <f>IF(C150=0,0,+D150/C150)</f>
        <v>0</v>
      </c>
      <c r="F150">
        <f>MAX('at Pit'!F150,'at GB'!F150,'at Min'!F150,'vs Bal'!F150,'vs Det'!F150,'at Cle'!F150,'vs LA'!F150,'at Det'!F150,'vs NY'!F150,'vs StL'!F150,'vs GB'!F150,'at SF'!F150,'vs Min'!F150,'at Atl'!F150,'Gm 15'!F150,'Gm 16'!F150)</f>
        <v>0</v>
      </c>
      <c r="G150">
        <f>+'at Pit'!G150+'at GB'!G150+'at Min'!G150+'vs Bal'!G150+'vs Det'!G150+'at Cle'!G150+'vs LA'!G150+'at Det'!G150+'vs NY'!G150+'vs StL'!G150+'vs GB'!G150+'at SF'!G150+'vs Min'!G150+'at Atl'!G150+'Gm 15'!G150+'Gm 16'!G150</f>
        <v>0</v>
      </c>
      <c r="H150">
        <f>+'at Pit'!H150+'at GB'!H150+'at Min'!H150+'vs Bal'!H150+'vs Det'!H150+'at Cle'!H150+'vs LA'!H150+'at Det'!H150+'vs NY'!H150+'vs StL'!H150+'vs GB'!H150+'at SF'!H150+'vs Min'!H150+'at Atl'!H150+'Gm 15'!H150+'Gm 16'!H150</f>
        <v>0</v>
      </c>
    </row>
    <row r="151" spans="3:8" ht="12">
      <c r="C151">
        <f>+'at Pit'!C151+'at GB'!C151+'at Min'!C151+'vs Bal'!C151+'vs Det'!C151+'at Cle'!C151+'vs LA'!C151+'at Det'!C151+'vs NY'!C151+'vs StL'!C151+'vs GB'!C151+'at SF'!C151+'vs Min'!C151+'at Atl'!C151+'Gm 15'!C151+'Gm 16'!C151</f>
        <v>0</v>
      </c>
      <c r="D151">
        <f>+'at Pit'!D151+'at GB'!D151+'at Min'!D151+'vs Bal'!D151+'vs Det'!D151+'at Cle'!D151+'vs LA'!D151+'at Det'!D151+'vs NY'!D151+'vs StL'!D151+'vs GB'!D151+'at SF'!D151+'vs Min'!D151+'at Atl'!D151+'Gm 15'!D151+'Gm 16'!D151</f>
        <v>0</v>
      </c>
      <c r="E151" s="12">
        <f>IF(C151=0,0,+D151/C151)</f>
        <v>0</v>
      </c>
      <c r="F151">
        <f>MAX('at Pit'!F151,'at GB'!F151,'at Min'!F151,'vs Bal'!F151,'vs Det'!F151,'at Cle'!F151,'vs LA'!F151,'at Det'!F151,'vs NY'!F151,'vs StL'!F151,'vs GB'!F151,'at SF'!F151,'vs Min'!F151,'at Atl'!F151,'Gm 15'!F151,'Gm 16'!F151)</f>
        <v>0</v>
      </c>
      <c r="G151">
        <f>+'at Pit'!G151+'at GB'!G151+'at Min'!G151+'vs Bal'!G151+'vs Det'!G151+'at Cle'!G151+'vs LA'!G151+'at Det'!G151+'vs NY'!G151+'vs StL'!G151+'vs GB'!G151+'at SF'!G151+'vs Min'!G151+'at Atl'!G151+'Gm 15'!G151+'Gm 16'!G151</f>
        <v>0</v>
      </c>
      <c r="H151">
        <f>+'at Pit'!H151+'at GB'!H151+'at Min'!H151+'vs Bal'!H151+'vs Det'!H151+'at Cle'!H151+'vs LA'!H151+'at Det'!H151+'vs NY'!H151+'vs StL'!H151+'vs GB'!H151+'at SF'!H151+'vs Min'!H151+'at Atl'!H151+'Gm 15'!H151+'Gm 16'!H151</f>
        <v>0</v>
      </c>
    </row>
    <row r="153" spans="1:8" ht="12">
      <c r="A153" s="2" t="s">
        <v>75</v>
      </c>
      <c r="C153" s="3" t="s">
        <v>72</v>
      </c>
      <c r="D153" s="3" t="s">
        <v>74</v>
      </c>
      <c r="E153" s="3" t="s">
        <v>53</v>
      </c>
      <c r="F153" s="3" t="s">
        <v>64</v>
      </c>
      <c r="G153" s="3" t="s">
        <v>76</v>
      </c>
      <c r="H153" s="3" t="s">
        <v>84</v>
      </c>
    </row>
    <row r="154" spans="1:8" ht="12">
      <c r="A154" t="s">
        <v>154</v>
      </c>
      <c r="B154" t="s">
        <v>181</v>
      </c>
      <c r="C154">
        <f>+'at Pit'!C154+'at GB'!C154+'at Min'!C154+'vs Bal'!C154+'vs Det'!C154+'at Cle'!C154+'vs LA'!C154+'at Det'!C154+'vs NY'!C154+'vs StL'!C154+'vs GB'!C154+'at SF'!C154+'vs Min'!C154+'at Atl'!C154+'Gm 15'!C154+'Gm 16'!C154</f>
        <v>58</v>
      </c>
      <c r="D154">
        <f>+'at Pit'!D154+'at GB'!D154+'at Min'!D154+'vs Bal'!D154+'vs Det'!D154+'at Cle'!D154+'vs LA'!D154+'at Det'!D154+'vs NY'!D154+'vs StL'!D154+'vs GB'!D154+'at SF'!D154+'vs Min'!D154+'at Atl'!D154+'Gm 15'!D154+'Gm 16'!D154</f>
        <v>2451</v>
      </c>
      <c r="E154" s="12">
        <f>IF(C154=0,0,+D154/C154)</f>
        <v>42.258620689655174</v>
      </c>
      <c r="F154">
        <f>MAX('at Pit'!F154,'at GB'!F154,'at Min'!F154,'vs Bal'!F154,'vs Det'!F154,'at Cle'!F154,'vs LA'!F154,'at Det'!F154,'vs NY'!F154,'vs StL'!F154,'vs GB'!F154,'at SF'!F154,'vs Min'!F154,'at Atl'!F154,'Gm 15'!F154,'Gm 16'!F154)</f>
        <v>78</v>
      </c>
      <c r="G154">
        <f>+'at Pit'!G154+'at GB'!G154+'at Min'!G154+'vs Bal'!G154+'vs Det'!G154+'at Cle'!G154+'vs LA'!G154+'at Det'!G154+'vs NY'!G154+'vs StL'!G154+'vs GB'!G154+'at SF'!G154+'vs Min'!G154+'at Atl'!G154+'Gm 15'!G154+'Gm 16'!G154</f>
        <v>0</v>
      </c>
      <c r="H154">
        <f>+'at Pit'!H154+'at GB'!H154+'at Min'!H154+'vs Bal'!H154+'vs Det'!H154+'at Cle'!H154+'vs LA'!H154+'at Det'!H154+'vs NY'!H154+'vs StL'!H154+'vs GB'!H154+'at SF'!H154+'vs Min'!H154+'at Atl'!H154+'Gm 15'!H154+'Gm 16'!H154</f>
        <v>0</v>
      </c>
    </row>
    <row r="155" spans="3:8" ht="12">
      <c r="C155">
        <f>+'at Pit'!C155+'at GB'!C155+'at Min'!C155+'vs Bal'!C155+'vs Det'!C155+'at Cle'!C155+'vs LA'!C155+'at Det'!C155+'vs NY'!C155+'vs StL'!C155+'vs GB'!C155+'at SF'!C155+'vs Min'!C155+'at Atl'!C155+'Gm 15'!C155+'Gm 16'!C155</f>
        <v>0</v>
      </c>
      <c r="D155">
        <f>+'at Pit'!D155+'at GB'!D155+'at Min'!D155+'vs Bal'!D155+'vs Det'!D155+'at Cle'!D155+'vs LA'!D155+'at Det'!D155+'vs NY'!D155+'vs StL'!D155+'vs GB'!D155+'at SF'!D155+'vs Min'!D155+'at Atl'!D155+'Gm 15'!D155+'Gm 16'!D155</f>
        <v>0</v>
      </c>
      <c r="E155" s="12">
        <f>IF(C155=0,0,+D155/C155)</f>
        <v>0</v>
      </c>
      <c r="F155">
        <f>MAX('at Pit'!F155,'at GB'!F155,'at Min'!F155,'vs Bal'!F155,'vs Det'!F155,'at Cle'!F155,'vs LA'!F155,'at Det'!F155,'vs NY'!F155,'vs StL'!F155,'vs GB'!F155,'at SF'!F155,'vs Min'!F155,'at Atl'!F155,'Gm 15'!F155,'Gm 16'!F155)</f>
        <v>0</v>
      </c>
      <c r="G155">
        <f>+'at Pit'!G155+'at GB'!G155+'at Min'!G155+'vs Bal'!G155+'vs Det'!G155+'at Cle'!G155+'vs LA'!G155+'at Det'!G155+'vs NY'!G155+'vs StL'!G155+'vs GB'!G155+'at SF'!G155+'vs Min'!G155+'at Atl'!G155+'Gm 15'!G155+'Gm 16'!G155</f>
        <v>0</v>
      </c>
      <c r="H155">
        <f>+'at Pit'!H155+'at GB'!H155+'at Min'!H155+'vs Bal'!H155+'vs Det'!H155+'at Cle'!H155+'vs LA'!H155+'at Det'!H155+'vs NY'!H155+'vs StL'!H155+'vs GB'!H155+'at SF'!H155+'vs Min'!H155+'at Atl'!H155+'Gm 15'!H155+'Gm 16'!H155</f>
        <v>0</v>
      </c>
    </row>
    <row r="156" spans="3:8" ht="12">
      <c r="C156">
        <f>+'at Pit'!C156+'at GB'!C156+'at Min'!C156+'vs Bal'!C156+'vs Det'!C156+'at Cle'!C156+'vs LA'!C156+'at Det'!C156+'vs NY'!C156+'vs StL'!C156+'vs GB'!C156+'at SF'!C156+'vs Min'!C156+'at Atl'!C156+'Gm 15'!C156+'Gm 16'!C156</f>
        <v>0</v>
      </c>
      <c r="D156">
        <f>+'at Pit'!D156+'at GB'!D156+'at Min'!D156+'vs Bal'!D156+'vs Det'!D156+'at Cle'!D156+'vs LA'!D156+'at Det'!D156+'vs NY'!D156+'vs StL'!D156+'vs GB'!D156+'at SF'!D156+'vs Min'!D156+'at Atl'!D156+'Gm 15'!D156+'Gm 16'!D156</f>
        <v>0</v>
      </c>
      <c r="E156" s="12">
        <f>IF(C156=0,0,+D156/C156)</f>
        <v>0</v>
      </c>
      <c r="F156">
        <f>MAX('at Pit'!F156,'at GB'!F156,'at Min'!F156,'vs Bal'!F156,'vs Det'!F156,'at Cle'!F156,'vs LA'!F156,'at Det'!F156,'vs NY'!F156,'vs StL'!F156,'vs GB'!F156,'at SF'!F156,'vs Min'!F156,'at Atl'!F156,'Gm 15'!F156,'Gm 16'!F156)</f>
        <v>0</v>
      </c>
      <c r="G156">
        <f>+'at Pit'!G156+'at GB'!G156+'at Min'!G156+'vs Bal'!G156+'vs Det'!G156+'at Cle'!G156+'vs LA'!G156+'at Det'!G156+'vs NY'!G156+'vs StL'!G156+'vs GB'!G156+'at SF'!G156+'vs Min'!G156+'at Atl'!G156+'Gm 15'!G156+'Gm 16'!G156</f>
        <v>0</v>
      </c>
      <c r="H156">
        <f>+'at Pit'!H156+'at GB'!H156+'at Min'!H156+'vs Bal'!H156+'vs Det'!H156+'at Cle'!H156+'vs LA'!H156+'at Det'!H156+'vs NY'!H156+'vs StL'!H156+'vs GB'!H156+'at SF'!H156+'vs Min'!H156+'at Atl'!H156+'Gm 15'!H156+'Gm 16'!H156</f>
        <v>0</v>
      </c>
    </row>
    <row r="157" spans="3:8" ht="12">
      <c r="C157">
        <f>+'at Pit'!C157+'at GB'!C157+'at Min'!C157+'vs Bal'!C157+'vs Det'!C157+'at Cle'!C157+'vs LA'!C157+'at Det'!C157+'vs NY'!C157+'vs StL'!C157+'vs GB'!C157+'at SF'!C157+'vs Min'!C157+'at Atl'!C157+'Gm 15'!C157+'Gm 16'!C157</f>
        <v>0</v>
      </c>
      <c r="D157">
        <f>+'at Pit'!D157+'at GB'!D157+'at Min'!D157+'vs Bal'!D157+'vs Det'!D157+'at Cle'!D157+'vs LA'!D157+'at Det'!D157+'vs NY'!D157+'vs StL'!D157+'vs GB'!D157+'at SF'!D157+'vs Min'!D157+'at Atl'!D157+'Gm 15'!D157+'Gm 16'!D157</f>
        <v>0</v>
      </c>
      <c r="E157" s="12">
        <f>IF(C157=0,0,+D157/C157)</f>
        <v>0</v>
      </c>
      <c r="F157">
        <f>MAX('at Pit'!F157,'at GB'!F157,'at Min'!F157,'vs Bal'!F157,'vs Det'!F157,'at Cle'!F157,'vs LA'!F157,'at Det'!F157,'vs NY'!F157,'vs StL'!F157,'vs GB'!F157,'at SF'!F157,'vs Min'!F157,'at Atl'!F157,'Gm 15'!F157,'Gm 16'!F157)</f>
        <v>0</v>
      </c>
      <c r="G157">
        <f>+'at Pit'!G157+'at GB'!G157+'at Min'!G157+'vs Bal'!G157+'vs Det'!G157+'at Cle'!G157+'vs LA'!G157+'at Det'!G157+'vs NY'!G157+'vs StL'!G157+'vs GB'!G157+'at SF'!G157+'vs Min'!G157+'at Atl'!G157+'Gm 15'!G157+'Gm 16'!G157</f>
        <v>0</v>
      </c>
      <c r="H157">
        <f>+'at Pit'!H157+'at GB'!H157+'at Min'!H157+'vs Bal'!H157+'vs Det'!H157+'at Cle'!H157+'vs LA'!H157+'at Det'!H157+'vs NY'!H157+'vs StL'!H157+'vs GB'!H157+'at SF'!H157+'vs Min'!H157+'at Atl'!H157+'Gm 15'!H157+'Gm 16'!H157</f>
        <v>0</v>
      </c>
    </row>
    <row r="158" spans="3:8" ht="12">
      <c r="C158">
        <f>+'at Pit'!C158+'at GB'!C158+'at Min'!C158+'vs Bal'!C158+'vs Det'!C158+'at Cle'!C158+'vs LA'!C158+'at Det'!C158+'vs NY'!C158+'vs StL'!C158+'vs GB'!C158+'at SF'!C158+'vs Min'!C158+'at Atl'!C158+'Gm 15'!C158+'Gm 16'!C158</f>
        <v>0</v>
      </c>
      <c r="D158">
        <f>+'at Pit'!D158+'at GB'!D158+'at Min'!D158+'vs Bal'!D158+'vs Det'!D158+'at Cle'!D158+'vs LA'!D158+'at Det'!D158+'vs NY'!D158+'vs StL'!D158+'vs GB'!D158+'at SF'!D158+'vs Min'!D158+'at Atl'!D158+'Gm 15'!D158+'Gm 16'!D158</f>
        <v>0</v>
      </c>
      <c r="E158" s="12">
        <f>IF(C158=0,0,+D158/C158)</f>
        <v>0</v>
      </c>
      <c r="F158">
        <f>MAX('at Pit'!F158,'at GB'!F158,'at Min'!F158,'vs Bal'!F158,'vs Det'!F158,'at Cle'!F158,'vs LA'!F158,'at Det'!F158,'vs NY'!F158,'vs StL'!F158,'vs GB'!F158,'at SF'!F158,'vs Min'!F158,'at Atl'!F158,'Gm 15'!F158,'Gm 16'!F158)</f>
        <v>0</v>
      </c>
      <c r="G158">
        <f>+'at Pit'!G158+'at GB'!G158+'at Min'!G158+'vs Bal'!G158+'vs Det'!G158+'at Cle'!G158+'vs LA'!G158+'at Det'!G158+'vs NY'!G158+'vs StL'!G158+'vs GB'!G158+'at SF'!G158+'vs Min'!G158+'at Atl'!G158+'Gm 15'!G158+'Gm 16'!G158</f>
        <v>0</v>
      </c>
      <c r="H158">
        <f>+'at Pit'!H158+'at GB'!H158+'at Min'!H158+'vs Bal'!H158+'vs Det'!H158+'at Cle'!H158+'vs LA'!H158+'at Det'!H158+'vs NY'!H158+'vs StL'!H158+'vs GB'!H158+'at SF'!H158+'vs Min'!H158+'at Atl'!H158+'Gm 15'!H158+'Gm 16'!H158</f>
        <v>0</v>
      </c>
    </row>
    <row r="159" ht="12">
      <c r="E159" s="12"/>
    </row>
    <row r="160" spans="9:21" ht="12">
      <c r="I160" s="5" t="s">
        <v>67</v>
      </c>
      <c r="L160" s="32" t="s">
        <v>99</v>
      </c>
      <c r="M160" s="32"/>
      <c r="N160" s="32" t="s">
        <v>100</v>
      </c>
      <c r="O160" s="32"/>
      <c r="P160" s="32" t="s">
        <v>101</v>
      </c>
      <c r="Q160" s="32"/>
      <c r="R160" s="32" t="s">
        <v>102</v>
      </c>
      <c r="S160" s="32"/>
      <c r="T160" s="32" t="s">
        <v>103</v>
      </c>
      <c r="U160" s="32"/>
    </row>
    <row r="161" spans="1:23" ht="12">
      <c r="A161" s="4" t="s">
        <v>83</v>
      </c>
      <c r="C161" s="3" t="s">
        <v>77</v>
      </c>
      <c r="D161" s="3" t="s">
        <v>78</v>
      </c>
      <c r="E161" s="3" t="s">
        <v>79</v>
      </c>
      <c r="F161" s="3" t="s">
        <v>80</v>
      </c>
      <c r="G161" s="3" t="s">
        <v>81</v>
      </c>
      <c r="H161" s="3" t="s">
        <v>82</v>
      </c>
      <c r="I161" s="3" t="s">
        <v>86</v>
      </c>
      <c r="J161" s="3" t="s">
        <v>64</v>
      </c>
      <c r="L161" s="3" t="s">
        <v>81</v>
      </c>
      <c r="M161" s="3" t="s">
        <v>82</v>
      </c>
      <c r="N161" s="3" t="s">
        <v>81</v>
      </c>
      <c r="O161" s="3" t="s">
        <v>82</v>
      </c>
      <c r="P161" s="3" t="s">
        <v>81</v>
      </c>
      <c r="Q161" s="3" t="s">
        <v>82</v>
      </c>
      <c r="R161" s="3" t="s">
        <v>81</v>
      </c>
      <c r="S161" s="3" t="s">
        <v>82</v>
      </c>
      <c r="T161" s="3" t="s">
        <v>81</v>
      </c>
      <c r="U161" s="3" t="s">
        <v>82</v>
      </c>
      <c r="V161" s="3" t="s">
        <v>81</v>
      </c>
      <c r="W161" s="3" t="s">
        <v>82</v>
      </c>
    </row>
    <row r="162" spans="1:23" ht="12">
      <c r="A162" t="s">
        <v>155</v>
      </c>
      <c r="B162" t="s">
        <v>181</v>
      </c>
      <c r="C162">
        <f>+'at Pit'!C162+'at GB'!C162+'at Min'!C162+'vs Bal'!C162+'vs Det'!C162+'at Cle'!C162+'vs LA'!C162+'at Det'!C162+'vs NY'!C162+'vs StL'!C162+'vs GB'!C162+'at SF'!C162+'vs Min'!C162+'at Atl'!C162+'Gm 15'!C162+'Gm 16'!C162</f>
        <v>58</v>
      </c>
      <c r="D162">
        <f>+'at Pit'!D162+'at GB'!D162+'at Min'!D162+'vs Bal'!D162+'vs Det'!D162+'at Cle'!D162+'vs LA'!D162+'at Det'!D162+'vs NY'!D162+'vs StL'!D162+'vs GB'!D162+'at SF'!D162+'vs Min'!D162+'at Atl'!D162+'Gm 15'!D162+'Gm 16'!D162</f>
        <v>4</v>
      </c>
      <c r="E162">
        <f>+'at Pit'!E162+'at GB'!E162+'at Min'!E162+'vs Bal'!E162+'vs Det'!E162+'at Cle'!E162+'vs LA'!E162+'at Det'!E162+'vs NY'!E162+'vs StL'!E162+'vs GB'!E162+'at SF'!E162+'vs Min'!E162+'at Atl'!E162+'Gm 15'!E162+'Gm 16'!E162</f>
        <v>26</v>
      </c>
      <c r="F162">
        <f>+'at Pit'!F162+'at GB'!F162+'at Min'!F162+'vs Bal'!F162+'vs Det'!F162+'at Cle'!F162+'vs LA'!F162+'at Det'!F162+'vs NY'!F162+'vs StL'!F162+'vs GB'!F162+'at SF'!F162+'vs Min'!F162+'at Atl'!F162+'Gm 15'!F162+'Gm 16'!F162</f>
        <v>23</v>
      </c>
      <c r="G162">
        <f>+'at Pit'!G162+'at GB'!G162+'at Min'!G162+'vs Bal'!G162+'vs Det'!G162+'at Cle'!G162+'vs LA'!G162+'at Det'!G162+'vs NY'!G162+'vs StL'!G162+'vs GB'!G162+'at SF'!G162+'vs Min'!G162+'at Atl'!G162+'Gm 15'!G162+'Gm 16'!G162</f>
        <v>39</v>
      </c>
      <c r="H162">
        <f>+'at Pit'!H162+'at GB'!H162+'at Min'!H162+'vs Bal'!H162+'vs Det'!H162+'at Cle'!H162+'vs LA'!H162+'at Det'!H162+'vs NY'!H162+'vs StL'!H162+'vs GB'!H162+'at SF'!H162+'vs Min'!H162+'at Atl'!H162+'Gm 15'!H162+'Gm 16'!H162</f>
        <v>19</v>
      </c>
      <c r="I162" s="12">
        <f aca="true" t="shared" si="22" ref="I162:I169">IF(G162=0,0,+H162/G162*100)</f>
        <v>48.717948717948715</v>
      </c>
      <c r="J162">
        <f>MAX('at Pit'!J162,'at GB'!J162,'at Min'!J162,'vs Bal'!J162,'vs Det'!J162,'at Cle'!J162,'vs LA'!J162,'at Det'!J162,'vs NY'!J162,'vs StL'!J162,'vs GB'!J162,'at SF'!J162,'vs Min'!J162,'at Atl'!J162,'Gm 15'!J162,'Gm 16'!J162)</f>
        <v>41</v>
      </c>
      <c r="L162">
        <f>+'at Pit'!L162+'at GB'!L162+'at Min'!L162+'vs Bal'!L162+'vs Det'!L162+'at Cle'!L162+'vs LA'!L162+'at Det'!L162+'vs NY'!L162+'vs StL'!L162+'vs GB'!L162+'at SF'!L162+'vs Min'!L162+'at Atl'!L162+'Gm 15'!L162+'Gm 16'!L162</f>
        <v>7</v>
      </c>
      <c r="M162">
        <f>+'at Pit'!M162+'at GB'!M162+'at Min'!M162+'vs Bal'!M162+'vs Det'!M162+'at Cle'!M162+'vs LA'!M162+'at Det'!M162+'vs NY'!M162+'vs StL'!M162+'vs GB'!M162+'at SF'!M162+'vs Min'!M162+'at Atl'!M162+'Gm 15'!M162+'Gm 16'!M162</f>
        <v>6</v>
      </c>
      <c r="N162">
        <f>+'at Pit'!N162+'at GB'!N162+'at Min'!N162+'vs Bal'!N162+'vs Det'!N162+'at Cle'!N162+'vs LA'!N162+'at Det'!N162+'vs NY'!N162+'vs StL'!N162+'vs GB'!N162+'at SF'!N162+'vs Min'!N162+'at Atl'!N162+'Gm 15'!N162+'Gm 16'!N162</f>
        <v>9</v>
      </c>
      <c r="O162">
        <f>+'at Pit'!O162+'at GB'!O162+'at Min'!O162+'vs Bal'!O162+'vs Det'!O162+'at Cle'!O162+'vs LA'!O162+'at Det'!O162+'vs NY'!O162+'vs StL'!O162+'vs GB'!O162+'at SF'!O162+'vs Min'!O162+'at Atl'!O162+'Gm 15'!O162+'Gm 16'!O162</f>
        <v>5</v>
      </c>
      <c r="P162">
        <f>+'at Pit'!P162+'at GB'!P162+'at Min'!P162+'vs Bal'!P162+'vs Det'!P162+'at Cle'!P162+'vs LA'!P162+'at Det'!P162+'vs NY'!P162+'vs StL'!P162+'vs GB'!P162+'at SF'!P162+'vs Min'!P162+'at Atl'!P162+'Gm 15'!P162+'Gm 16'!P162</f>
        <v>12</v>
      </c>
      <c r="Q162">
        <f>+'at Pit'!Q162+'at GB'!Q162+'at Min'!Q162+'vs Bal'!Q162+'vs Det'!Q162+'at Cle'!Q162+'vs LA'!Q162+'at Det'!Q162+'vs NY'!Q162+'vs StL'!Q162+'vs GB'!Q162+'at SF'!Q162+'vs Min'!Q162+'at Atl'!Q162+'Gm 15'!Q162+'Gm 16'!Q162</f>
        <v>5</v>
      </c>
      <c r="R162">
        <f>+'at Pit'!R162+'at GB'!R162+'at Min'!R162+'vs Bal'!R162+'vs Det'!R162+'at Cle'!R162+'vs LA'!R162+'at Det'!R162+'vs NY'!R162+'vs StL'!R162+'vs GB'!R162+'at SF'!R162+'vs Min'!R162+'at Atl'!R162+'Gm 15'!R162+'Gm 16'!R162</f>
        <v>9</v>
      </c>
      <c r="S162">
        <f>+'at Pit'!S162+'at GB'!S162+'at Min'!S162+'vs Bal'!S162+'vs Det'!S162+'at Cle'!S162+'vs LA'!S162+'at Det'!S162+'vs NY'!S162+'vs StL'!S162+'vs GB'!S162+'at SF'!S162+'vs Min'!S162+'at Atl'!S162+'Gm 15'!S162+'Gm 16'!S162</f>
        <v>3</v>
      </c>
      <c r="T162">
        <f>+'at Pit'!T162+'at GB'!T162+'at Min'!T162+'vs Bal'!T162+'vs Det'!T162+'at Cle'!T162+'vs LA'!T162+'at Det'!T162+'vs NY'!T162+'vs StL'!T162+'vs GB'!T162+'at SF'!T162+'vs Min'!T162+'at Atl'!T162+'Gm 15'!T162+'Gm 16'!T162</f>
        <v>2</v>
      </c>
      <c r="U162">
        <f>+'at Pit'!U162+'at GB'!U162+'at Min'!U162+'vs Bal'!U162+'vs Det'!U162+'at Cle'!U162+'vs LA'!U162+'at Det'!U162+'vs NY'!U162+'vs StL'!U162+'vs GB'!U162+'at SF'!U162+'vs Min'!U162+'at Atl'!U162+'Gm 15'!U162+'Gm 16'!U162</f>
        <v>0</v>
      </c>
      <c r="V162" t="str">
        <f aca="true" t="shared" si="23" ref="V162:W164">IF(G162=L162+N162+P162+R162+T162,"ok","ERR")</f>
        <v>ok</v>
      </c>
      <c r="W162" t="str">
        <f t="shared" si="23"/>
        <v>ok</v>
      </c>
    </row>
    <row r="163" spans="1:23" ht="12">
      <c r="A163" t="s">
        <v>154</v>
      </c>
      <c r="B163" t="s">
        <v>181</v>
      </c>
      <c r="C163">
        <f>+'at Pit'!C163+'at GB'!C163+'at Min'!C163+'vs Bal'!C163+'vs Det'!C163+'at Cle'!C163+'vs LA'!C163+'at Det'!C163+'vs NY'!C163+'vs StL'!C163+'vs GB'!C163+'at SF'!C163+'vs Min'!C163+'at Atl'!C163+'Gm 15'!C163+'Gm 16'!C163</f>
        <v>1</v>
      </c>
      <c r="D163">
        <f>+'at Pit'!D163+'at GB'!D163+'at Min'!D163+'vs Bal'!D163+'vs Det'!D163+'at Cle'!D163+'vs LA'!D163+'at Det'!D163+'vs NY'!D163+'vs StL'!D163+'vs GB'!D163+'at SF'!D163+'vs Min'!D163+'at Atl'!D163+'Gm 15'!D163+'Gm 16'!D163</f>
        <v>0</v>
      </c>
      <c r="E163">
        <f>+'at Pit'!E163+'at GB'!E163+'at Min'!E163+'vs Bal'!E163+'vs Det'!E163+'at Cle'!E163+'vs LA'!E163+'at Det'!E163+'vs NY'!E163+'vs StL'!E163+'vs GB'!E163+'at SF'!E163+'vs Min'!E163+'at Atl'!E163+'Gm 15'!E163+'Gm 16'!E163</f>
        <v>0</v>
      </c>
      <c r="F163">
        <f>+'at Pit'!F163+'at GB'!F163+'at Min'!F163+'vs Bal'!F163+'vs Det'!F163+'at Cle'!F163+'vs LA'!F163+'at Det'!F163+'vs NY'!F163+'vs StL'!F163+'vs GB'!F163+'at SF'!F163+'vs Min'!F163+'at Atl'!F163+'Gm 15'!F163+'Gm 16'!F163</f>
        <v>0</v>
      </c>
      <c r="G163">
        <f>+'at Pit'!G163+'at GB'!G163+'at Min'!G163+'vs Bal'!G163+'vs Det'!G163+'at Cle'!G163+'vs LA'!G163+'at Det'!G163+'vs NY'!G163+'vs StL'!G163+'vs GB'!G163+'at SF'!G163+'vs Min'!G163+'at Atl'!G163+'Gm 15'!G163+'Gm 16'!G163</f>
        <v>0</v>
      </c>
      <c r="H163">
        <f>+'at Pit'!H163+'at GB'!H163+'at Min'!H163+'vs Bal'!H163+'vs Det'!H163+'at Cle'!H163+'vs LA'!H163+'at Det'!H163+'vs NY'!H163+'vs StL'!H163+'vs GB'!H163+'at SF'!H163+'vs Min'!H163+'at Atl'!H163+'Gm 15'!H163+'Gm 16'!H163</f>
        <v>0</v>
      </c>
      <c r="I163" s="12">
        <f t="shared" si="22"/>
        <v>0</v>
      </c>
      <c r="J163">
        <f>MAX('at Pit'!J163,'at GB'!J163,'at Min'!J163,'vs Bal'!J163,'vs Det'!J163,'at Cle'!J163,'vs LA'!J163,'at Det'!J163,'vs NY'!J163,'vs StL'!J163,'vs GB'!J163,'at SF'!J163,'vs Min'!J163,'at Atl'!J163,'Gm 15'!J163,'Gm 16'!J163)</f>
        <v>0</v>
      </c>
      <c r="L163">
        <f>+'at Pit'!L163+'at GB'!L163+'at Min'!L163+'vs Bal'!L163+'vs Det'!L163+'at Cle'!L163+'vs LA'!L163+'at Det'!L163+'vs NY'!L163+'vs StL'!L163+'vs GB'!L163+'at SF'!L163+'vs Min'!L163+'at Atl'!L163+'Gm 15'!L163+'Gm 16'!L163</f>
        <v>0</v>
      </c>
      <c r="M163">
        <f>+'at Pit'!M163+'at GB'!M163+'at Min'!M163+'vs Bal'!M163+'vs Det'!M163+'at Cle'!M163+'vs LA'!M163+'at Det'!M163+'vs NY'!M163+'vs StL'!M163+'vs GB'!M163+'at SF'!M163+'vs Min'!M163+'at Atl'!M163+'Gm 15'!M163+'Gm 16'!M163</f>
        <v>0</v>
      </c>
      <c r="N163">
        <f>+'at Pit'!N163+'at GB'!N163+'at Min'!N163+'vs Bal'!N163+'vs Det'!N163+'at Cle'!N163+'vs LA'!N163+'at Det'!N163+'vs NY'!N163+'vs StL'!N163+'vs GB'!N163+'at SF'!N163+'vs Min'!N163+'at Atl'!N163+'Gm 15'!N163+'Gm 16'!N163</f>
        <v>0</v>
      </c>
      <c r="O163">
        <f>+'at Pit'!O163+'at GB'!O163+'at Min'!O163+'vs Bal'!O163+'vs Det'!O163+'at Cle'!O163+'vs LA'!O163+'at Det'!O163+'vs NY'!O163+'vs StL'!O163+'vs GB'!O163+'at SF'!O163+'vs Min'!O163+'at Atl'!O163+'Gm 15'!O163+'Gm 16'!O163</f>
        <v>0</v>
      </c>
      <c r="P163">
        <f>+'at Pit'!P163+'at GB'!P163+'at Min'!P163+'vs Bal'!P163+'vs Det'!P163+'at Cle'!P163+'vs LA'!P163+'at Det'!P163+'vs NY'!P163+'vs StL'!P163+'vs GB'!P163+'at SF'!P163+'vs Min'!P163+'at Atl'!P163+'Gm 15'!P163+'Gm 16'!P163</f>
        <v>0</v>
      </c>
      <c r="Q163">
        <f>+'at Pit'!Q163+'at GB'!Q163+'at Min'!Q163+'vs Bal'!Q163+'vs Det'!Q163+'at Cle'!Q163+'vs LA'!Q163+'at Det'!Q163+'vs NY'!Q163+'vs StL'!Q163+'vs GB'!Q163+'at SF'!Q163+'vs Min'!Q163+'at Atl'!Q163+'Gm 15'!Q163+'Gm 16'!Q163</f>
        <v>0</v>
      </c>
      <c r="R163">
        <f>+'at Pit'!R163+'at GB'!R163+'at Min'!R163+'vs Bal'!R163+'vs Det'!R163+'at Cle'!R163+'vs LA'!R163+'at Det'!R163+'vs NY'!R163+'vs StL'!R163+'vs GB'!R163+'at SF'!R163+'vs Min'!R163+'at Atl'!R163+'Gm 15'!R163+'Gm 16'!R163</f>
        <v>0</v>
      </c>
      <c r="S163">
        <f>+'at Pit'!S163+'at GB'!S163+'at Min'!S163+'vs Bal'!S163+'vs Det'!S163+'at Cle'!S163+'vs LA'!S163+'at Det'!S163+'vs NY'!S163+'vs StL'!S163+'vs GB'!S163+'at SF'!S163+'vs Min'!S163+'at Atl'!S163+'Gm 15'!S163+'Gm 16'!S163</f>
        <v>0</v>
      </c>
      <c r="T163">
        <f>+'at Pit'!T163+'at GB'!T163+'at Min'!T163+'vs Bal'!T163+'vs Det'!T163+'at Cle'!T163+'vs LA'!T163+'at Det'!T163+'vs NY'!T163+'vs StL'!T163+'vs GB'!T163+'at SF'!T163+'vs Min'!T163+'at Atl'!T163+'Gm 15'!T163+'Gm 16'!T163</f>
        <v>0</v>
      </c>
      <c r="U163">
        <f>+'at Pit'!U163+'at GB'!U163+'at Min'!U163+'vs Bal'!U163+'vs Det'!U163+'at Cle'!U163+'vs LA'!U163+'at Det'!U163+'vs NY'!U163+'vs StL'!U163+'vs GB'!U163+'at SF'!U163+'vs Min'!U163+'at Atl'!U163+'Gm 15'!U163+'Gm 16'!U163</f>
        <v>0</v>
      </c>
      <c r="V163" t="str">
        <f t="shared" si="23"/>
        <v>ok</v>
      </c>
      <c r="W163" t="str">
        <f t="shared" si="23"/>
        <v>ok</v>
      </c>
    </row>
    <row r="164" spans="3:23" ht="12">
      <c r="C164">
        <f>+'at Pit'!C164+'at GB'!C164+'at Min'!C164+'vs Bal'!C164+'vs Det'!C164+'at Cle'!C164+'vs LA'!C164+'at Det'!C164+'vs NY'!C164+'vs StL'!C164+'vs GB'!C164+'at SF'!C164+'vs Min'!C164+'at Atl'!C164+'Gm 15'!C164+'Gm 16'!C164</f>
        <v>0</v>
      </c>
      <c r="D164">
        <f>+'at Pit'!D164+'at GB'!D164+'at Min'!D164+'vs Bal'!D164+'vs Det'!D164+'at Cle'!D164+'vs LA'!D164+'at Det'!D164+'vs NY'!D164+'vs StL'!D164+'vs GB'!D164+'at SF'!D164+'vs Min'!D164+'at Atl'!D164+'Gm 15'!D164+'Gm 16'!D164</f>
        <v>0</v>
      </c>
      <c r="E164">
        <f>+'at Pit'!E164+'at GB'!E164+'at Min'!E164+'vs Bal'!E164+'vs Det'!E164+'at Cle'!E164+'vs LA'!E164+'at Det'!E164+'vs NY'!E164+'vs StL'!E164+'vs GB'!E164+'at SF'!E164+'vs Min'!E164+'at Atl'!E164+'Gm 15'!E164+'Gm 16'!E164</f>
        <v>0</v>
      </c>
      <c r="F164">
        <f>+'at Pit'!F164+'at GB'!F164+'at Min'!F164+'vs Bal'!F164+'vs Det'!F164+'at Cle'!F164+'vs LA'!F164+'at Det'!F164+'vs NY'!F164+'vs StL'!F164+'vs GB'!F164+'at SF'!F164+'vs Min'!F164+'at Atl'!F164+'Gm 15'!F164+'Gm 16'!F164</f>
        <v>0</v>
      </c>
      <c r="G164">
        <f>+'at Pit'!G164+'at GB'!G164+'at Min'!G164+'vs Bal'!G164+'vs Det'!G164+'at Cle'!G164+'vs LA'!G164+'at Det'!G164+'vs NY'!G164+'vs StL'!G164+'vs GB'!G164+'at SF'!G164+'vs Min'!G164+'at Atl'!G164+'Gm 15'!G164+'Gm 16'!G164</f>
        <v>0</v>
      </c>
      <c r="H164">
        <f>+'at Pit'!H164+'at GB'!H164+'at Min'!H164+'vs Bal'!H164+'vs Det'!H164+'at Cle'!H164+'vs LA'!H164+'at Det'!H164+'vs NY'!H164+'vs StL'!H164+'vs GB'!H164+'at SF'!H164+'vs Min'!H164+'at Atl'!H164+'Gm 15'!H164+'Gm 16'!H164</f>
        <v>0</v>
      </c>
      <c r="I164" s="12">
        <f t="shared" si="22"/>
        <v>0</v>
      </c>
      <c r="J164">
        <f>MAX('at Pit'!J164,'at GB'!J164,'at Min'!J164,'vs Bal'!J164,'vs Det'!J164,'at Cle'!J164,'vs LA'!J164,'at Det'!J164,'vs NY'!J164,'vs StL'!J164,'vs GB'!J164,'at SF'!J164,'vs Min'!J164,'at Atl'!J164,'Gm 15'!J164,'Gm 16'!J164)</f>
        <v>0</v>
      </c>
      <c r="L164">
        <f>+'at Pit'!L164+'at GB'!L164+'at Min'!L164+'vs Bal'!L164+'vs Det'!L164+'at Cle'!L164+'vs LA'!L164+'at Det'!L164+'vs NY'!L164+'vs StL'!L164+'vs GB'!L164+'at SF'!L164+'vs Min'!L164+'at Atl'!L164+'Gm 15'!L164+'Gm 16'!L164</f>
        <v>0</v>
      </c>
      <c r="M164">
        <f>+'at Pit'!M164+'at GB'!M164+'at Min'!M164+'vs Bal'!M164+'vs Det'!M164+'at Cle'!M164+'vs LA'!M164+'at Det'!M164+'vs NY'!M164+'vs StL'!M164+'vs GB'!M164+'at SF'!M164+'vs Min'!M164+'at Atl'!M164+'Gm 15'!M164+'Gm 16'!M164</f>
        <v>0</v>
      </c>
      <c r="N164">
        <f>+'at Pit'!N164+'at GB'!N164+'at Min'!N164+'vs Bal'!N164+'vs Det'!N164+'at Cle'!N164+'vs LA'!N164+'at Det'!N164+'vs NY'!N164+'vs StL'!N164+'vs GB'!N164+'at SF'!N164+'vs Min'!N164+'at Atl'!N164+'Gm 15'!N164+'Gm 16'!N164</f>
        <v>0</v>
      </c>
      <c r="O164">
        <f>+'at Pit'!O164+'at GB'!O164+'at Min'!O164+'vs Bal'!O164+'vs Det'!O164+'at Cle'!O164+'vs LA'!O164+'at Det'!O164+'vs NY'!O164+'vs StL'!O164+'vs GB'!O164+'at SF'!O164+'vs Min'!O164+'at Atl'!O164+'Gm 15'!O164+'Gm 16'!O164</f>
        <v>0</v>
      </c>
      <c r="P164">
        <f>+'at Pit'!P164+'at GB'!P164+'at Min'!P164+'vs Bal'!P164+'vs Det'!P164+'at Cle'!P164+'vs LA'!P164+'at Det'!P164+'vs NY'!P164+'vs StL'!P164+'vs GB'!P164+'at SF'!P164+'vs Min'!P164+'at Atl'!P164+'Gm 15'!P164+'Gm 16'!P164</f>
        <v>0</v>
      </c>
      <c r="Q164">
        <f>+'at Pit'!Q164+'at GB'!Q164+'at Min'!Q164+'vs Bal'!Q164+'vs Det'!Q164+'at Cle'!Q164+'vs LA'!Q164+'at Det'!Q164+'vs NY'!Q164+'vs StL'!Q164+'vs GB'!Q164+'at SF'!Q164+'vs Min'!Q164+'at Atl'!Q164+'Gm 15'!Q164+'Gm 16'!Q164</f>
        <v>0</v>
      </c>
      <c r="R164">
        <f>+'at Pit'!R164+'at GB'!R164+'at Min'!R164+'vs Bal'!R164+'vs Det'!R164+'at Cle'!R164+'vs LA'!R164+'at Det'!R164+'vs NY'!R164+'vs StL'!R164+'vs GB'!R164+'at SF'!R164+'vs Min'!R164+'at Atl'!R164+'Gm 15'!R164+'Gm 16'!R164</f>
        <v>0</v>
      </c>
      <c r="S164">
        <f>+'at Pit'!S164+'at GB'!S164+'at Min'!S164+'vs Bal'!S164+'vs Det'!S164+'at Cle'!S164+'vs LA'!S164+'at Det'!S164+'vs NY'!S164+'vs StL'!S164+'vs GB'!S164+'at SF'!S164+'vs Min'!S164+'at Atl'!S164+'Gm 15'!S164+'Gm 16'!S164</f>
        <v>0</v>
      </c>
      <c r="T164">
        <f>+'at Pit'!T164+'at GB'!T164+'at Min'!T164+'vs Bal'!T164+'vs Det'!T164+'at Cle'!T164+'vs LA'!T164+'at Det'!T164+'vs NY'!T164+'vs StL'!T164+'vs GB'!T164+'at SF'!T164+'vs Min'!T164+'at Atl'!T164+'Gm 15'!T164+'Gm 16'!T164</f>
        <v>0</v>
      </c>
      <c r="U164">
        <f>+'at Pit'!U164+'at GB'!U164+'at Min'!U164+'vs Bal'!U164+'vs Det'!U164+'at Cle'!U164+'vs LA'!U164+'at Det'!U164+'vs NY'!U164+'vs StL'!U164+'vs GB'!U164+'at SF'!U164+'vs Min'!U164+'at Atl'!U164+'Gm 15'!U164+'Gm 16'!U164</f>
        <v>0</v>
      </c>
      <c r="V164" t="str">
        <f t="shared" si="23"/>
        <v>ok</v>
      </c>
      <c r="W164" t="str">
        <f t="shared" si="23"/>
        <v>ok</v>
      </c>
    </row>
    <row r="165" spans="3:21" ht="12">
      <c r="C165">
        <f>+'at Pit'!C165+'at GB'!C165+'at Min'!C165+'vs Bal'!C165+'vs Det'!C165+'at Cle'!C165+'vs LA'!C165+'at Det'!C165+'vs NY'!C165+'vs StL'!C165+'vs GB'!C165+'at SF'!C165+'vs Min'!C165+'at Atl'!C165+'Gm 15'!C165+'Gm 16'!C165</f>
        <v>0</v>
      </c>
      <c r="D165">
        <f>+'at Pit'!D165+'at GB'!D165+'at Min'!D165+'vs Bal'!D165+'vs Det'!D165+'at Cle'!D165+'vs LA'!D165+'at Det'!D165+'vs NY'!D165+'vs StL'!D165+'vs GB'!D165+'at SF'!D165+'vs Min'!D165+'at Atl'!D165+'Gm 15'!D165+'Gm 16'!D165</f>
        <v>0</v>
      </c>
      <c r="E165">
        <f>+'at Pit'!E165+'at GB'!E165+'at Min'!E165+'vs Bal'!E165+'vs Det'!E165+'at Cle'!E165+'vs LA'!E165+'at Det'!E165+'vs NY'!E165+'vs StL'!E165+'vs GB'!E165+'at SF'!E165+'vs Min'!E165+'at Atl'!E165+'Gm 15'!E165+'Gm 16'!E165</f>
        <v>0</v>
      </c>
      <c r="F165">
        <f>+'at Pit'!F165+'at GB'!F165+'at Min'!F165+'vs Bal'!F165+'vs Det'!F165+'at Cle'!F165+'vs LA'!F165+'at Det'!F165+'vs NY'!F165+'vs StL'!F165+'vs GB'!F165+'at SF'!F165+'vs Min'!F165+'at Atl'!F165+'Gm 15'!F165+'Gm 16'!F165</f>
        <v>0</v>
      </c>
      <c r="G165">
        <f>+'at Pit'!G165+'at GB'!G165+'at Min'!G165+'vs Bal'!G165+'vs Det'!G165+'at Cle'!G165+'vs LA'!G165+'at Det'!G165+'vs NY'!G165+'vs StL'!G165+'vs GB'!G165+'at SF'!G165+'vs Min'!G165+'at Atl'!G165+'Gm 15'!G165+'Gm 16'!G165</f>
        <v>0</v>
      </c>
      <c r="H165">
        <f>+'at Pit'!H165+'at GB'!H165+'at Min'!H165+'vs Bal'!H165+'vs Det'!H165+'at Cle'!H165+'vs LA'!H165+'at Det'!H165+'vs NY'!H165+'vs StL'!H165+'vs GB'!H165+'at SF'!H165+'vs Min'!H165+'at Atl'!H165+'Gm 15'!H165+'Gm 16'!H165</f>
        <v>0</v>
      </c>
      <c r="I165" s="12">
        <f t="shared" si="22"/>
        <v>0</v>
      </c>
      <c r="J165">
        <f>MAX('at Pit'!J165,'at GB'!J165,'at Min'!J165,'vs Bal'!J165,'vs Det'!J165,'at Cle'!J165,'vs LA'!J165,'at Det'!J165,'vs NY'!J165,'vs StL'!J165,'vs GB'!J165,'at SF'!J165,'vs Min'!J165,'at Atl'!J165,'Gm 15'!J165,'Gm 16'!J165)</f>
        <v>0</v>
      </c>
      <c r="L165">
        <f>+'at Pit'!L165+'at GB'!L165+'at Min'!L165+'vs Bal'!L165+'vs Det'!L165+'at Cle'!L165+'vs LA'!L165+'at Det'!L165+'vs NY'!L165+'vs StL'!L165+'vs GB'!L165+'at SF'!L165+'vs Min'!L165+'at Atl'!L165+'Gm 15'!L165+'Gm 16'!L165</f>
        <v>0</v>
      </c>
      <c r="M165">
        <f>+'at Pit'!M165+'at GB'!M165+'at Min'!M165+'vs Bal'!M165+'vs Det'!M165+'at Cle'!M165+'vs LA'!M165+'at Det'!M165+'vs NY'!M165+'vs StL'!M165+'vs GB'!M165+'at SF'!M165+'vs Min'!M165+'at Atl'!M165+'Gm 15'!M165+'Gm 16'!M165</f>
        <v>0</v>
      </c>
      <c r="N165">
        <f>+'at Pit'!N165+'at GB'!N165+'at Min'!N165+'vs Bal'!N165+'vs Det'!N165+'at Cle'!N165+'vs LA'!N165+'at Det'!N165+'vs NY'!N165+'vs StL'!N165+'vs GB'!N165+'at SF'!N165+'vs Min'!N165+'at Atl'!N165+'Gm 15'!N165+'Gm 16'!N165</f>
        <v>0</v>
      </c>
      <c r="O165">
        <f>+'at Pit'!O165+'at GB'!O165+'at Min'!O165+'vs Bal'!O165+'vs Det'!O165+'at Cle'!O165+'vs LA'!O165+'at Det'!O165+'vs NY'!O165+'vs StL'!O165+'vs GB'!O165+'at SF'!O165+'vs Min'!O165+'at Atl'!O165+'Gm 15'!O165+'Gm 16'!O165</f>
        <v>0</v>
      </c>
      <c r="P165">
        <f>+'at Pit'!P165+'at GB'!P165+'at Min'!P165+'vs Bal'!P165+'vs Det'!P165+'at Cle'!P165+'vs LA'!P165+'at Det'!P165+'vs NY'!P165+'vs StL'!P165+'vs GB'!P165+'at SF'!P165+'vs Min'!P165+'at Atl'!P165+'Gm 15'!P165+'Gm 16'!P165</f>
        <v>0</v>
      </c>
      <c r="Q165">
        <f>+'at Pit'!Q165+'at GB'!Q165+'at Min'!Q165+'vs Bal'!Q165+'vs Det'!Q165+'at Cle'!Q165+'vs LA'!Q165+'at Det'!Q165+'vs NY'!Q165+'vs StL'!Q165+'vs GB'!Q165+'at SF'!Q165+'vs Min'!Q165+'at Atl'!Q165+'Gm 15'!Q165+'Gm 16'!Q165</f>
        <v>0</v>
      </c>
      <c r="R165">
        <f>+'at Pit'!R165+'at GB'!R165+'at Min'!R165+'vs Bal'!R165+'vs Det'!R165+'at Cle'!R165+'vs LA'!R165+'at Det'!R165+'vs NY'!R165+'vs StL'!R165+'vs GB'!R165+'at SF'!R165+'vs Min'!R165+'at Atl'!R165+'Gm 15'!R165+'Gm 16'!R165</f>
        <v>0</v>
      </c>
      <c r="S165">
        <f>+'at Pit'!S165+'at GB'!S165+'at Min'!S165+'vs Bal'!S165+'vs Det'!S165+'at Cle'!S165+'vs LA'!S165+'at Det'!S165+'vs NY'!S165+'vs StL'!S165+'vs GB'!S165+'at SF'!S165+'vs Min'!S165+'at Atl'!S165+'Gm 15'!S165+'Gm 16'!S165</f>
        <v>0</v>
      </c>
      <c r="T165">
        <f>+'at Pit'!T165+'at GB'!T165+'at Min'!T165+'vs Bal'!T165+'vs Det'!T165+'at Cle'!T165+'vs LA'!T165+'at Det'!T165+'vs NY'!T165+'vs StL'!T165+'vs GB'!T165+'at SF'!T165+'vs Min'!T165+'at Atl'!T165+'Gm 15'!T165+'Gm 16'!T165</f>
        <v>0</v>
      </c>
      <c r="U165">
        <f>+'at Pit'!U165+'at GB'!U165+'at Min'!U165+'vs Bal'!U165+'vs Det'!U165+'at Cle'!U165+'vs LA'!U165+'at Det'!U165+'vs NY'!U165+'vs StL'!U165+'vs GB'!U165+'at SF'!U165+'vs Min'!U165+'at Atl'!U165+'Gm 15'!U165+'Gm 16'!U165</f>
        <v>0</v>
      </c>
    </row>
    <row r="166" spans="3:21" ht="12">
      <c r="C166">
        <f>+'at Pit'!C166+'at GB'!C166+'at Min'!C166+'vs Bal'!C166+'vs Det'!C166+'at Cle'!C166+'vs LA'!C166+'at Det'!C166+'vs NY'!C166+'vs StL'!C166+'vs GB'!C166+'at SF'!C166+'vs Min'!C166+'at Atl'!C166+'Gm 15'!C166+'Gm 16'!C166</f>
        <v>0</v>
      </c>
      <c r="D166">
        <f>+'at Pit'!D166+'at GB'!D166+'at Min'!D166+'vs Bal'!D166+'vs Det'!D166+'at Cle'!D166+'vs LA'!D166+'at Det'!D166+'vs NY'!D166+'vs StL'!D166+'vs GB'!D166+'at SF'!D166+'vs Min'!D166+'at Atl'!D166+'Gm 15'!D166+'Gm 16'!D166</f>
        <v>0</v>
      </c>
      <c r="E166">
        <f>+'at Pit'!E166+'at GB'!E166+'at Min'!E166+'vs Bal'!E166+'vs Det'!E166+'at Cle'!E166+'vs LA'!E166+'at Det'!E166+'vs NY'!E166+'vs StL'!E166+'vs GB'!E166+'at SF'!E166+'vs Min'!E166+'at Atl'!E166+'Gm 15'!E166+'Gm 16'!E166</f>
        <v>0</v>
      </c>
      <c r="F166">
        <f>+'at Pit'!F166+'at GB'!F166+'at Min'!F166+'vs Bal'!F166+'vs Det'!F166+'at Cle'!F166+'vs LA'!F166+'at Det'!F166+'vs NY'!F166+'vs StL'!F166+'vs GB'!F166+'at SF'!F166+'vs Min'!F166+'at Atl'!F166+'Gm 15'!F166+'Gm 16'!F166</f>
        <v>0</v>
      </c>
      <c r="G166">
        <f>+'at Pit'!G166+'at GB'!G166+'at Min'!G166+'vs Bal'!G166+'vs Det'!G166+'at Cle'!G166+'vs LA'!G166+'at Det'!G166+'vs NY'!G166+'vs StL'!G166+'vs GB'!G166+'at SF'!G166+'vs Min'!G166+'at Atl'!G166+'Gm 15'!G166+'Gm 16'!G166</f>
        <v>0</v>
      </c>
      <c r="H166">
        <f>+'at Pit'!H166+'at GB'!H166+'at Min'!H166+'vs Bal'!H166+'vs Det'!H166+'at Cle'!H166+'vs LA'!H166+'at Det'!H166+'vs NY'!H166+'vs StL'!H166+'vs GB'!H166+'at SF'!H166+'vs Min'!H166+'at Atl'!H166+'Gm 15'!H166+'Gm 16'!H166</f>
        <v>0</v>
      </c>
      <c r="I166" s="12">
        <f t="shared" si="22"/>
        <v>0</v>
      </c>
      <c r="J166">
        <f>MAX('at Pit'!J166,'at GB'!J166,'at Min'!J166,'vs Bal'!J166,'vs Det'!J166,'at Cle'!J166,'vs LA'!J166,'at Det'!J166,'vs NY'!J166,'vs StL'!J166,'vs GB'!J166,'at SF'!J166,'vs Min'!J166,'at Atl'!J166,'Gm 15'!J166,'Gm 16'!J166)</f>
        <v>0</v>
      </c>
      <c r="L166">
        <f>+'at Pit'!L166+'at GB'!L166+'at Min'!L166+'vs Bal'!L166+'vs Det'!L166+'at Cle'!L166+'vs LA'!L166+'at Det'!L166+'vs NY'!L166+'vs StL'!L166+'vs GB'!L166+'at SF'!L166+'vs Min'!L166+'at Atl'!L166+'Gm 15'!L166+'Gm 16'!L166</f>
        <v>0</v>
      </c>
      <c r="M166">
        <f>+'at Pit'!M166+'at GB'!M166+'at Min'!M166+'vs Bal'!M166+'vs Det'!M166+'at Cle'!M166+'vs LA'!M166+'at Det'!M166+'vs NY'!M166+'vs StL'!M166+'vs GB'!M166+'at SF'!M166+'vs Min'!M166+'at Atl'!M166+'Gm 15'!M166+'Gm 16'!M166</f>
        <v>0</v>
      </c>
      <c r="N166">
        <f>+'at Pit'!N166+'at GB'!N166+'at Min'!N166+'vs Bal'!N166+'vs Det'!N166+'at Cle'!N166+'vs LA'!N166+'at Det'!N166+'vs NY'!N166+'vs StL'!N166+'vs GB'!N166+'at SF'!N166+'vs Min'!N166+'at Atl'!N166+'Gm 15'!N166+'Gm 16'!N166</f>
        <v>0</v>
      </c>
      <c r="O166">
        <f>+'at Pit'!O166+'at GB'!O166+'at Min'!O166+'vs Bal'!O166+'vs Det'!O166+'at Cle'!O166+'vs LA'!O166+'at Det'!O166+'vs NY'!O166+'vs StL'!O166+'vs GB'!O166+'at SF'!O166+'vs Min'!O166+'at Atl'!O166+'Gm 15'!O166+'Gm 16'!O166</f>
        <v>0</v>
      </c>
      <c r="P166">
        <f>+'at Pit'!P166+'at GB'!P166+'at Min'!P166+'vs Bal'!P166+'vs Det'!P166+'at Cle'!P166+'vs LA'!P166+'at Det'!P166+'vs NY'!P166+'vs StL'!P166+'vs GB'!P166+'at SF'!P166+'vs Min'!P166+'at Atl'!P166+'Gm 15'!P166+'Gm 16'!P166</f>
        <v>0</v>
      </c>
      <c r="Q166">
        <f>+'at Pit'!Q166+'at GB'!Q166+'at Min'!Q166+'vs Bal'!Q166+'vs Det'!Q166+'at Cle'!Q166+'vs LA'!Q166+'at Det'!Q166+'vs NY'!Q166+'vs StL'!Q166+'vs GB'!Q166+'at SF'!Q166+'vs Min'!Q166+'at Atl'!Q166+'Gm 15'!Q166+'Gm 16'!Q166</f>
        <v>0</v>
      </c>
      <c r="R166">
        <f>+'at Pit'!R166+'at GB'!R166+'at Min'!R166+'vs Bal'!R166+'vs Det'!R166+'at Cle'!R166+'vs LA'!R166+'at Det'!R166+'vs NY'!R166+'vs StL'!R166+'vs GB'!R166+'at SF'!R166+'vs Min'!R166+'at Atl'!R166+'Gm 15'!R166+'Gm 16'!R166</f>
        <v>0</v>
      </c>
      <c r="S166">
        <f>+'at Pit'!S166+'at GB'!S166+'at Min'!S166+'vs Bal'!S166+'vs Det'!S166+'at Cle'!S166+'vs LA'!S166+'at Det'!S166+'vs NY'!S166+'vs StL'!S166+'vs GB'!S166+'at SF'!S166+'vs Min'!S166+'at Atl'!S166+'Gm 15'!S166+'Gm 16'!S166</f>
        <v>0</v>
      </c>
      <c r="T166">
        <f>+'at Pit'!T166+'at GB'!T166+'at Min'!T166+'vs Bal'!T166+'vs Det'!T166+'at Cle'!T166+'vs LA'!T166+'at Det'!T166+'vs NY'!T166+'vs StL'!T166+'vs GB'!T166+'at SF'!T166+'vs Min'!T166+'at Atl'!T166+'Gm 15'!T166+'Gm 16'!T166</f>
        <v>0</v>
      </c>
      <c r="U166">
        <f>+'at Pit'!U166+'at GB'!U166+'at Min'!U166+'vs Bal'!U166+'vs Det'!U166+'at Cle'!U166+'vs LA'!U166+'at Det'!U166+'vs NY'!U166+'vs StL'!U166+'vs GB'!U166+'at SF'!U166+'vs Min'!U166+'at Atl'!U166+'Gm 15'!U166+'Gm 16'!U166</f>
        <v>0</v>
      </c>
    </row>
    <row r="167" spans="3:21" ht="12">
      <c r="C167">
        <f>+'at Pit'!C167+'at GB'!C167+'at Min'!C167+'vs Bal'!C167+'vs Det'!C167+'at Cle'!C167+'vs LA'!C167+'at Det'!C167+'vs NY'!C167+'vs StL'!C167+'vs GB'!C167+'at SF'!C167+'vs Min'!C167+'at Atl'!C167+'Gm 15'!C167+'Gm 16'!C167</f>
        <v>0</v>
      </c>
      <c r="D167">
        <f>+'at Pit'!D167+'at GB'!D167+'at Min'!D167+'vs Bal'!D167+'vs Det'!D167+'at Cle'!D167+'vs LA'!D167+'at Det'!D167+'vs NY'!D167+'vs StL'!D167+'vs GB'!D167+'at SF'!D167+'vs Min'!D167+'at Atl'!D167+'Gm 15'!D167+'Gm 16'!D167</f>
        <v>0</v>
      </c>
      <c r="E167">
        <f>+'at Pit'!E167+'at GB'!E167+'at Min'!E167+'vs Bal'!E167+'vs Det'!E167+'at Cle'!E167+'vs LA'!E167+'at Det'!E167+'vs NY'!E167+'vs StL'!E167+'vs GB'!E167+'at SF'!E167+'vs Min'!E167+'at Atl'!E167+'Gm 15'!E167+'Gm 16'!E167</f>
        <v>0</v>
      </c>
      <c r="F167">
        <f>+'at Pit'!F167+'at GB'!F167+'at Min'!F167+'vs Bal'!F167+'vs Det'!F167+'at Cle'!F167+'vs LA'!F167+'at Det'!F167+'vs NY'!F167+'vs StL'!F167+'vs GB'!F167+'at SF'!F167+'vs Min'!F167+'at Atl'!F167+'Gm 15'!F167+'Gm 16'!F167</f>
        <v>0</v>
      </c>
      <c r="G167">
        <f>+'at Pit'!G167+'at GB'!G167+'at Min'!G167+'vs Bal'!G167+'vs Det'!G167+'at Cle'!G167+'vs LA'!G167+'at Det'!G167+'vs NY'!G167+'vs StL'!G167+'vs GB'!G167+'at SF'!G167+'vs Min'!G167+'at Atl'!G167+'Gm 15'!G167+'Gm 16'!G167</f>
        <v>0</v>
      </c>
      <c r="H167">
        <f>+'at Pit'!H167+'at GB'!H167+'at Min'!H167+'vs Bal'!H167+'vs Det'!H167+'at Cle'!H167+'vs LA'!H167+'at Det'!H167+'vs NY'!H167+'vs StL'!H167+'vs GB'!H167+'at SF'!H167+'vs Min'!H167+'at Atl'!H167+'Gm 15'!H167+'Gm 16'!H167</f>
        <v>0</v>
      </c>
      <c r="I167" s="12">
        <f t="shared" si="22"/>
        <v>0</v>
      </c>
      <c r="J167">
        <f>MAX('at Pit'!J167,'at GB'!J167,'at Min'!J167,'vs Bal'!J167,'vs Det'!J167,'at Cle'!J167,'vs LA'!J167,'at Det'!J167,'vs NY'!J167,'vs StL'!J167,'vs GB'!J167,'at SF'!J167,'vs Min'!J167,'at Atl'!J167,'Gm 15'!J167,'Gm 16'!J167)</f>
        <v>0</v>
      </c>
      <c r="L167">
        <f>+'at Pit'!L167+'at GB'!L167+'at Min'!L167+'vs Bal'!L167+'vs Det'!L167+'at Cle'!L167+'vs LA'!L167+'at Det'!L167+'vs NY'!L167+'vs StL'!L167+'vs GB'!L167+'at SF'!L167+'vs Min'!L167+'at Atl'!L167+'Gm 15'!L167+'Gm 16'!L167</f>
        <v>0</v>
      </c>
      <c r="M167">
        <f>+'at Pit'!M167+'at GB'!M167+'at Min'!M167+'vs Bal'!M167+'vs Det'!M167+'at Cle'!M167+'vs LA'!M167+'at Det'!M167+'vs NY'!M167+'vs StL'!M167+'vs GB'!M167+'at SF'!M167+'vs Min'!M167+'at Atl'!M167+'Gm 15'!M167+'Gm 16'!M167</f>
        <v>0</v>
      </c>
      <c r="N167">
        <f>+'at Pit'!N167+'at GB'!N167+'at Min'!N167+'vs Bal'!N167+'vs Det'!N167+'at Cle'!N167+'vs LA'!N167+'at Det'!N167+'vs NY'!N167+'vs StL'!N167+'vs GB'!N167+'at SF'!N167+'vs Min'!N167+'at Atl'!N167+'Gm 15'!N167+'Gm 16'!N167</f>
        <v>0</v>
      </c>
      <c r="O167">
        <f>+'at Pit'!O167+'at GB'!O167+'at Min'!O167+'vs Bal'!O167+'vs Det'!O167+'at Cle'!O167+'vs LA'!O167+'at Det'!O167+'vs NY'!O167+'vs StL'!O167+'vs GB'!O167+'at SF'!O167+'vs Min'!O167+'at Atl'!O167+'Gm 15'!O167+'Gm 16'!O167</f>
        <v>0</v>
      </c>
      <c r="P167">
        <f>+'at Pit'!P167+'at GB'!P167+'at Min'!P167+'vs Bal'!P167+'vs Det'!P167+'at Cle'!P167+'vs LA'!P167+'at Det'!P167+'vs NY'!P167+'vs StL'!P167+'vs GB'!P167+'at SF'!P167+'vs Min'!P167+'at Atl'!P167+'Gm 15'!P167+'Gm 16'!P167</f>
        <v>0</v>
      </c>
      <c r="Q167">
        <f>+'at Pit'!Q167+'at GB'!Q167+'at Min'!Q167+'vs Bal'!Q167+'vs Det'!Q167+'at Cle'!Q167+'vs LA'!Q167+'at Det'!Q167+'vs NY'!Q167+'vs StL'!Q167+'vs GB'!Q167+'at SF'!Q167+'vs Min'!Q167+'at Atl'!Q167+'Gm 15'!Q167+'Gm 16'!Q167</f>
        <v>0</v>
      </c>
      <c r="R167">
        <f>+'at Pit'!R167+'at GB'!R167+'at Min'!R167+'vs Bal'!R167+'vs Det'!R167+'at Cle'!R167+'vs LA'!R167+'at Det'!R167+'vs NY'!R167+'vs StL'!R167+'vs GB'!R167+'at SF'!R167+'vs Min'!R167+'at Atl'!R167+'Gm 15'!R167+'Gm 16'!R167</f>
        <v>0</v>
      </c>
      <c r="S167">
        <f>+'at Pit'!S167+'at GB'!S167+'at Min'!S167+'vs Bal'!S167+'vs Det'!S167+'at Cle'!S167+'vs LA'!S167+'at Det'!S167+'vs NY'!S167+'vs StL'!S167+'vs GB'!S167+'at SF'!S167+'vs Min'!S167+'at Atl'!S167+'Gm 15'!S167+'Gm 16'!S167</f>
        <v>0</v>
      </c>
      <c r="T167">
        <f>+'at Pit'!T167+'at GB'!T167+'at Min'!T167+'vs Bal'!T167+'vs Det'!T167+'at Cle'!T167+'vs LA'!T167+'at Det'!T167+'vs NY'!T167+'vs StL'!T167+'vs GB'!T167+'at SF'!T167+'vs Min'!T167+'at Atl'!T167+'Gm 15'!T167+'Gm 16'!T167</f>
        <v>0</v>
      </c>
      <c r="U167">
        <f>+'at Pit'!U167+'at GB'!U167+'at Min'!U167+'vs Bal'!U167+'vs Det'!U167+'at Cle'!U167+'vs LA'!U167+'at Det'!U167+'vs NY'!U167+'vs StL'!U167+'vs GB'!U167+'at SF'!U167+'vs Min'!U167+'at Atl'!U167+'Gm 15'!U167+'Gm 16'!U167</f>
        <v>0</v>
      </c>
    </row>
    <row r="168" spans="3:21" ht="12">
      <c r="C168">
        <f>+'at Pit'!C168+'at GB'!C168+'at Min'!C168+'vs Bal'!C168+'vs Det'!C168+'at Cle'!C168+'vs LA'!C168+'at Det'!C168+'vs NY'!C168+'vs StL'!C168+'vs GB'!C168+'at SF'!C168+'vs Min'!C168+'at Atl'!C168+'Gm 15'!C168+'Gm 16'!C168</f>
        <v>0</v>
      </c>
      <c r="D168">
        <f>+'at Pit'!D168+'at GB'!D168+'at Min'!D168+'vs Bal'!D168+'vs Det'!D168+'at Cle'!D168+'vs LA'!D168+'at Det'!D168+'vs NY'!D168+'vs StL'!D168+'vs GB'!D168+'at SF'!D168+'vs Min'!D168+'at Atl'!D168+'Gm 15'!D168+'Gm 16'!D168</f>
        <v>0</v>
      </c>
      <c r="E168">
        <f>+'at Pit'!E168+'at GB'!E168+'at Min'!E168+'vs Bal'!E168+'vs Det'!E168+'at Cle'!E168+'vs LA'!E168+'at Det'!E168+'vs NY'!E168+'vs StL'!E168+'vs GB'!E168+'at SF'!E168+'vs Min'!E168+'at Atl'!E168+'Gm 15'!E168+'Gm 16'!E168</f>
        <v>0</v>
      </c>
      <c r="F168">
        <f>+'at Pit'!F168+'at GB'!F168+'at Min'!F168+'vs Bal'!F168+'vs Det'!F168+'at Cle'!F168+'vs LA'!F168+'at Det'!F168+'vs NY'!F168+'vs StL'!F168+'vs GB'!F168+'at SF'!F168+'vs Min'!F168+'at Atl'!F168+'Gm 15'!F168+'Gm 16'!F168</f>
        <v>0</v>
      </c>
      <c r="G168">
        <f>+'at Pit'!G168+'at GB'!G168+'at Min'!G168+'vs Bal'!G168+'vs Det'!G168+'at Cle'!G168+'vs LA'!G168+'at Det'!G168+'vs NY'!G168+'vs StL'!G168+'vs GB'!G168+'at SF'!G168+'vs Min'!G168+'at Atl'!G168+'Gm 15'!G168+'Gm 16'!G168</f>
        <v>0</v>
      </c>
      <c r="H168">
        <f>+'at Pit'!H168+'at GB'!H168+'at Min'!H168+'vs Bal'!H168+'vs Det'!H168+'at Cle'!H168+'vs LA'!H168+'at Det'!H168+'vs NY'!H168+'vs StL'!H168+'vs GB'!H168+'at SF'!H168+'vs Min'!H168+'at Atl'!H168+'Gm 15'!H168+'Gm 16'!H168</f>
        <v>0</v>
      </c>
      <c r="I168" s="12">
        <f t="shared" si="22"/>
        <v>0</v>
      </c>
      <c r="J168">
        <f>MAX('at Pit'!J168,'at GB'!J168,'at Min'!J168,'vs Bal'!J168,'vs Det'!J168,'at Cle'!J168,'vs LA'!J168,'at Det'!J168,'vs NY'!J168,'vs StL'!J168,'vs GB'!J168,'at SF'!J168,'vs Min'!J168,'at Atl'!J168,'Gm 15'!J168,'Gm 16'!J168)</f>
        <v>0</v>
      </c>
      <c r="L168">
        <f>+'at Pit'!L168+'at GB'!L168+'at Min'!L168+'vs Bal'!L168+'vs Det'!L168+'at Cle'!L168+'vs LA'!L168+'at Det'!L168+'vs NY'!L168+'vs StL'!L168+'vs GB'!L168+'at SF'!L168+'vs Min'!L168+'at Atl'!L168+'Gm 15'!L168+'Gm 16'!L168</f>
        <v>0</v>
      </c>
      <c r="M168">
        <f>+'at Pit'!M168+'at GB'!M168+'at Min'!M168+'vs Bal'!M168+'vs Det'!M168+'at Cle'!M168+'vs LA'!M168+'at Det'!M168+'vs NY'!M168+'vs StL'!M168+'vs GB'!M168+'at SF'!M168+'vs Min'!M168+'at Atl'!M168+'Gm 15'!M168+'Gm 16'!M168</f>
        <v>0</v>
      </c>
      <c r="N168">
        <f>+'at Pit'!N168+'at GB'!N168+'at Min'!N168+'vs Bal'!N168+'vs Det'!N168+'at Cle'!N168+'vs LA'!N168+'at Det'!N168+'vs NY'!N168+'vs StL'!N168+'vs GB'!N168+'at SF'!N168+'vs Min'!N168+'at Atl'!N168+'Gm 15'!N168+'Gm 16'!N168</f>
        <v>0</v>
      </c>
      <c r="O168">
        <f>+'at Pit'!O168+'at GB'!O168+'at Min'!O168+'vs Bal'!O168+'vs Det'!O168+'at Cle'!O168+'vs LA'!O168+'at Det'!O168+'vs NY'!O168+'vs StL'!O168+'vs GB'!O168+'at SF'!O168+'vs Min'!O168+'at Atl'!O168+'Gm 15'!O168+'Gm 16'!O168</f>
        <v>0</v>
      </c>
      <c r="P168">
        <f>+'at Pit'!P168+'at GB'!P168+'at Min'!P168+'vs Bal'!P168+'vs Det'!P168+'at Cle'!P168+'vs LA'!P168+'at Det'!P168+'vs NY'!P168+'vs StL'!P168+'vs GB'!P168+'at SF'!P168+'vs Min'!P168+'at Atl'!P168+'Gm 15'!P168+'Gm 16'!P168</f>
        <v>0</v>
      </c>
      <c r="Q168">
        <f>+'at Pit'!Q168+'at GB'!Q168+'at Min'!Q168+'vs Bal'!Q168+'vs Det'!Q168+'at Cle'!Q168+'vs LA'!Q168+'at Det'!Q168+'vs NY'!Q168+'vs StL'!Q168+'vs GB'!Q168+'at SF'!Q168+'vs Min'!Q168+'at Atl'!Q168+'Gm 15'!Q168+'Gm 16'!Q168</f>
        <v>0</v>
      </c>
      <c r="R168">
        <f>+'at Pit'!R168+'at GB'!R168+'at Min'!R168+'vs Bal'!R168+'vs Det'!R168+'at Cle'!R168+'vs LA'!R168+'at Det'!R168+'vs NY'!R168+'vs StL'!R168+'vs GB'!R168+'at SF'!R168+'vs Min'!R168+'at Atl'!R168+'Gm 15'!R168+'Gm 16'!R168</f>
        <v>0</v>
      </c>
      <c r="S168">
        <f>+'at Pit'!S168+'at GB'!S168+'at Min'!S168+'vs Bal'!S168+'vs Det'!S168+'at Cle'!S168+'vs LA'!S168+'at Det'!S168+'vs NY'!S168+'vs StL'!S168+'vs GB'!S168+'at SF'!S168+'vs Min'!S168+'at Atl'!S168+'Gm 15'!S168+'Gm 16'!S168</f>
        <v>0</v>
      </c>
      <c r="T168">
        <f>+'at Pit'!T168+'at GB'!T168+'at Min'!T168+'vs Bal'!T168+'vs Det'!T168+'at Cle'!T168+'vs LA'!T168+'at Det'!T168+'vs NY'!T168+'vs StL'!T168+'vs GB'!T168+'at SF'!T168+'vs Min'!T168+'at Atl'!T168+'Gm 15'!T168+'Gm 16'!T168</f>
        <v>0</v>
      </c>
      <c r="U168">
        <f>+'at Pit'!U168+'at GB'!U168+'at Min'!U168+'vs Bal'!U168+'vs Det'!U168+'at Cle'!U168+'vs LA'!U168+'at Det'!U168+'vs NY'!U168+'vs StL'!U168+'vs GB'!U168+'at SF'!U168+'vs Min'!U168+'at Atl'!U168+'Gm 15'!U168+'Gm 16'!U168</f>
        <v>0</v>
      </c>
    </row>
    <row r="169" spans="3:21" ht="12">
      <c r="C169">
        <f>+'at Pit'!C169+'at GB'!C169+'at Min'!C169+'vs Bal'!C169+'vs Det'!C169+'at Cle'!C169+'vs LA'!C169+'at Det'!C169+'vs NY'!C169+'vs StL'!C169+'vs GB'!C169+'at SF'!C169+'vs Min'!C169+'at Atl'!C169+'Gm 15'!C169+'Gm 16'!C169</f>
        <v>0</v>
      </c>
      <c r="D169">
        <f>+'at Pit'!D169+'at GB'!D169+'at Min'!D169+'vs Bal'!D169+'vs Det'!D169+'at Cle'!D169+'vs LA'!D169+'at Det'!D169+'vs NY'!D169+'vs StL'!D169+'vs GB'!D169+'at SF'!D169+'vs Min'!D169+'at Atl'!D169+'Gm 15'!D169+'Gm 16'!D169</f>
        <v>0</v>
      </c>
      <c r="E169">
        <f>+'at Pit'!E169+'at GB'!E169+'at Min'!E169+'vs Bal'!E169+'vs Det'!E169+'at Cle'!E169+'vs LA'!E169+'at Det'!E169+'vs NY'!E169+'vs StL'!E169+'vs GB'!E169+'at SF'!E169+'vs Min'!E169+'at Atl'!E169+'Gm 15'!E169+'Gm 16'!E169</f>
        <v>0</v>
      </c>
      <c r="F169">
        <f>+'at Pit'!F169+'at GB'!F169+'at Min'!F169+'vs Bal'!F169+'vs Det'!F169+'at Cle'!F169+'vs LA'!F169+'at Det'!F169+'vs NY'!F169+'vs StL'!F169+'vs GB'!F169+'at SF'!F169+'vs Min'!F169+'at Atl'!F169+'Gm 15'!F169+'Gm 16'!F169</f>
        <v>0</v>
      </c>
      <c r="G169">
        <f>+'at Pit'!G169+'at GB'!G169+'at Min'!G169+'vs Bal'!G169+'vs Det'!G169+'at Cle'!G169+'vs LA'!G169+'at Det'!G169+'vs NY'!G169+'vs StL'!G169+'vs GB'!G169+'at SF'!G169+'vs Min'!G169+'at Atl'!G169+'Gm 15'!G169+'Gm 16'!G169</f>
        <v>0</v>
      </c>
      <c r="H169">
        <f>+'at Pit'!H169+'at GB'!H169+'at Min'!H169+'vs Bal'!H169+'vs Det'!H169+'at Cle'!H169+'vs LA'!H169+'at Det'!H169+'vs NY'!H169+'vs StL'!H169+'vs GB'!H169+'at SF'!H169+'vs Min'!H169+'at Atl'!H169+'Gm 15'!H169+'Gm 16'!H169</f>
        <v>0</v>
      </c>
      <c r="I169" s="12">
        <f t="shared" si="22"/>
        <v>0</v>
      </c>
      <c r="J169">
        <f>MAX('at Pit'!J169,'at GB'!J169,'at Min'!J169,'vs Bal'!J169,'vs Det'!J169,'at Cle'!J169,'vs LA'!J169,'at Det'!J169,'vs NY'!J169,'vs StL'!J169,'vs GB'!J169,'at SF'!J169,'vs Min'!J169,'at Atl'!J169,'Gm 15'!J169,'Gm 16'!J169)</f>
        <v>0</v>
      </c>
      <c r="L169">
        <f>+'at Pit'!L169+'at GB'!L169+'at Min'!L169+'vs Bal'!L169+'vs Det'!L169+'at Cle'!L169+'vs LA'!L169+'at Det'!L169+'vs NY'!L169+'vs StL'!L169+'vs GB'!L169+'at SF'!L169+'vs Min'!L169+'at Atl'!L169+'Gm 15'!L169+'Gm 16'!L169</f>
        <v>0</v>
      </c>
      <c r="M169">
        <f>+'at Pit'!M169+'at GB'!M169+'at Min'!M169+'vs Bal'!M169+'vs Det'!M169+'at Cle'!M169+'vs LA'!M169+'at Det'!M169+'vs NY'!M169+'vs StL'!M169+'vs GB'!M169+'at SF'!M169+'vs Min'!M169+'at Atl'!M169+'Gm 15'!M169+'Gm 16'!M169</f>
        <v>0</v>
      </c>
      <c r="N169">
        <f>+'at Pit'!N169+'at GB'!N169+'at Min'!N169+'vs Bal'!N169+'vs Det'!N169+'at Cle'!N169+'vs LA'!N169+'at Det'!N169+'vs NY'!N169+'vs StL'!N169+'vs GB'!N169+'at SF'!N169+'vs Min'!N169+'at Atl'!N169+'Gm 15'!N169+'Gm 16'!N169</f>
        <v>0</v>
      </c>
      <c r="O169">
        <f>+'at Pit'!O169+'at GB'!O169+'at Min'!O169+'vs Bal'!O169+'vs Det'!O169+'at Cle'!O169+'vs LA'!O169+'at Det'!O169+'vs NY'!O169+'vs StL'!O169+'vs GB'!O169+'at SF'!O169+'vs Min'!O169+'at Atl'!O169+'Gm 15'!O169+'Gm 16'!O169</f>
        <v>0</v>
      </c>
      <c r="P169">
        <f>+'at Pit'!P169+'at GB'!P169+'at Min'!P169+'vs Bal'!P169+'vs Det'!P169+'at Cle'!P169+'vs LA'!P169+'at Det'!P169+'vs NY'!P169+'vs StL'!P169+'vs GB'!P169+'at SF'!P169+'vs Min'!P169+'at Atl'!P169+'Gm 15'!P169+'Gm 16'!P169</f>
        <v>0</v>
      </c>
      <c r="Q169">
        <f>+'at Pit'!Q169+'at GB'!Q169+'at Min'!Q169+'vs Bal'!Q169+'vs Det'!Q169+'at Cle'!Q169+'vs LA'!Q169+'at Det'!Q169+'vs NY'!Q169+'vs StL'!Q169+'vs GB'!Q169+'at SF'!Q169+'vs Min'!Q169+'at Atl'!Q169+'Gm 15'!Q169+'Gm 16'!Q169</f>
        <v>0</v>
      </c>
      <c r="R169">
        <f>+'at Pit'!R169+'at GB'!R169+'at Min'!R169+'vs Bal'!R169+'vs Det'!R169+'at Cle'!R169+'vs LA'!R169+'at Det'!R169+'vs NY'!R169+'vs StL'!R169+'vs GB'!R169+'at SF'!R169+'vs Min'!R169+'at Atl'!R169+'Gm 15'!R169+'Gm 16'!R169</f>
        <v>0</v>
      </c>
      <c r="S169">
        <f>+'at Pit'!S169+'at GB'!S169+'at Min'!S169+'vs Bal'!S169+'vs Det'!S169+'at Cle'!S169+'vs LA'!S169+'at Det'!S169+'vs NY'!S169+'vs StL'!S169+'vs GB'!S169+'at SF'!S169+'vs Min'!S169+'at Atl'!S169+'Gm 15'!S169+'Gm 16'!S169</f>
        <v>0</v>
      </c>
      <c r="T169">
        <f>+'at Pit'!T169+'at GB'!T169+'at Min'!T169+'vs Bal'!T169+'vs Det'!T169+'at Cle'!T169+'vs LA'!T169+'at Det'!T169+'vs NY'!T169+'vs StL'!T169+'vs GB'!T169+'at SF'!T169+'vs Min'!T169+'at Atl'!T169+'Gm 15'!T169+'Gm 16'!T169</f>
        <v>0</v>
      </c>
      <c r="U169">
        <f>+'at Pit'!U169+'at GB'!U169+'at Min'!U169+'vs Bal'!U169+'vs Det'!U169+'at Cle'!U169+'vs LA'!U169+'at Det'!U169+'vs NY'!U169+'vs StL'!U169+'vs GB'!U169+'at SF'!U169+'vs Min'!U169+'at Atl'!U169+'Gm 15'!U169+'Gm 16'!U169</f>
        <v>0</v>
      </c>
    </row>
    <row r="172" spans="1:8" ht="12">
      <c r="A172" s="2" t="s">
        <v>85</v>
      </c>
      <c r="C172" s="3" t="s">
        <v>72</v>
      </c>
      <c r="D172" s="3" t="s">
        <v>74</v>
      </c>
      <c r="E172" s="3" t="s">
        <v>53</v>
      </c>
      <c r="F172" s="3" t="s">
        <v>64</v>
      </c>
      <c r="G172" s="3" t="s">
        <v>55</v>
      </c>
      <c r="H172" s="3" t="s">
        <v>84</v>
      </c>
    </row>
    <row r="173" spans="1:8" ht="12">
      <c r="A173" t="s">
        <v>156</v>
      </c>
      <c r="B173" t="s">
        <v>181</v>
      </c>
      <c r="C173">
        <f>+'at Pit'!C173+'at GB'!C173+'at Min'!C173+'vs Bal'!C173+'vs Det'!C173+'at Cle'!C173+'vs LA'!C173+'at Det'!C173+'vs NY'!C173+'vs StL'!C173+'vs GB'!C173+'at SF'!C173+'vs Min'!C173+'at Atl'!C173+'Gm 15'!C173+'Gm 16'!C173</f>
        <v>0</v>
      </c>
      <c r="D173">
        <f>+'at Pit'!D173+'at GB'!D173+'at Min'!D173+'vs Bal'!D173+'vs Det'!D173+'at Cle'!D173+'vs LA'!D173+'at Det'!D173+'vs NY'!D173+'vs StL'!D173+'vs GB'!D173+'at SF'!D173+'vs Min'!D173+'at Atl'!D173+'Gm 15'!D173+'Gm 16'!D173</f>
        <v>0</v>
      </c>
      <c r="E173" s="12">
        <f aca="true" t="shared" si="24" ref="E173:E185">IF(C173=0,0,+D173/C173)</f>
        <v>0</v>
      </c>
      <c r="F173">
        <f>MAX('at Pit'!F173,'at GB'!F173,'at Min'!F173,'vs Bal'!F173,'vs Det'!F173,'at Cle'!F173,'vs LA'!F173,'at Det'!F173,'vs NY'!F173,'vs StL'!F173,'vs GB'!F173,'at SF'!F173,'vs Min'!F173,'at Atl'!F173,'Gm 15'!F173,'Gm 16'!F173)</f>
        <v>0</v>
      </c>
      <c r="G173">
        <f>+'at Pit'!G173+'at GB'!G173+'at Min'!G173+'vs Bal'!G173+'vs Det'!G173+'at Cle'!G173+'vs LA'!G173+'at Det'!G173+'vs NY'!G173+'vs StL'!G173+'vs GB'!G173+'at SF'!G173+'vs Min'!G173+'at Atl'!G173+'Gm 15'!G173+'Gm 16'!G173</f>
        <v>0</v>
      </c>
      <c r="H173">
        <f>+'at Pit'!H173+'at GB'!H173+'at Min'!H173+'vs Bal'!H173+'vs Det'!H173+'at Cle'!H173+'vs LA'!H173+'at Det'!H173+'vs NY'!H173+'vs StL'!H173+'vs GB'!H173+'at SF'!H173+'vs Min'!H173+'at Atl'!H173+'Gm 15'!H173+'Gm 16'!H173</f>
        <v>0</v>
      </c>
    </row>
    <row r="174" spans="1:8" ht="12">
      <c r="A174" t="s">
        <v>149</v>
      </c>
      <c r="B174" t="s">
        <v>181</v>
      </c>
      <c r="C174">
        <f>+'at Pit'!C174+'at GB'!C174+'at Min'!C174+'vs Bal'!C174+'vs Det'!C174+'at Cle'!C174+'vs LA'!C174+'at Det'!C174+'vs NY'!C174+'vs StL'!C174+'vs GB'!C174+'at SF'!C174+'vs Min'!C174+'at Atl'!C174+'Gm 15'!C174+'Gm 16'!C174</f>
        <v>0</v>
      </c>
      <c r="D174">
        <f>+'at Pit'!D174+'at GB'!D174+'at Min'!D174+'vs Bal'!D174+'vs Det'!D174+'at Cle'!D174+'vs LA'!D174+'at Det'!D174+'vs NY'!D174+'vs StL'!D174+'vs GB'!D174+'at SF'!D174+'vs Min'!D174+'at Atl'!D174+'Gm 15'!D174+'Gm 16'!D174</f>
        <v>0</v>
      </c>
      <c r="E174" s="12">
        <f t="shared" si="24"/>
        <v>0</v>
      </c>
      <c r="F174">
        <f>MAX('at Pit'!F174,'at GB'!F174,'at Min'!F174,'vs Bal'!F174,'vs Det'!F174,'at Cle'!F174,'vs LA'!F174,'at Det'!F174,'vs NY'!F174,'vs StL'!F174,'vs GB'!F174,'at SF'!F174,'vs Min'!F174,'at Atl'!F174,'Gm 15'!F174,'Gm 16'!F174)</f>
        <v>0</v>
      </c>
      <c r="G174">
        <f>+'at Pit'!G174+'at GB'!G174+'at Min'!G174+'vs Bal'!G174+'vs Det'!G174+'at Cle'!G174+'vs LA'!G174+'at Det'!G174+'vs NY'!G174+'vs StL'!G174+'vs GB'!G174+'at SF'!G174+'vs Min'!G174+'at Atl'!G174+'Gm 15'!G174+'Gm 16'!G174</f>
        <v>0</v>
      </c>
      <c r="H174">
        <f>+'at Pit'!H174+'at GB'!H174+'at Min'!H174+'vs Bal'!H174+'vs Det'!H174+'at Cle'!H174+'vs LA'!H174+'at Det'!H174+'vs NY'!H174+'vs StL'!H174+'vs GB'!H174+'at SF'!H174+'vs Min'!H174+'at Atl'!H174+'Gm 15'!H174+'Gm 16'!H174</f>
        <v>0</v>
      </c>
    </row>
    <row r="175" spans="1:8" ht="12">
      <c r="A175" t="s">
        <v>157</v>
      </c>
      <c r="B175" t="s">
        <v>181</v>
      </c>
      <c r="C175">
        <f>+'at Pit'!C175+'at GB'!C175+'at Min'!C175+'vs Bal'!C175+'vs Det'!C175+'at Cle'!C175+'vs LA'!C175+'at Det'!C175+'vs NY'!C175+'vs StL'!C175+'vs GB'!C175+'at SF'!C175+'vs Min'!C175+'at Atl'!C175+'Gm 15'!C175+'Gm 16'!C175</f>
        <v>2</v>
      </c>
      <c r="D175">
        <f>+'at Pit'!D175+'at GB'!D175+'at Min'!D175+'vs Bal'!D175+'vs Det'!D175+'at Cle'!D175+'vs LA'!D175+'at Det'!D175+'vs NY'!D175+'vs StL'!D175+'vs GB'!D175+'at SF'!D175+'vs Min'!D175+'at Atl'!D175+'Gm 15'!D175+'Gm 16'!D175</f>
        <v>35</v>
      </c>
      <c r="E175" s="12">
        <f t="shared" si="24"/>
        <v>17.5</v>
      </c>
      <c r="F175">
        <f>MAX('at Pit'!F175,'at GB'!F175,'at Min'!F175,'vs Bal'!F175,'vs Det'!F175,'at Cle'!F175,'vs LA'!F175,'at Det'!F175,'vs NY'!F175,'vs StL'!F175,'vs GB'!F175,'at SF'!F175,'vs Min'!F175,'at Atl'!F175,'Gm 15'!F175,'Gm 16'!F175)</f>
        <v>21</v>
      </c>
      <c r="G175">
        <f>+'at Pit'!G175+'at GB'!G175+'at Min'!G175+'vs Bal'!G175+'vs Det'!G175+'at Cle'!G175+'vs LA'!G175+'at Det'!G175+'vs NY'!G175+'vs StL'!G175+'vs GB'!G175+'at SF'!G175+'vs Min'!G175+'at Atl'!G175+'Gm 15'!G175+'Gm 16'!G175</f>
        <v>1</v>
      </c>
      <c r="H175">
        <f>+'at Pit'!H175+'at GB'!H175+'at Min'!H175+'vs Bal'!H175+'vs Det'!H175+'at Cle'!H175+'vs LA'!H175+'at Det'!H175+'vs NY'!H175+'vs StL'!H175+'vs GB'!H175+'at SF'!H175+'vs Min'!H175+'at Atl'!H175+'Gm 15'!H175+'Gm 16'!H175</f>
        <v>0</v>
      </c>
    </row>
    <row r="176" spans="1:8" ht="12">
      <c r="A176" t="s">
        <v>158</v>
      </c>
      <c r="B176" t="s">
        <v>181</v>
      </c>
      <c r="C176">
        <f>+'at Pit'!C176+'at GB'!C176+'at Min'!C176+'vs Bal'!C176+'vs Det'!C176+'at Cle'!C176+'vs LA'!C176+'at Det'!C176+'vs NY'!C176+'vs StL'!C176+'vs GB'!C176+'at SF'!C176+'vs Min'!C176+'at Atl'!C176+'Gm 15'!C176+'Gm 16'!C176</f>
        <v>1</v>
      </c>
      <c r="D176">
        <f>+'at Pit'!D176+'at GB'!D176+'at Min'!D176+'vs Bal'!D176+'vs Det'!D176+'at Cle'!D176+'vs LA'!D176+'at Det'!D176+'vs NY'!D176+'vs StL'!D176+'vs GB'!D176+'at SF'!D176+'vs Min'!D176+'at Atl'!D176+'Gm 15'!D176+'Gm 16'!D176</f>
        <v>26</v>
      </c>
      <c r="E176" s="12">
        <f t="shared" si="24"/>
        <v>26</v>
      </c>
      <c r="F176">
        <f>MAX('at Pit'!F176,'at GB'!F176,'at Min'!F176,'vs Bal'!F176,'vs Det'!F176,'at Cle'!F176,'vs LA'!F176,'at Det'!F176,'vs NY'!F176,'vs StL'!F176,'vs GB'!F176,'at SF'!F176,'vs Min'!F176,'at Atl'!F176,'Gm 15'!F176,'Gm 16'!F176)</f>
        <v>26</v>
      </c>
      <c r="G176">
        <f>+'at Pit'!G176+'at GB'!G176+'at Min'!G176+'vs Bal'!G176+'vs Det'!G176+'at Cle'!G176+'vs LA'!G176+'at Det'!G176+'vs NY'!G176+'vs StL'!G176+'vs GB'!G176+'at SF'!G176+'vs Min'!G176+'at Atl'!G176+'Gm 15'!G176+'Gm 16'!G176</f>
        <v>0</v>
      </c>
      <c r="H176">
        <f>+'at Pit'!H176+'at GB'!H176+'at Min'!H176+'vs Bal'!H176+'vs Det'!H176+'at Cle'!H176+'vs LA'!H176+'at Det'!H176+'vs NY'!H176+'vs StL'!H176+'vs GB'!H176+'at SF'!H176+'vs Min'!H176+'at Atl'!H176+'Gm 15'!H176+'Gm 16'!H176</f>
        <v>0</v>
      </c>
    </row>
    <row r="177" spans="1:8" ht="12">
      <c r="A177" t="s">
        <v>159</v>
      </c>
      <c r="B177" t="s">
        <v>181</v>
      </c>
      <c r="C177">
        <f>+'at Pit'!C177+'at GB'!C177+'at Min'!C177+'vs Bal'!C177+'vs Det'!C177+'at Cle'!C177+'vs LA'!C177+'at Det'!C177+'vs NY'!C177+'vs StL'!C177+'vs GB'!C177+'at SF'!C177+'vs Min'!C177+'at Atl'!C177+'Gm 15'!C177+'Gm 16'!C177</f>
        <v>2</v>
      </c>
      <c r="D177">
        <f>+'at Pit'!D177+'at GB'!D177+'at Min'!D177+'vs Bal'!D177+'vs Det'!D177+'at Cle'!D177+'vs LA'!D177+'at Det'!D177+'vs NY'!D177+'vs StL'!D177+'vs GB'!D177+'at SF'!D177+'vs Min'!D177+'at Atl'!D177+'Gm 15'!D177+'Gm 16'!D177</f>
        <v>6</v>
      </c>
      <c r="E177" s="12">
        <f t="shared" si="24"/>
        <v>3</v>
      </c>
      <c r="F177">
        <f>MAX('at Pit'!F177,'at GB'!F177,'at Min'!F177,'vs Bal'!F177,'vs Det'!F177,'at Cle'!F177,'vs LA'!F177,'at Det'!F177,'vs NY'!F177,'vs StL'!F177,'vs GB'!F177,'at SF'!F177,'vs Min'!F177,'at Atl'!F177,'Gm 15'!F177,'Gm 16'!F177)</f>
        <v>3</v>
      </c>
      <c r="G177">
        <f>+'at Pit'!G177+'at GB'!G177+'at Min'!G177+'vs Bal'!G177+'vs Det'!G177+'at Cle'!G177+'vs LA'!G177+'at Det'!G177+'vs NY'!G177+'vs StL'!G177+'vs GB'!G177+'at SF'!G177+'vs Min'!G177+'at Atl'!G177+'Gm 15'!G177+'Gm 16'!G177</f>
        <v>0</v>
      </c>
      <c r="H177">
        <f>+'at Pit'!H177+'at GB'!H177+'at Min'!H177+'vs Bal'!H177+'vs Det'!H177+'at Cle'!H177+'vs LA'!H177+'at Det'!H177+'vs NY'!H177+'vs StL'!H177+'vs GB'!H177+'at SF'!H177+'vs Min'!H177+'at Atl'!H177+'Gm 15'!H177+'Gm 16'!H177</f>
        <v>0</v>
      </c>
    </row>
    <row r="178" spans="1:8" ht="12">
      <c r="A178" t="s">
        <v>160</v>
      </c>
      <c r="B178" t="s">
        <v>181</v>
      </c>
      <c r="C178">
        <f>+'at Pit'!C178+'at GB'!C178+'at Min'!C178+'vs Bal'!C178+'vs Det'!C178+'at Cle'!C178+'vs LA'!C178+'at Det'!C178+'vs NY'!C178+'vs StL'!C178+'vs GB'!C178+'at SF'!C178+'vs Min'!C178+'at Atl'!C178+'Gm 15'!C178+'Gm 16'!C178</f>
        <v>6</v>
      </c>
      <c r="D178">
        <f>+'at Pit'!D178+'at GB'!D178+'at Min'!D178+'vs Bal'!D178+'vs Det'!D178+'at Cle'!D178+'vs LA'!D178+'at Det'!D178+'vs NY'!D178+'vs StL'!D178+'vs GB'!D178+'at SF'!D178+'vs Min'!D178+'at Atl'!D178+'Gm 15'!D178+'Gm 16'!D178</f>
        <v>10</v>
      </c>
      <c r="E178" s="12">
        <f t="shared" si="24"/>
        <v>1.6666666666666667</v>
      </c>
      <c r="F178">
        <f>MAX('at Pit'!F178,'at GB'!F178,'at Min'!F178,'vs Bal'!F178,'vs Det'!F178,'at Cle'!F178,'vs LA'!F178,'at Det'!F178,'vs NY'!F178,'vs StL'!F178,'vs GB'!F178,'at SF'!F178,'vs Min'!F178,'at Atl'!F178,'Gm 15'!F178,'Gm 16'!F178)</f>
        <v>9</v>
      </c>
      <c r="G178">
        <f>+'at Pit'!G178+'at GB'!G178+'at Min'!G178+'vs Bal'!G178+'vs Det'!G178+'at Cle'!G178+'vs LA'!G178+'at Det'!G178+'vs NY'!G178+'vs StL'!G178+'vs GB'!G178+'at SF'!G178+'vs Min'!G178+'at Atl'!G178+'Gm 15'!G178+'Gm 16'!G178</f>
        <v>0</v>
      </c>
      <c r="H178">
        <f>+'at Pit'!H178+'at GB'!H178+'at Min'!H178+'vs Bal'!H178+'vs Det'!H178+'at Cle'!H178+'vs LA'!H178+'at Det'!H178+'vs NY'!H178+'vs StL'!H178+'vs GB'!H178+'at SF'!H178+'vs Min'!H178+'at Atl'!H178+'Gm 15'!H178+'Gm 16'!H178</f>
        <v>0</v>
      </c>
    </row>
    <row r="179" spans="1:8" ht="12">
      <c r="A179" t="s">
        <v>161</v>
      </c>
      <c r="B179" t="s">
        <v>181</v>
      </c>
      <c r="C179">
        <f>+'at Pit'!C179+'at GB'!C179+'at Min'!C179+'vs Bal'!C179+'vs Det'!C179+'at Cle'!C179+'vs LA'!C179+'at Det'!C179+'vs NY'!C179+'vs StL'!C179+'vs GB'!C179+'at SF'!C179+'vs Min'!C179+'at Atl'!C179+'Gm 15'!C179+'Gm 16'!C179</f>
        <v>6</v>
      </c>
      <c r="D179">
        <f>+'at Pit'!D179+'at GB'!D179+'at Min'!D179+'vs Bal'!D179+'vs Det'!D179+'at Cle'!D179+'vs LA'!D179+'at Det'!D179+'vs NY'!D179+'vs StL'!D179+'vs GB'!D179+'at SF'!D179+'vs Min'!D179+'at Atl'!D179+'Gm 15'!D179+'Gm 16'!D179</f>
        <v>114</v>
      </c>
      <c r="E179" s="12">
        <f t="shared" si="24"/>
        <v>19</v>
      </c>
      <c r="F179">
        <f>MAX('at Pit'!F179,'at GB'!F179,'at Min'!F179,'vs Bal'!F179,'vs Det'!F179,'at Cle'!F179,'vs LA'!F179,'at Det'!F179,'vs NY'!F179,'vs StL'!F179,'vs GB'!F179,'at SF'!F179,'vs Min'!F179,'at Atl'!F179,'Gm 15'!F179,'Gm 16'!F179)</f>
        <v>30</v>
      </c>
      <c r="G179">
        <f>+'at Pit'!G179+'at GB'!G179+'at Min'!G179+'vs Bal'!G179+'vs Det'!G179+'at Cle'!G179+'vs LA'!G179+'at Det'!G179+'vs NY'!G179+'vs StL'!G179+'vs GB'!G179+'at SF'!G179+'vs Min'!G179+'at Atl'!G179+'Gm 15'!G179+'Gm 16'!G179</f>
        <v>0</v>
      </c>
      <c r="H179">
        <f>+'at Pit'!H179+'at GB'!H179+'at Min'!H179+'vs Bal'!H179+'vs Det'!H179+'at Cle'!H179+'vs LA'!H179+'at Det'!H179+'vs NY'!H179+'vs StL'!H179+'vs GB'!H179+'at SF'!H179+'vs Min'!H179+'at Atl'!H179+'Gm 15'!H179+'Gm 16'!H179</f>
        <v>0</v>
      </c>
    </row>
    <row r="180" spans="1:8" ht="12">
      <c r="A180" t="s">
        <v>147</v>
      </c>
      <c r="B180" t="s">
        <v>181</v>
      </c>
      <c r="C180">
        <f>+'at Pit'!C180+'at GB'!C180+'at Min'!C180+'vs Bal'!C180+'vs Det'!C180+'at Cle'!C180+'vs LA'!C180+'at Det'!C180+'vs NY'!C180+'vs StL'!C180+'vs GB'!C180+'at SF'!C180+'vs Min'!C180+'at Atl'!C180+'Gm 15'!C180+'Gm 16'!C180</f>
        <v>7</v>
      </c>
      <c r="D180">
        <f>+'at Pit'!D180+'at GB'!D180+'at Min'!D180+'vs Bal'!D180+'vs Det'!D180+'at Cle'!D180+'vs LA'!D180+'at Det'!D180+'vs NY'!D180+'vs StL'!D180+'vs GB'!D180+'at SF'!D180+'vs Min'!D180+'at Atl'!D180+'Gm 15'!D180+'Gm 16'!D180</f>
        <v>105</v>
      </c>
      <c r="E180" s="12">
        <f t="shared" si="24"/>
        <v>15</v>
      </c>
      <c r="F180">
        <f>MAX('at Pit'!F180,'at GB'!F180,'at Min'!F180,'vs Bal'!F180,'vs Det'!F180,'at Cle'!F180,'vs LA'!F180,'at Det'!F180,'vs NY'!F180,'vs StL'!F180,'vs GB'!F180,'at SF'!F180,'vs Min'!F180,'at Atl'!F180,'Gm 15'!F180,'Gm 16'!F180)</f>
        <v>40</v>
      </c>
      <c r="G180">
        <f>+'at Pit'!G180+'at GB'!G180+'at Min'!G180+'vs Bal'!G180+'vs Det'!G180+'at Cle'!G180+'vs LA'!G180+'at Det'!G180+'vs NY'!G180+'vs StL'!G180+'vs GB'!G180+'at SF'!G180+'vs Min'!G180+'at Atl'!G180+'Gm 15'!G180+'Gm 16'!G180</f>
        <v>0</v>
      </c>
      <c r="H180">
        <f>+'at Pit'!H180+'at GB'!H180+'at Min'!H180+'vs Bal'!H180+'vs Det'!H180+'at Cle'!H180+'vs LA'!H180+'at Det'!H180+'vs NY'!H180+'vs StL'!H180+'vs GB'!H180+'at SF'!H180+'vs Min'!H180+'at Atl'!H180+'Gm 15'!H180+'Gm 16'!H180</f>
        <v>0</v>
      </c>
    </row>
    <row r="181" spans="1:8" ht="12">
      <c r="A181" t="s">
        <v>153</v>
      </c>
      <c r="B181" t="s">
        <v>181</v>
      </c>
      <c r="C181">
        <f>+'at Pit'!C181+'at GB'!C181+'at Min'!C181+'vs Bal'!C181+'vs Det'!C181+'at Cle'!C181+'vs LA'!C181+'at Det'!C181+'vs NY'!C181+'vs StL'!C181+'vs GB'!C181+'at SF'!C181+'vs Min'!C181+'at Atl'!C181+'Gm 15'!C181+'Gm 16'!C181</f>
        <v>0</v>
      </c>
      <c r="D181">
        <f>+'at Pit'!D181+'at GB'!D181+'at Min'!D181+'vs Bal'!D181+'vs Det'!D181+'at Cle'!D181+'vs LA'!D181+'at Det'!D181+'vs NY'!D181+'vs StL'!D181+'vs GB'!D181+'at SF'!D181+'vs Min'!D181+'at Atl'!D181+'Gm 15'!D181+'Gm 16'!D181</f>
        <v>0</v>
      </c>
      <c r="E181" s="12">
        <f t="shared" si="24"/>
        <v>0</v>
      </c>
      <c r="F181">
        <f>MAX('at Pit'!F181,'at GB'!F181,'at Min'!F181,'vs Bal'!F181,'vs Det'!F181,'at Cle'!F181,'vs LA'!F181,'at Det'!F181,'vs NY'!F181,'vs StL'!F181,'vs GB'!F181,'at SF'!F181,'vs Min'!F181,'at Atl'!F181,'Gm 15'!F181,'Gm 16'!F181)</f>
        <v>0</v>
      </c>
      <c r="G181">
        <f>+'at Pit'!G181+'at GB'!G181+'at Min'!G181+'vs Bal'!G181+'vs Det'!G181+'at Cle'!G181+'vs LA'!G181+'at Det'!G181+'vs NY'!G181+'vs StL'!G181+'vs GB'!G181+'at SF'!G181+'vs Min'!G181+'at Atl'!G181+'Gm 15'!G181+'Gm 16'!G181</f>
        <v>0</v>
      </c>
      <c r="H181">
        <f>+'at Pit'!H181+'at GB'!H181+'at Min'!H181+'vs Bal'!H181+'vs Det'!H181+'at Cle'!H181+'vs LA'!H181+'at Det'!H181+'vs NY'!H181+'vs StL'!H181+'vs GB'!H181+'at SF'!H181+'vs Min'!H181+'at Atl'!H181+'Gm 15'!H181+'Gm 16'!H181</f>
        <v>0</v>
      </c>
    </row>
    <row r="182" spans="1:8" ht="12">
      <c r="A182" t="s">
        <v>162</v>
      </c>
      <c r="B182" t="s">
        <v>181</v>
      </c>
      <c r="C182">
        <f>+'at Pit'!C182+'at GB'!C182+'at Min'!C182+'vs Bal'!C182+'vs Det'!C182+'at Cle'!C182+'vs LA'!C182+'at Det'!C182+'vs NY'!C182+'vs StL'!C182+'vs GB'!C182+'at SF'!C182+'vs Min'!C182+'at Atl'!C182+'Gm 15'!C182+'Gm 16'!C182</f>
        <v>5</v>
      </c>
      <c r="D182">
        <f>+'at Pit'!D182+'at GB'!D182+'at Min'!D182+'vs Bal'!D182+'vs Det'!D182+'at Cle'!D182+'vs LA'!D182+'at Det'!D182+'vs NY'!D182+'vs StL'!D182+'vs GB'!D182+'at SF'!D182+'vs Min'!D182+'at Atl'!D182+'Gm 15'!D182+'Gm 16'!D182</f>
        <v>14</v>
      </c>
      <c r="E182" s="12">
        <f t="shared" si="24"/>
        <v>2.8</v>
      </c>
      <c r="F182">
        <f>MAX('at Pit'!F182,'at GB'!F182,'at Min'!F182,'vs Bal'!F182,'vs Det'!F182,'at Cle'!F182,'vs LA'!F182,'at Det'!F182,'vs NY'!F182,'vs StL'!F182,'vs GB'!F182,'at SF'!F182,'vs Min'!F182,'at Atl'!F182,'Gm 15'!F182,'Gm 16'!F182)</f>
        <v>13</v>
      </c>
      <c r="G182">
        <f>+'at Pit'!G182+'at GB'!G182+'at Min'!G182+'vs Bal'!G182+'vs Det'!G182+'at Cle'!G182+'vs LA'!G182+'at Det'!G182+'vs NY'!G182+'vs StL'!G182+'vs GB'!G182+'at SF'!G182+'vs Min'!G182+'at Atl'!G182+'Gm 15'!G182+'Gm 16'!G182</f>
        <v>0</v>
      </c>
      <c r="H182">
        <f>+'at Pit'!H182+'at GB'!H182+'at Min'!H182+'vs Bal'!H182+'vs Det'!H182+'at Cle'!H182+'vs LA'!H182+'at Det'!H182+'vs NY'!H182+'vs StL'!H182+'vs GB'!H182+'at SF'!H182+'vs Min'!H182+'at Atl'!H182+'Gm 15'!H182+'Gm 16'!H182</f>
        <v>0</v>
      </c>
    </row>
    <row r="183" spans="3:8" ht="12">
      <c r="C183">
        <f>+'at Pit'!C183+'at GB'!C183+'at Min'!C183+'vs Bal'!C183+'vs Det'!C183+'at Cle'!C183+'vs LA'!C183+'at Det'!C183+'vs NY'!C183+'vs StL'!C183+'vs GB'!C183+'at SF'!C183+'vs Min'!C183+'at Atl'!C183+'Gm 15'!C183+'Gm 16'!C183</f>
        <v>0</v>
      </c>
      <c r="D183">
        <f>+'at Pit'!D183+'at GB'!D183+'at Min'!D183+'vs Bal'!D183+'vs Det'!D183+'at Cle'!D183+'vs LA'!D183+'at Det'!D183+'vs NY'!D183+'vs StL'!D183+'vs GB'!D183+'at SF'!D183+'vs Min'!D183+'at Atl'!D183+'Gm 15'!D183+'Gm 16'!D183</f>
        <v>0</v>
      </c>
      <c r="E183" s="12">
        <f t="shared" si="24"/>
        <v>0</v>
      </c>
      <c r="F183">
        <f>MAX('at Pit'!F183,'at GB'!F183,'at Min'!F183,'vs Bal'!F183,'vs Det'!F183,'at Cle'!F183,'vs LA'!F183,'at Det'!F183,'vs NY'!F183,'vs StL'!F183,'vs GB'!F183,'at SF'!F183,'vs Min'!F183,'at Atl'!F183,'Gm 15'!F183,'Gm 16'!F183)</f>
        <v>0</v>
      </c>
      <c r="G183">
        <f>+'at Pit'!G183+'at GB'!G183+'at Min'!G183+'vs Bal'!G183+'vs Det'!G183+'at Cle'!G183+'vs LA'!G183+'at Det'!G183+'vs NY'!G183+'vs StL'!G183+'vs GB'!G183+'at SF'!G183+'vs Min'!G183+'at Atl'!G183+'Gm 15'!G183+'Gm 16'!G183</f>
        <v>0</v>
      </c>
      <c r="H183">
        <f>+'at Pit'!H183+'at GB'!H183+'at Min'!H183+'vs Bal'!H183+'vs Det'!H183+'at Cle'!H183+'vs LA'!H183+'at Det'!H183+'vs NY'!H183+'vs StL'!H183+'vs GB'!H183+'at SF'!H183+'vs Min'!H183+'at Atl'!H183+'Gm 15'!H183+'Gm 16'!H183</f>
        <v>0</v>
      </c>
    </row>
    <row r="184" spans="3:8" ht="12">
      <c r="C184">
        <f>+'at Pit'!C184+'at GB'!C184+'at Min'!C184+'vs Bal'!C184+'vs Det'!C184+'at Cle'!C184+'vs LA'!C184+'at Det'!C184+'vs NY'!C184+'vs StL'!C184+'vs GB'!C184+'at SF'!C184+'vs Min'!C184+'at Atl'!C184+'Gm 15'!C184+'Gm 16'!C184</f>
        <v>0</v>
      </c>
      <c r="D184">
        <f>+'at Pit'!D184+'at GB'!D184+'at Min'!D184+'vs Bal'!D184+'vs Det'!D184+'at Cle'!D184+'vs LA'!D184+'at Det'!D184+'vs NY'!D184+'vs StL'!D184+'vs GB'!D184+'at SF'!D184+'vs Min'!D184+'at Atl'!D184+'Gm 15'!D184+'Gm 16'!D184</f>
        <v>0</v>
      </c>
      <c r="E184" s="12">
        <f t="shared" si="24"/>
        <v>0</v>
      </c>
      <c r="F184">
        <f>MAX('at Pit'!F184,'at GB'!F184,'at Min'!F184,'vs Bal'!F184,'vs Det'!F184,'at Cle'!F184,'vs LA'!F184,'at Det'!F184,'vs NY'!F184,'vs StL'!F184,'vs GB'!F184,'at SF'!F184,'vs Min'!F184,'at Atl'!F184,'Gm 15'!F184,'Gm 16'!F184)</f>
        <v>0</v>
      </c>
      <c r="G184">
        <f>+'at Pit'!G184+'at GB'!G184+'at Min'!G184+'vs Bal'!G184+'vs Det'!G184+'at Cle'!G184+'vs LA'!G184+'at Det'!G184+'vs NY'!G184+'vs StL'!G184+'vs GB'!G184+'at SF'!G184+'vs Min'!G184+'at Atl'!G184+'Gm 15'!G184+'Gm 16'!G184</f>
        <v>0</v>
      </c>
      <c r="H184">
        <f>+'at Pit'!H184+'at GB'!H184+'at Min'!H184+'vs Bal'!H184+'vs Det'!H184+'at Cle'!H184+'vs LA'!H184+'at Det'!H184+'vs NY'!H184+'vs StL'!H184+'vs GB'!H184+'at SF'!H184+'vs Min'!H184+'at Atl'!H184+'Gm 15'!H184+'Gm 16'!H184</f>
        <v>0</v>
      </c>
    </row>
    <row r="185" spans="3:8" ht="12">
      <c r="C185">
        <f>+'at Pit'!C185+'at GB'!C185+'at Min'!C185+'vs Bal'!C185+'vs Det'!C185+'at Cle'!C185+'vs LA'!C185+'at Det'!C185+'vs NY'!C185+'vs StL'!C185+'vs GB'!C185+'at SF'!C185+'vs Min'!C185+'at Atl'!C185+'Gm 15'!C185+'Gm 16'!C185</f>
        <v>0</v>
      </c>
      <c r="D185">
        <f>+'at Pit'!D185+'at GB'!D185+'at Min'!D185+'vs Bal'!D185+'vs Det'!D185+'at Cle'!D185+'vs LA'!D185+'at Det'!D185+'vs NY'!D185+'vs StL'!D185+'vs GB'!D185+'at SF'!D185+'vs Min'!D185+'at Atl'!D185+'Gm 15'!D185+'Gm 16'!D185</f>
        <v>0</v>
      </c>
      <c r="E185" s="12">
        <f t="shared" si="24"/>
        <v>0</v>
      </c>
      <c r="F185">
        <f>MAX('at Pit'!F185,'at GB'!F185,'at Min'!F185,'vs Bal'!F185,'vs Det'!F185,'at Cle'!F185,'vs LA'!F185,'at Det'!F185,'vs NY'!F185,'vs StL'!F185,'vs GB'!F185,'at SF'!F185,'vs Min'!F185,'at Atl'!F185,'Gm 15'!F185,'Gm 16'!F185)</f>
        <v>0</v>
      </c>
      <c r="G185">
        <f>+'at Pit'!G185+'at GB'!G185+'at Min'!G185+'vs Bal'!G185+'vs Det'!G185+'at Cle'!G185+'vs LA'!G185+'at Det'!G185+'vs NY'!G185+'vs StL'!G185+'vs GB'!G185+'at SF'!G185+'vs Min'!G185+'at Atl'!G185+'Gm 15'!G185+'Gm 16'!G185</f>
        <v>0</v>
      </c>
      <c r="H185">
        <f>+'at Pit'!H185+'at GB'!H185+'at Min'!H185+'vs Bal'!H185+'vs Det'!H185+'at Cle'!H185+'vs LA'!H185+'at Det'!H185+'vs NY'!H185+'vs StL'!H185+'vs GB'!H185+'at SF'!H185+'vs Min'!H185+'at Atl'!H185+'Gm 15'!H185+'Gm 16'!H185</f>
        <v>0</v>
      </c>
    </row>
    <row r="186" ht="12">
      <c r="E186" s="12"/>
    </row>
    <row r="187" spans="1:6" ht="12">
      <c r="A187" s="2" t="s">
        <v>98</v>
      </c>
      <c r="C187" s="3" t="s">
        <v>72</v>
      </c>
      <c r="D187" s="3" t="s">
        <v>74</v>
      </c>
      <c r="F187" s="2" t="s">
        <v>89</v>
      </c>
    </row>
    <row r="188" spans="1:6" ht="12">
      <c r="A188" s="20" t="s">
        <v>156</v>
      </c>
      <c r="B188" t="s">
        <v>181</v>
      </c>
      <c r="C188">
        <f>+'at Pit'!C188+'at GB'!C188+'at Min'!C188+'vs Bal'!C188+'vs Det'!C188+'at Cle'!C188+'vs LA'!C188+'at Det'!C188+'vs NY'!C188+'vs StL'!C188+'vs GB'!C188+'at SF'!C188+'vs Min'!C188+'at Atl'!C188+'Gm 15'!C188+'Gm 16'!C188</f>
        <v>2.5</v>
      </c>
      <c r="D188">
        <f>+'at Pit'!D188+'at GB'!D188+'at Min'!D188+'vs Bal'!D188+'vs Det'!D188+'at Cle'!D188+'vs LA'!D188+'at Det'!D188+'vs NY'!D188+'vs StL'!D188+'vs GB'!D188+'at SF'!D188+'vs Min'!D188+'at Atl'!D188+'Gm 15'!D188+'Gm 16'!D188</f>
        <v>24</v>
      </c>
      <c r="F188">
        <v>2</v>
      </c>
    </row>
    <row r="189" spans="1:6" ht="12">
      <c r="A189" s="20" t="s">
        <v>157</v>
      </c>
      <c r="B189" t="s">
        <v>181</v>
      </c>
      <c r="C189">
        <f>+'at Pit'!C189+'at GB'!C189+'at Min'!C189+'vs Bal'!C189+'vs Det'!C189+'at Cle'!C189+'vs LA'!C189+'at Det'!C189+'vs NY'!C189+'vs StL'!C189+'vs GB'!C189+'at SF'!C189+'vs Min'!C189+'at Atl'!C189+'Gm 15'!C189+'Gm 16'!C189</f>
        <v>4.5</v>
      </c>
      <c r="D189">
        <f>+'at Pit'!D189+'at GB'!D189+'at Min'!D189+'vs Bal'!D189+'vs Det'!D189+'at Cle'!D189+'vs LA'!D189+'at Det'!D189+'vs NY'!D189+'vs StL'!D189+'vs GB'!D189+'at SF'!D189+'vs Min'!D189+'at Atl'!D189+'Gm 15'!D189+'Gm 16'!D189</f>
        <v>21</v>
      </c>
      <c r="F189">
        <v>3</v>
      </c>
    </row>
    <row r="190" spans="1:6" ht="12">
      <c r="A190" s="20" t="s">
        <v>158</v>
      </c>
      <c r="B190" t="s">
        <v>181</v>
      </c>
      <c r="C190">
        <f>+'at Pit'!C190+'at GB'!C190+'at Min'!C190+'vs Bal'!C190+'vs Det'!C190+'at Cle'!C190+'vs LA'!C190+'at Det'!C190+'vs NY'!C190+'vs StL'!C190+'vs GB'!C190+'at SF'!C190+'vs Min'!C190+'at Atl'!C190+'Gm 15'!C190+'Gm 16'!C190</f>
        <v>4.5</v>
      </c>
      <c r="D190">
        <f>+'at Pit'!D190+'at GB'!D190+'at Min'!D190+'vs Bal'!D190+'vs Det'!D190+'at Cle'!D190+'vs LA'!D190+'at Det'!D190+'vs NY'!D190+'vs StL'!D190+'vs GB'!D190+'at SF'!D190+'vs Min'!D190+'at Atl'!D190+'Gm 15'!D190+'Gm 16'!D190</f>
        <v>36</v>
      </c>
      <c r="F190">
        <v>3</v>
      </c>
    </row>
    <row r="191" spans="1:6" ht="12">
      <c r="A191" s="20" t="s">
        <v>159</v>
      </c>
      <c r="B191" t="s">
        <v>181</v>
      </c>
      <c r="C191">
        <f>+'at Pit'!C191+'at GB'!C191+'at Min'!C191+'vs Bal'!C191+'vs Det'!C191+'at Cle'!C191+'vs LA'!C191+'at Det'!C191+'vs NY'!C191+'vs StL'!C191+'vs GB'!C191+'at SF'!C191+'vs Min'!C191+'at Atl'!C191+'Gm 15'!C191+'Gm 16'!C191</f>
        <v>5</v>
      </c>
      <c r="D191">
        <f>+'at Pit'!D191+'at GB'!D191+'at Min'!D191+'vs Bal'!D191+'vs Det'!D191+'at Cle'!D191+'vs LA'!D191+'at Det'!D191+'vs NY'!D191+'vs StL'!D191+'vs GB'!D191+'at SF'!D191+'vs Min'!D191+'at Atl'!D191+'Gm 15'!D191+'Gm 16'!D191</f>
        <v>48</v>
      </c>
      <c r="F191">
        <v>5</v>
      </c>
    </row>
    <row r="192" spans="1:6" ht="12">
      <c r="A192" s="20" t="s">
        <v>163</v>
      </c>
      <c r="B192" t="s">
        <v>181</v>
      </c>
      <c r="C192">
        <f>+'at Pit'!C192+'at GB'!C192+'at Min'!C192+'vs Bal'!C192+'vs Det'!C192+'at Cle'!C192+'vs LA'!C192+'at Det'!C192+'vs NY'!C192+'vs StL'!C192+'vs GB'!C192+'at SF'!C192+'vs Min'!C192+'at Atl'!C192+'Gm 15'!C192+'Gm 16'!C192</f>
        <v>5.5</v>
      </c>
      <c r="D192">
        <f>+'at Pit'!D192+'at GB'!D192+'at Min'!D192+'vs Bal'!D192+'vs Det'!D192+'at Cle'!D192+'vs LA'!D192+'at Det'!D192+'vs NY'!D192+'vs StL'!D192+'vs GB'!D192+'at SF'!D192+'vs Min'!D192+'at Atl'!D192+'Gm 15'!D192+'Gm 16'!D192</f>
        <v>37.5</v>
      </c>
      <c r="F192">
        <v>3</v>
      </c>
    </row>
    <row r="193" spans="1:6" ht="12">
      <c r="A193" s="20" t="s">
        <v>164</v>
      </c>
      <c r="B193" t="s">
        <v>181</v>
      </c>
      <c r="C193">
        <f>+'at Pit'!C193+'at GB'!C193+'at Min'!C193+'vs Bal'!C193+'vs Det'!C193+'at Cle'!C193+'vs LA'!C193+'at Det'!C193+'vs NY'!C193+'vs StL'!C193+'vs GB'!C193+'at SF'!C193+'vs Min'!C193+'at Atl'!C193+'Gm 15'!C193+'Gm 16'!C193</f>
        <v>3.5</v>
      </c>
      <c r="D193">
        <f>+'at Pit'!D193+'at GB'!D193+'at Min'!D193+'vs Bal'!D193+'vs Det'!D193+'at Cle'!D193+'vs LA'!D193+'at Det'!D193+'vs NY'!D193+'vs StL'!D193+'vs GB'!D193+'at SF'!D193+'vs Min'!D193+'at Atl'!D193+'Gm 15'!D193+'Gm 16'!D193</f>
        <v>24</v>
      </c>
      <c r="F193">
        <v>3</v>
      </c>
    </row>
    <row r="194" spans="1:6" ht="12">
      <c r="A194" s="20" t="s">
        <v>161</v>
      </c>
      <c r="B194" t="s">
        <v>181</v>
      </c>
      <c r="C194">
        <f>+'at Pit'!C194+'at GB'!C194+'at Min'!C194+'vs Bal'!C194+'vs Det'!C194+'at Cle'!C194+'vs LA'!C194+'at Det'!C194+'vs NY'!C194+'vs StL'!C194+'vs GB'!C194+'at SF'!C194+'vs Min'!C194+'at Atl'!C194+'Gm 15'!C194+'Gm 16'!C194</f>
        <v>0.5</v>
      </c>
      <c r="D194">
        <f>+'at Pit'!D194+'at GB'!D194+'at Min'!D194+'vs Bal'!D194+'vs Det'!D194+'at Cle'!D194+'vs LA'!D194+'at Det'!D194+'vs NY'!D194+'vs StL'!D194+'vs GB'!D194+'at SF'!D194+'vs Min'!D194+'at Atl'!D194+'Gm 15'!D194+'Gm 16'!D194</f>
        <v>4.5</v>
      </c>
      <c r="F194">
        <v>1</v>
      </c>
    </row>
    <row r="195" spans="1:6" ht="12">
      <c r="A195" s="20" t="s">
        <v>165</v>
      </c>
      <c r="B195" t="s">
        <v>181</v>
      </c>
      <c r="C195">
        <f>+'at Pit'!C195+'at GB'!C195+'at Min'!C195+'vs Bal'!C195+'vs Det'!C195+'at Cle'!C195+'vs LA'!C195+'at Det'!C195+'vs NY'!C195+'vs StL'!C195+'vs GB'!C195+'at SF'!C195+'vs Min'!C195+'at Atl'!C195+'Gm 15'!C195+'Gm 16'!C195</f>
        <v>11.5</v>
      </c>
      <c r="D195">
        <f>+'at Pit'!D195+'at GB'!D195+'at Min'!D195+'vs Bal'!D195+'vs Det'!D195+'at Cle'!D195+'vs LA'!D195+'at Det'!D195+'vs NY'!D195+'vs StL'!D195+'vs GB'!D195+'at SF'!D195+'vs Min'!D195+'at Atl'!D195+'Gm 15'!D195+'Gm 16'!D195</f>
        <v>103</v>
      </c>
      <c r="F195">
        <v>8</v>
      </c>
    </row>
    <row r="196" spans="1:6" ht="12">
      <c r="A196" s="20" t="s">
        <v>147</v>
      </c>
      <c r="B196" t="s">
        <v>181</v>
      </c>
      <c r="C196">
        <f>+'at Pit'!C196+'at GB'!C196+'at Min'!C196+'vs Bal'!C196+'vs Det'!C196+'at Cle'!C196+'vs LA'!C196+'at Det'!C196+'vs NY'!C196+'vs StL'!C196+'vs GB'!C196+'at SF'!C196+'vs Min'!C196+'at Atl'!C196+'Gm 15'!C196+'Gm 16'!C196</f>
        <v>0.5</v>
      </c>
      <c r="D196">
        <f>+'at Pit'!D196+'at GB'!D196+'at Min'!D196+'vs Bal'!D196+'vs Det'!D196+'at Cle'!D196+'vs LA'!D196+'at Det'!D196+'vs NY'!D196+'vs StL'!D196+'vs GB'!D196+'at SF'!D196+'vs Min'!D196+'at Atl'!D196+'Gm 15'!D196+'Gm 16'!D196</f>
        <v>3</v>
      </c>
      <c r="F196">
        <v>1</v>
      </c>
    </row>
    <row r="197" spans="1:6" ht="12">
      <c r="A197" s="20" t="s">
        <v>166</v>
      </c>
      <c r="B197" t="s">
        <v>181</v>
      </c>
      <c r="C197">
        <f>+'at Pit'!C197+'at GB'!C197+'at Min'!C197+'vs Bal'!C197+'vs Det'!C197+'at Cle'!C197+'vs LA'!C197+'at Det'!C197+'vs NY'!C197+'vs StL'!C197+'vs GB'!C197+'at SF'!C197+'vs Min'!C197+'at Atl'!C197+'Gm 15'!C197+'Gm 16'!C197</f>
        <v>1</v>
      </c>
      <c r="D197">
        <f>+'at Pit'!D197+'at GB'!D197+'at Min'!D197+'vs Bal'!D197+'vs Det'!D197+'at Cle'!D197+'vs LA'!D197+'at Det'!D197+'vs NY'!D197+'vs StL'!D197+'vs GB'!D197+'at SF'!D197+'vs Min'!D197+'at Atl'!D197+'Gm 15'!D197+'Gm 16'!D197</f>
        <v>10</v>
      </c>
      <c r="F197">
        <v>1</v>
      </c>
    </row>
    <row r="198" spans="1:4" ht="12">
      <c r="A198" s="20"/>
      <c r="C198">
        <f>+'at Pit'!C198+'at GB'!C198+'at Min'!C198+'vs Bal'!C198+'vs Det'!C198+'at Cle'!C198+'vs LA'!C198+'at Det'!C198+'vs NY'!C198+'vs StL'!C198+'vs GB'!C198+'at SF'!C198+'vs Min'!C198+'at Atl'!C198+'Gm 15'!C198+'Gm 16'!C198</f>
        <v>0</v>
      </c>
      <c r="D198">
        <f>+'at Pit'!D198+'at GB'!D198+'at Min'!D198+'vs Bal'!D198+'vs Det'!D198+'at Cle'!D198+'vs LA'!D198+'at Det'!D198+'vs NY'!D198+'vs StL'!D198+'vs GB'!D198+'at SF'!D198+'vs Min'!D198+'at Atl'!D198+'Gm 15'!D198+'Gm 16'!D198</f>
        <v>0</v>
      </c>
    </row>
    <row r="199" spans="1:4" ht="12">
      <c r="A199" s="20"/>
      <c r="C199">
        <f>+'at Pit'!C199+'at GB'!C199+'at Min'!C199+'vs Bal'!C199+'vs Det'!C199+'at Cle'!C199+'vs LA'!C199+'at Det'!C199+'vs NY'!C199+'vs StL'!C199+'vs GB'!C199+'at SF'!C199+'vs Min'!C199+'at Atl'!C199+'Gm 15'!C199+'Gm 16'!C199</f>
        <v>0</v>
      </c>
      <c r="D199">
        <f>+'at Pit'!D199+'at GB'!D199+'at Min'!D199+'vs Bal'!D199+'vs Det'!D199+'at Cle'!D199+'vs LA'!D199+'at Det'!D199+'vs NY'!D199+'vs StL'!D199+'vs GB'!D199+'at SF'!D199+'vs Min'!D199+'at Atl'!D199+'Gm 15'!D199+'Gm 16'!D199</f>
        <v>0</v>
      </c>
    </row>
    <row r="200" spans="1:4" ht="12">
      <c r="A200" s="20"/>
      <c r="C200">
        <f>+'at Pit'!C200+'at GB'!C200+'at Min'!C200+'vs Bal'!C200+'vs Det'!C200+'at Cle'!C200+'vs LA'!C200+'at Det'!C200+'vs NY'!C200+'vs StL'!C200+'vs GB'!C200+'at SF'!C200+'vs Min'!C200+'at Atl'!C200+'Gm 15'!C200+'Gm 16'!C200</f>
        <v>0</v>
      </c>
      <c r="D200">
        <f>+'at Pit'!D200+'at GB'!D200+'at Min'!D200+'vs Bal'!D200+'vs Det'!D200+'at Cle'!D200+'vs LA'!D200+'at Det'!D200+'vs NY'!D200+'vs StL'!D200+'vs GB'!D200+'at SF'!D200+'vs Min'!D200+'at Atl'!D200+'Gm 15'!D200+'Gm 16'!D200</f>
        <v>0</v>
      </c>
    </row>
    <row r="201" spans="1:4" ht="12">
      <c r="A201" s="20"/>
      <c r="C201">
        <f>+'at Pit'!C201+'at GB'!C201+'at Min'!C201+'vs Bal'!C201+'vs Det'!C201+'at Cle'!C201+'vs LA'!C201+'at Det'!C201+'vs NY'!C201+'vs StL'!C201+'vs GB'!C201+'at SF'!C201+'vs Min'!C201+'at Atl'!C201+'Gm 15'!C201+'Gm 16'!C201</f>
        <v>0</v>
      </c>
      <c r="D201">
        <f>+'at Pit'!D201+'at GB'!D201+'at Min'!D201+'vs Bal'!D201+'vs Det'!D201+'at Cle'!D201+'vs LA'!D201+'at Det'!D201+'vs NY'!D201+'vs StL'!D201+'vs GB'!D201+'at SF'!D201+'vs Min'!D201+'at Atl'!D201+'Gm 15'!D201+'Gm 16'!D201</f>
        <v>0</v>
      </c>
    </row>
    <row r="202" spans="1:4" ht="12">
      <c r="A202" s="2"/>
      <c r="C202">
        <f>+'at Pit'!C202+'at GB'!C202+'at Min'!C202+'vs Bal'!C202+'vs Det'!C202+'at Cle'!C202+'vs LA'!C202+'at Det'!C202+'vs NY'!C202+'vs StL'!C202+'vs GB'!C202+'at SF'!C202+'vs Min'!C202+'at Atl'!C202+'Gm 15'!C202+'Gm 16'!C202</f>
        <v>0</v>
      </c>
      <c r="D202">
        <f>+'at Pit'!D202+'at GB'!D202+'at Min'!D202+'vs Bal'!D202+'vs Det'!D202+'at Cle'!D202+'vs LA'!D202+'at Det'!D202+'vs NY'!D202+'vs StL'!D202+'vs GB'!D202+'at SF'!D202+'vs Min'!D202+'at Atl'!D202+'Gm 15'!D202+'Gm 16'!D202</f>
        <v>0</v>
      </c>
    </row>
    <row r="203" spans="1:4" ht="12">
      <c r="A203" s="2"/>
      <c r="C203" s="3"/>
      <c r="D203" s="3"/>
    </row>
    <row r="204" spans="1:4" ht="12">
      <c r="A204" s="2"/>
      <c r="C204" s="3"/>
      <c r="D204" s="3"/>
    </row>
    <row r="205" spans="1:7" ht="12">
      <c r="A205" s="2" t="s">
        <v>94</v>
      </c>
      <c r="C205" s="3" t="s">
        <v>72</v>
      </c>
      <c r="D205" s="3" t="s">
        <v>74</v>
      </c>
      <c r="E205" s="3" t="s">
        <v>64</v>
      </c>
      <c r="F205" s="3" t="s">
        <v>55</v>
      </c>
      <c r="G205" s="5" t="s">
        <v>84</v>
      </c>
    </row>
    <row r="206" spans="1:7" ht="12">
      <c r="A206" t="s">
        <v>167</v>
      </c>
      <c r="B206" t="s">
        <v>181</v>
      </c>
      <c r="C206">
        <f>+'at Pit'!C206+'at GB'!C206+'at Min'!C206+'vs Bal'!C206+'vs Det'!C206+'at Cle'!C206+'vs LA'!C206+'at Det'!C206+'vs NY'!C206+'vs StL'!C206+'vs GB'!C206+'at SF'!C206+'vs Min'!C206+'at Atl'!C206+'Gm 15'!C206+'Gm 16'!C206</f>
        <v>1</v>
      </c>
      <c r="D206">
        <f>+'at Pit'!D206+'at GB'!D206+'at Min'!D206+'vs Bal'!D206+'vs Det'!D206+'at Cle'!D206+'vs LA'!D206+'at Det'!D206+'vs NY'!D206+'vs StL'!D206+'vs GB'!D206+'at SF'!D206+'vs Min'!D206+'at Atl'!D206+'Gm 15'!D206+'Gm 16'!D206</f>
        <v>0</v>
      </c>
      <c r="E206">
        <f>MAX('at Pit'!E206,'at GB'!E206,'at Min'!E206,'vs Bal'!E206,'vs Det'!E206,'at Cle'!E206,'vs LA'!E206,'at Det'!E206,'vs NY'!E206,'vs StL'!E206,'vs GB'!E206,'at SF'!E206,'vs Min'!E206,'at Atl'!E206,'Gm 15'!E206,'Gm 16'!E206)</f>
        <v>0</v>
      </c>
      <c r="F206">
        <f>+'at Pit'!F206+'at GB'!F206+'at Min'!F206+'vs Bal'!F206+'vs Det'!F206+'at Cle'!F206+'vs LA'!F206+'at Det'!F206+'vs NY'!F206+'vs StL'!F206+'vs GB'!F206+'at SF'!F206+'vs Min'!F206+'at Atl'!F206+'Gm 15'!F206+'Gm 16'!F206</f>
        <v>0</v>
      </c>
      <c r="G206">
        <f>+'at Pit'!G206+'at GB'!G206+'at Min'!G206+'vs Bal'!G206+'vs Det'!G206+'at Cle'!G206+'vs LA'!G206+'at Det'!G206+'vs NY'!G206+'vs StL'!G206+'vs GB'!G206+'at SF'!G206+'vs Min'!G206+'at Atl'!G206+'Gm 15'!G206+'Gm 16'!G206</f>
        <v>0</v>
      </c>
    </row>
    <row r="207" spans="1:7" ht="12">
      <c r="A207" t="s">
        <v>156</v>
      </c>
      <c r="B207" t="s">
        <v>181</v>
      </c>
      <c r="C207">
        <f>+'at Pit'!C207+'at GB'!C207+'at Min'!C207+'vs Bal'!C207+'vs Det'!C207+'at Cle'!C207+'vs LA'!C207+'at Det'!C207+'vs NY'!C207+'vs StL'!C207+'vs GB'!C207+'at SF'!C207+'vs Min'!C207+'at Atl'!C207+'Gm 15'!C207+'Gm 16'!C207</f>
        <v>3</v>
      </c>
      <c r="D207">
        <f>+'at Pit'!D207+'at GB'!D207+'at Min'!D207+'vs Bal'!D207+'vs Det'!D207+'at Cle'!D207+'vs LA'!D207+'at Det'!D207+'vs NY'!D207+'vs StL'!D207+'vs GB'!D207+'at SF'!D207+'vs Min'!D207+'at Atl'!D207+'Gm 15'!D207+'Gm 16'!D207</f>
        <v>0</v>
      </c>
      <c r="E207">
        <f>MAX('at Pit'!E207,'at GB'!E207,'at Min'!E207,'vs Bal'!E207,'vs Det'!E207,'at Cle'!E207,'vs LA'!E207,'at Det'!E207,'vs NY'!E207,'vs StL'!E207,'vs GB'!E207,'at SF'!E207,'vs Min'!E207,'at Atl'!E207,'Gm 15'!E207,'Gm 16'!E207)</f>
        <v>0</v>
      </c>
      <c r="F207">
        <f>+'at Pit'!F207+'at GB'!F207+'at Min'!F207+'vs Bal'!F207+'vs Det'!F207+'at Cle'!F207+'vs LA'!F207+'at Det'!F207+'vs NY'!F207+'vs StL'!F207+'vs GB'!F207+'at SF'!F207+'vs Min'!F207+'at Atl'!F207+'Gm 15'!F207+'Gm 16'!F207</f>
        <v>0</v>
      </c>
      <c r="G207">
        <f>+'at Pit'!G207+'at GB'!G207+'at Min'!G207+'vs Bal'!G207+'vs Det'!G207+'at Cle'!G207+'vs LA'!G207+'at Det'!G207+'vs NY'!G207+'vs StL'!G207+'vs GB'!G207+'at SF'!G207+'vs Min'!G207+'at Atl'!G207+'Gm 15'!G207+'Gm 16'!G207</f>
        <v>0</v>
      </c>
    </row>
    <row r="208" spans="1:7" ht="12">
      <c r="A208" t="s">
        <v>149</v>
      </c>
      <c r="B208" t="s">
        <v>181</v>
      </c>
      <c r="C208">
        <f>+'at Pit'!C208+'at GB'!C208+'at Min'!C208+'vs Bal'!C208+'vs Det'!C208+'at Cle'!C208+'vs LA'!C208+'at Det'!C208+'vs NY'!C208+'vs StL'!C208+'vs GB'!C208+'at SF'!C208+'vs Min'!C208+'at Atl'!C208+'Gm 15'!C208+'Gm 16'!C208</f>
        <v>0</v>
      </c>
      <c r="D208">
        <f>+'at Pit'!D208+'at GB'!D208+'at Min'!D208+'vs Bal'!D208+'vs Det'!D208+'at Cle'!D208+'vs LA'!D208+'at Det'!D208+'vs NY'!D208+'vs StL'!D208+'vs GB'!D208+'at SF'!D208+'vs Min'!D208+'at Atl'!D208+'Gm 15'!D208+'Gm 16'!D208</f>
        <v>0</v>
      </c>
      <c r="E208">
        <f>MAX('at Pit'!E208,'at GB'!E208,'at Min'!E208,'vs Bal'!E208,'vs Det'!E208,'at Cle'!E208,'vs LA'!E208,'at Det'!E208,'vs NY'!E208,'vs StL'!E208,'vs GB'!E208,'at SF'!E208,'vs Min'!E208,'at Atl'!E208,'Gm 15'!E208,'Gm 16'!E208)</f>
        <v>0</v>
      </c>
      <c r="F208">
        <f>+'at Pit'!F208+'at GB'!F208+'at Min'!F208+'vs Bal'!F208+'vs Det'!F208+'at Cle'!F208+'vs LA'!F208+'at Det'!F208+'vs NY'!F208+'vs StL'!F208+'vs GB'!F208+'at SF'!F208+'vs Min'!F208+'at Atl'!F208+'Gm 15'!F208+'Gm 16'!F208</f>
        <v>0</v>
      </c>
      <c r="G208">
        <f>+'at Pit'!G208+'at GB'!G208+'at Min'!G208+'vs Bal'!G208+'vs Det'!G208+'at Cle'!G208+'vs LA'!G208+'at Det'!G208+'vs NY'!G208+'vs StL'!G208+'vs GB'!G208+'at SF'!G208+'vs Min'!G208+'at Atl'!G208+'Gm 15'!G208+'Gm 16'!G208</f>
        <v>0</v>
      </c>
    </row>
    <row r="209" spans="1:7" ht="12">
      <c r="A209" t="s">
        <v>157</v>
      </c>
      <c r="B209" t="s">
        <v>181</v>
      </c>
      <c r="C209">
        <f>+'at Pit'!C209+'at GB'!C209+'at Min'!C209+'vs Bal'!C209+'vs Det'!C209+'at Cle'!C209+'vs LA'!C209+'at Det'!C209+'vs NY'!C209+'vs StL'!C209+'vs GB'!C209+'at SF'!C209+'vs Min'!C209+'at Atl'!C209+'Gm 15'!C209+'Gm 16'!C209</f>
        <v>2</v>
      </c>
      <c r="D209">
        <f>+'at Pit'!D209+'at GB'!D209+'at Min'!D209+'vs Bal'!D209+'vs Det'!D209+'at Cle'!D209+'vs LA'!D209+'at Det'!D209+'vs NY'!D209+'vs StL'!D209+'vs GB'!D209+'at SF'!D209+'vs Min'!D209+'at Atl'!D209+'Gm 15'!D209+'Gm 16'!D209</f>
        <v>0</v>
      </c>
      <c r="E209">
        <f>MAX('at Pit'!E209,'at GB'!E209,'at Min'!E209,'vs Bal'!E209,'vs Det'!E209,'at Cle'!E209,'vs LA'!E209,'at Det'!E209,'vs NY'!E209,'vs StL'!E209,'vs GB'!E209,'at SF'!E209,'vs Min'!E209,'at Atl'!E209,'Gm 15'!E209,'Gm 16'!E209)</f>
        <v>0</v>
      </c>
      <c r="F209">
        <f>+'at Pit'!F209+'at GB'!F209+'at Min'!F209+'vs Bal'!F209+'vs Det'!F209+'at Cle'!F209+'vs LA'!F209+'at Det'!F209+'vs NY'!F209+'vs StL'!F209+'vs GB'!F209+'at SF'!F209+'vs Min'!F209+'at Atl'!F209+'Gm 15'!F209+'Gm 16'!F209</f>
        <v>0</v>
      </c>
      <c r="G209">
        <f>+'at Pit'!G209+'at GB'!G209+'at Min'!G209+'vs Bal'!G209+'vs Det'!G209+'at Cle'!G209+'vs LA'!G209+'at Det'!G209+'vs NY'!G209+'vs StL'!G209+'vs GB'!G209+'at SF'!G209+'vs Min'!G209+'at Atl'!G209+'Gm 15'!G209+'Gm 16'!G209</f>
        <v>0</v>
      </c>
    </row>
    <row r="210" spans="1:7" ht="12">
      <c r="A210" t="s">
        <v>133</v>
      </c>
      <c r="B210" t="s">
        <v>181</v>
      </c>
      <c r="C210">
        <f>+'at Pit'!C210+'at GB'!C210+'at Min'!C210+'vs Bal'!C210+'vs Det'!C210+'at Cle'!C210+'vs LA'!C210+'at Det'!C210+'vs NY'!C210+'vs StL'!C210+'vs GB'!C210+'at SF'!C210+'vs Min'!C210+'at Atl'!C210+'Gm 15'!C210+'Gm 16'!C210</f>
        <v>0</v>
      </c>
      <c r="D210">
        <f>+'at Pit'!D210+'at GB'!D210+'at Min'!D210+'vs Bal'!D210+'vs Det'!D210+'at Cle'!D210+'vs LA'!D210+'at Det'!D210+'vs NY'!D210+'vs StL'!D210+'vs GB'!D210+'at SF'!D210+'vs Min'!D210+'at Atl'!D210+'Gm 15'!D210+'Gm 16'!D210</f>
        <v>0</v>
      </c>
      <c r="E210">
        <f>MAX('at Pit'!E210,'at GB'!E210,'at Min'!E210,'vs Bal'!E210,'vs Det'!E210,'at Cle'!E210,'vs LA'!E210,'at Det'!E210,'vs NY'!E210,'vs StL'!E210,'vs GB'!E210,'at SF'!E210,'vs Min'!E210,'at Atl'!E210,'Gm 15'!E210,'Gm 16'!E210)</f>
        <v>0</v>
      </c>
      <c r="F210">
        <f>+'at Pit'!F210+'at GB'!F210+'at Min'!F210+'vs Bal'!F210+'vs Det'!F210+'at Cle'!F210+'vs LA'!F210+'at Det'!F210+'vs NY'!F210+'vs StL'!F210+'vs GB'!F210+'at SF'!F210+'vs Min'!F210+'at Atl'!F210+'Gm 15'!F210+'Gm 16'!F210</f>
        <v>0</v>
      </c>
      <c r="G210">
        <f>+'at Pit'!G210+'at GB'!G210+'at Min'!G210+'vs Bal'!G210+'vs Det'!G210+'at Cle'!G210+'vs LA'!G210+'at Det'!G210+'vs NY'!G210+'vs StL'!G210+'vs GB'!G210+'at SF'!G210+'vs Min'!G210+'at Atl'!G210+'Gm 15'!G210+'Gm 16'!G210</f>
        <v>0</v>
      </c>
    </row>
    <row r="211" spans="1:7" ht="12">
      <c r="A211" t="s">
        <v>134</v>
      </c>
      <c r="B211" t="s">
        <v>181</v>
      </c>
      <c r="C211">
        <f>+'at Pit'!C211+'at GB'!C211+'at Min'!C211+'vs Bal'!C211+'vs Det'!C211+'at Cle'!C211+'vs LA'!C211+'at Det'!C211+'vs NY'!C211+'vs StL'!C211+'vs GB'!C211+'at SF'!C211+'vs Min'!C211+'at Atl'!C211+'Gm 15'!C211+'Gm 16'!C211</f>
        <v>0</v>
      </c>
      <c r="D211">
        <f>+'at Pit'!D211+'at GB'!D211+'at Min'!D211+'vs Bal'!D211+'vs Det'!D211+'at Cle'!D211+'vs LA'!D211+'at Det'!D211+'vs NY'!D211+'vs StL'!D211+'vs GB'!D211+'at SF'!D211+'vs Min'!D211+'at Atl'!D211+'Gm 15'!D211+'Gm 16'!D211</f>
        <v>0</v>
      </c>
      <c r="E211">
        <f>MAX('at Pit'!E211,'at GB'!E211,'at Min'!E211,'vs Bal'!E211,'vs Det'!E211,'at Cle'!E211,'vs LA'!E211,'at Det'!E211,'vs NY'!E211,'vs StL'!E211,'vs GB'!E211,'at SF'!E211,'vs Min'!E211,'at Atl'!E211,'Gm 15'!E211,'Gm 16'!E211)</f>
        <v>0</v>
      </c>
      <c r="F211">
        <f>+'at Pit'!F211+'at GB'!F211+'at Min'!F211+'vs Bal'!F211+'vs Det'!F211+'at Cle'!F211+'vs LA'!F211+'at Det'!F211+'vs NY'!F211+'vs StL'!F211+'vs GB'!F211+'at SF'!F211+'vs Min'!F211+'at Atl'!F211+'Gm 15'!F211+'Gm 16'!F211</f>
        <v>0</v>
      </c>
      <c r="G211">
        <f>+'at Pit'!G211+'at GB'!G211+'at Min'!G211+'vs Bal'!G211+'vs Det'!G211+'at Cle'!G211+'vs LA'!G211+'at Det'!G211+'vs NY'!G211+'vs StL'!G211+'vs GB'!G211+'at SF'!G211+'vs Min'!G211+'at Atl'!G211+'Gm 15'!G211+'Gm 16'!G211</f>
        <v>0</v>
      </c>
    </row>
    <row r="212" spans="1:7" ht="12">
      <c r="A212" t="s">
        <v>158</v>
      </c>
      <c r="B212" t="s">
        <v>181</v>
      </c>
      <c r="C212">
        <f>+'at Pit'!C212+'at GB'!C212+'at Min'!C212+'vs Bal'!C212+'vs Det'!C212+'at Cle'!C212+'vs LA'!C212+'at Det'!C212+'vs NY'!C212+'vs StL'!C212+'vs GB'!C212+'at SF'!C212+'vs Min'!C212+'at Atl'!C212+'Gm 15'!C212+'Gm 16'!C212</f>
        <v>0</v>
      </c>
      <c r="D212">
        <f>+'at Pit'!D212+'at GB'!D212+'at Min'!D212+'vs Bal'!D212+'vs Det'!D212+'at Cle'!D212+'vs LA'!D212+'at Det'!D212+'vs NY'!D212+'vs StL'!D212+'vs GB'!D212+'at SF'!D212+'vs Min'!D212+'at Atl'!D212+'Gm 15'!D212+'Gm 16'!D212</f>
        <v>0</v>
      </c>
      <c r="E212">
        <f>MAX('at Pit'!E212,'at GB'!E212,'at Min'!E212,'vs Bal'!E212,'vs Det'!E212,'at Cle'!E212,'vs LA'!E212,'at Det'!E212,'vs NY'!E212,'vs StL'!E212,'vs GB'!E212,'at SF'!E212,'vs Min'!E212,'at Atl'!E212,'Gm 15'!E212,'Gm 16'!E212)</f>
        <v>0</v>
      </c>
      <c r="F212">
        <f>+'at Pit'!F212+'at GB'!F212+'at Min'!F212+'vs Bal'!F212+'vs Det'!F212+'at Cle'!F212+'vs LA'!F212+'at Det'!F212+'vs NY'!F212+'vs StL'!F212+'vs GB'!F212+'at SF'!F212+'vs Min'!F212+'at Atl'!F212+'Gm 15'!F212+'Gm 16'!F212</f>
        <v>0</v>
      </c>
      <c r="G212">
        <f>+'at Pit'!G212+'at GB'!G212+'at Min'!G212+'vs Bal'!G212+'vs Det'!G212+'at Cle'!G212+'vs LA'!G212+'at Det'!G212+'vs NY'!G212+'vs StL'!G212+'vs GB'!G212+'at SF'!G212+'vs Min'!G212+'at Atl'!G212+'Gm 15'!G212+'Gm 16'!G212</f>
        <v>0</v>
      </c>
    </row>
    <row r="213" spans="1:7" ht="12">
      <c r="A213" t="s">
        <v>168</v>
      </c>
      <c r="B213" t="s">
        <v>181</v>
      </c>
      <c r="C213">
        <f>+'at Pit'!C213+'at GB'!C213+'at Min'!C213+'vs Bal'!C213+'vs Det'!C213+'at Cle'!C213+'vs LA'!C213+'at Det'!C213+'vs NY'!C213+'vs StL'!C213+'vs GB'!C213+'at SF'!C213+'vs Min'!C213+'at Atl'!C213+'Gm 15'!C213+'Gm 16'!C213</f>
        <v>0</v>
      </c>
      <c r="D213">
        <f>+'at Pit'!D213+'at GB'!D213+'at Min'!D213+'vs Bal'!D213+'vs Det'!D213+'at Cle'!D213+'vs LA'!D213+'at Det'!D213+'vs NY'!D213+'vs StL'!D213+'vs GB'!D213+'at SF'!D213+'vs Min'!D213+'at Atl'!D213+'Gm 15'!D213+'Gm 16'!D213</f>
        <v>0</v>
      </c>
      <c r="E213">
        <f>MAX('at Pit'!E213,'at GB'!E213,'at Min'!E213,'vs Bal'!E213,'vs Det'!E213,'at Cle'!E213,'vs LA'!E213,'at Det'!E213,'vs NY'!E213,'vs StL'!E213,'vs GB'!E213,'at SF'!E213,'vs Min'!E213,'at Atl'!E213,'Gm 15'!E213,'Gm 16'!E213)</f>
        <v>0</v>
      </c>
      <c r="F213">
        <f>+'at Pit'!F213+'at GB'!F213+'at Min'!F213+'vs Bal'!F213+'vs Det'!F213+'at Cle'!F213+'vs LA'!F213+'at Det'!F213+'vs NY'!F213+'vs StL'!F213+'vs GB'!F213+'at SF'!F213+'vs Min'!F213+'at Atl'!F213+'Gm 15'!F213+'Gm 16'!F213</f>
        <v>0</v>
      </c>
      <c r="G213">
        <f>+'at Pit'!G213+'at GB'!G213+'at Min'!G213+'vs Bal'!G213+'vs Det'!G213+'at Cle'!G213+'vs LA'!G213+'at Det'!G213+'vs NY'!G213+'vs StL'!G213+'vs GB'!G213+'at SF'!G213+'vs Min'!G213+'at Atl'!G213+'Gm 15'!G213+'Gm 16'!G213</f>
        <v>0</v>
      </c>
    </row>
    <row r="214" spans="1:7" ht="12">
      <c r="A214" t="s">
        <v>135</v>
      </c>
      <c r="B214" t="s">
        <v>181</v>
      </c>
      <c r="C214">
        <f>+'at Pit'!C214+'at GB'!C214+'at Min'!C214+'vs Bal'!C214+'vs Det'!C214+'at Cle'!C214+'vs LA'!C214+'at Det'!C214+'vs NY'!C214+'vs StL'!C214+'vs GB'!C214+'at SF'!C214+'vs Min'!C214+'at Atl'!C214+'Gm 15'!C214+'Gm 16'!C214</f>
        <v>0</v>
      </c>
      <c r="D214">
        <f>+'at Pit'!D214+'at GB'!D214+'at Min'!D214+'vs Bal'!D214+'vs Det'!D214+'at Cle'!D214+'vs LA'!D214+'at Det'!D214+'vs NY'!D214+'vs StL'!D214+'vs GB'!D214+'at SF'!D214+'vs Min'!D214+'at Atl'!D214+'Gm 15'!D214+'Gm 16'!D214</f>
        <v>0</v>
      </c>
      <c r="E214">
        <f>MAX('at Pit'!E214,'at GB'!E214,'at Min'!E214,'vs Bal'!E214,'vs Det'!E214,'at Cle'!E214,'vs LA'!E214,'at Det'!E214,'vs NY'!E214,'vs StL'!E214,'vs GB'!E214,'at SF'!E214,'vs Min'!E214,'at Atl'!E214,'Gm 15'!E214,'Gm 16'!E214)</f>
        <v>0</v>
      </c>
      <c r="F214">
        <f>+'at Pit'!F214+'at GB'!F214+'at Min'!F214+'vs Bal'!F214+'vs Det'!F214+'at Cle'!F214+'vs LA'!F214+'at Det'!F214+'vs NY'!F214+'vs StL'!F214+'vs GB'!F214+'at SF'!F214+'vs Min'!F214+'at Atl'!F214+'Gm 15'!F214+'Gm 16'!F214</f>
        <v>0</v>
      </c>
      <c r="G214">
        <f>+'at Pit'!G214+'at GB'!G214+'at Min'!G214+'vs Bal'!G214+'vs Det'!G214+'at Cle'!G214+'vs LA'!G214+'at Det'!G214+'vs NY'!G214+'vs StL'!G214+'vs GB'!G214+'at SF'!G214+'vs Min'!G214+'at Atl'!G214+'Gm 15'!G214+'Gm 16'!G214</f>
        <v>0</v>
      </c>
    </row>
    <row r="215" spans="1:7" ht="12">
      <c r="A215" t="s">
        <v>159</v>
      </c>
      <c r="B215" t="s">
        <v>181</v>
      </c>
      <c r="C215">
        <f>+'at Pit'!C215+'at GB'!C215+'at Min'!C215+'vs Bal'!C215+'vs Det'!C215+'at Cle'!C215+'vs LA'!C215+'at Det'!C215+'vs NY'!C215+'vs StL'!C215+'vs GB'!C215+'at SF'!C215+'vs Min'!C215+'at Atl'!C215+'Gm 15'!C215+'Gm 16'!C215</f>
        <v>3</v>
      </c>
      <c r="D215">
        <f>+'at Pit'!D215+'at GB'!D215+'at Min'!D215+'vs Bal'!D215+'vs Det'!D215+'at Cle'!D215+'vs LA'!D215+'at Det'!D215+'vs NY'!D215+'vs StL'!D215+'vs GB'!D215+'at SF'!D215+'vs Min'!D215+'at Atl'!D215+'Gm 15'!D215+'Gm 16'!D215</f>
        <v>0</v>
      </c>
      <c r="E215">
        <f>MAX('at Pit'!E215,'at GB'!E215,'at Min'!E215,'vs Bal'!E215,'vs Det'!E215,'at Cle'!E215,'vs LA'!E215,'at Det'!E215,'vs NY'!E215,'vs StL'!E215,'vs GB'!E215,'at SF'!E215,'vs Min'!E215,'at Atl'!E215,'Gm 15'!E215,'Gm 16'!E215)</f>
        <v>0</v>
      </c>
      <c r="F215">
        <f>+'at Pit'!F215+'at GB'!F215+'at Min'!F215+'vs Bal'!F215+'vs Det'!F215+'at Cle'!F215+'vs LA'!F215+'at Det'!F215+'vs NY'!F215+'vs StL'!F215+'vs GB'!F215+'at SF'!F215+'vs Min'!F215+'at Atl'!F215+'Gm 15'!F215+'Gm 16'!F215</f>
        <v>0</v>
      </c>
      <c r="G215">
        <f>+'at Pit'!G215+'at GB'!G215+'at Min'!G215+'vs Bal'!G215+'vs Det'!G215+'at Cle'!G215+'vs LA'!G215+'at Det'!G215+'vs NY'!G215+'vs StL'!G215+'vs GB'!G215+'at SF'!G215+'vs Min'!G215+'at Atl'!G215+'Gm 15'!G215+'Gm 16'!G215</f>
        <v>0</v>
      </c>
    </row>
    <row r="216" spans="1:7" ht="12">
      <c r="A216" t="s">
        <v>169</v>
      </c>
      <c r="B216" t="s">
        <v>181</v>
      </c>
      <c r="C216">
        <f>+'at Pit'!C216+'at GB'!C216+'at Min'!C216+'vs Bal'!C216+'vs Det'!C216+'at Cle'!C216+'vs LA'!C216+'at Det'!C216+'vs NY'!C216+'vs StL'!C216+'vs GB'!C216+'at SF'!C216+'vs Min'!C216+'at Atl'!C216+'Gm 15'!C216+'Gm 16'!C216</f>
        <v>0</v>
      </c>
      <c r="D216">
        <f>+'at Pit'!D216+'at GB'!D216+'at Min'!D216+'vs Bal'!D216+'vs Det'!D216+'at Cle'!D216+'vs LA'!D216+'at Det'!D216+'vs NY'!D216+'vs StL'!D216+'vs GB'!D216+'at SF'!D216+'vs Min'!D216+'at Atl'!D216+'Gm 15'!D216+'Gm 16'!D216</f>
        <v>0</v>
      </c>
      <c r="E216">
        <f>MAX('at Pit'!E216,'at GB'!E216,'at Min'!E216,'vs Bal'!E216,'vs Det'!E216,'at Cle'!E216,'vs LA'!E216,'at Det'!E216,'vs NY'!E216,'vs StL'!E216,'vs GB'!E216,'at SF'!E216,'vs Min'!E216,'at Atl'!E216,'Gm 15'!E216,'Gm 16'!E216)</f>
        <v>0</v>
      </c>
      <c r="F216">
        <f>+'at Pit'!F216+'at GB'!F216+'at Min'!F216+'vs Bal'!F216+'vs Det'!F216+'at Cle'!F216+'vs LA'!F216+'at Det'!F216+'vs NY'!F216+'vs StL'!F216+'vs GB'!F216+'at SF'!F216+'vs Min'!F216+'at Atl'!F216+'Gm 15'!F216+'Gm 16'!F216</f>
        <v>0</v>
      </c>
      <c r="G216">
        <f>+'at Pit'!G216+'at GB'!G216+'at Min'!G216+'vs Bal'!G216+'vs Det'!G216+'at Cle'!G216+'vs LA'!G216+'at Det'!G216+'vs NY'!G216+'vs StL'!G216+'vs GB'!G216+'at SF'!G216+'vs Min'!G216+'at Atl'!G216+'Gm 15'!G216+'Gm 16'!G216</f>
        <v>0</v>
      </c>
    </row>
    <row r="217" spans="1:7" ht="12">
      <c r="A217" t="s">
        <v>144</v>
      </c>
      <c r="B217" t="s">
        <v>181</v>
      </c>
      <c r="C217">
        <f>+'at Pit'!C217+'at GB'!C217+'at Min'!C217+'vs Bal'!C217+'vs Det'!C217+'at Cle'!C217+'vs LA'!C217+'at Det'!C217+'vs NY'!C217+'vs StL'!C217+'vs GB'!C217+'at SF'!C217+'vs Min'!C217+'at Atl'!C217+'Gm 15'!C217+'Gm 16'!C217</f>
        <v>2</v>
      </c>
      <c r="D217">
        <f>+'at Pit'!D217+'at GB'!D217+'at Min'!D217+'vs Bal'!D217+'vs Det'!D217+'at Cle'!D217+'vs LA'!D217+'at Det'!D217+'vs NY'!D217+'vs StL'!D217+'vs GB'!D217+'at SF'!D217+'vs Min'!D217+'at Atl'!D217+'Gm 15'!D217+'Gm 16'!D217</f>
        <v>0</v>
      </c>
      <c r="E217">
        <f>MAX('at Pit'!E217,'at GB'!E217,'at Min'!E217,'vs Bal'!E217,'vs Det'!E217,'at Cle'!E217,'vs LA'!E217,'at Det'!E217,'vs NY'!E217,'vs StL'!E217,'vs GB'!E217,'at SF'!E217,'vs Min'!E217,'at Atl'!E217,'Gm 15'!E217,'Gm 16'!E217)</f>
        <v>0</v>
      </c>
      <c r="F217">
        <f>+'at Pit'!F217+'at GB'!F217+'at Min'!F217+'vs Bal'!F217+'vs Det'!F217+'at Cle'!F217+'vs LA'!F217+'at Det'!F217+'vs NY'!F217+'vs StL'!F217+'vs GB'!F217+'at SF'!F217+'vs Min'!F217+'at Atl'!F217+'Gm 15'!F217+'Gm 16'!F217</f>
        <v>0</v>
      </c>
      <c r="G217">
        <f>+'at Pit'!G217+'at GB'!G217+'at Min'!G217+'vs Bal'!G217+'vs Det'!G217+'at Cle'!G217+'vs LA'!G217+'at Det'!G217+'vs NY'!G217+'vs StL'!G217+'vs GB'!G217+'at SF'!G217+'vs Min'!G217+'at Atl'!G217+'Gm 15'!G217+'Gm 16'!G217</f>
        <v>0</v>
      </c>
    </row>
    <row r="218" spans="1:7" ht="12">
      <c r="A218" t="s">
        <v>148</v>
      </c>
      <c r="B218" t="s">
        <v>181</v>
      </c>
      <c r="C218">
        <f>+'at Pit'!C218+'at GB'!C218+'at Min'!C218+'vs Bal'!C218+'vs Det'!C218+'at Cle'!C218+'vs LA'!C218+'at Det'!C218+'vs NY'!C218+'vs StL'!C218+'vs GB'!C218+'at SF'!C218+'vs Min'!C218+'at Atl'!C218+'Gm 15'!C218+'Gm 16'!C218</f>
        <v>0</v>
      </c>
      <c r="D218">
        <f>+'at Pit'!D218+'at GB'!D218+'at Min'!D218+'vs Bal'!D218+'vs Det'!D218+'at Cle'!D218+'vs LA'!D218+'at Det'!D218+'vs NY'!D218+'vs StL'!D218+'vs GB'!D218+'at SF'!D218+'vs Min'!D218+'at Atl'!D218+'Gm 15'!D218+'Gm 16'!D218</f>
        <v>0</v>
      </c>
      <c r="E218">
        <f>MAX('at Pit'!E218,'at GB'!E218,'at Min'!E218,'vs Bal'!E218,'vs Det'!E218,'at Cle'!E218,'vs LA'!E218,'at Det'!E218,'vs NY'!E218,'vs StL'!E218,'vs GB'!E218,'at SF'!E218,'vs Min'!E218,'at Atl'!E218,'Gm 15'!E218,'Gm 16'!E218)</f>
        <v>0</v>
      </c>
      <c r="F218">
        <f>+'at Pit'!F218+'at GB'!F218+'at Min'!F218+'vs Bal'!F218+'vs Det'!F218+'at Cle'!F218+'vs LA'!F218+'at Det'!F218+'vs NY'!F218+'vs StL'!F218+'vs GB'!F218+'at SF'!F218+'vs Min'!F218+'at Atl'!F218+'Gm 15'!F218+'Gm 16'!F218</f>
        <v>0</v>
      </c>
      <c r="G218">
        <f>+'at Pit'!G218+'at GB'!G218+'at Min'!G218+'vs Bal'!G218+'vs Det'!G218+'at Cle'!G218+'vs LA'!G218+'at Det'!G218+'vs NY'!G218+'vs StL'!G218+'vs GB'!G218+'at SF'!G218+'vs Min'!G218+'at Atl'!G218+'Gm 15'!G218+'Gm 16'!G218</f>
        <v>0</v>
      </c>
    </row>
    <row r="219" spans="1:7" ht="12">
      <c r="A219" t="s">
        <v>163</v>
      </c>
      <c r="B219" t="s">
        <v>181</v>
      </c>
      <c r="C219">
        <f>+'at Pit'!C219+'at GB'!C219+'at Min'!C219+'vs Bal'!C219+'vs Det'!C219+'at Cle'!C219+'vs LA'!C219+'at Det'!C219+'vs NY'!C219+'vs StL'!C219+'vs GB'!C219+'at SF'!C219+'vs Min'!C219+'at Atl'!C219+'Gm 15'!C219+'Gm 16'!C219</f>
        <v>1</v>
      </c>
      <c r="D219">
        <f>+'at Pit'!D219+'at GB'!D219+'at Min'!D219+'vs Bal'!D219+'vs Det'!D219+'at Cle'!D219+'vs LA'!D219+'at Det'!D219+'vs NY'!D219+'vs StL'!D219+'vs GB'!D219+'at SF'!D219+'vs Min'!D219+'at Atl'!D219+'Gm 15'!D219+'Gm 16'!D219</f>
        <v>0</v>
      </c>
      <c r="E219">
        <f>MAX('at Pit'!E219,'at GB'!E219,'at Min'!E219,'vs Bal'!E219,'vs Det'!E219,'at Cle'!E219,'vs LA'!E219,'at Det'!E219,'vs NY'!E219,'vs StL'!E219,'vs GB'!E219,'at SF'!E219,'vs Min'!E219,'at Atl'!E219,'Gm 15'!E219,'Gm 16'!E219)</f>
        <v>0</v>
      </c>
      <c r="F219">
        <f>+'at Pit'!F219+'at GB'!F219+'at Min'!F219+'vs Bal'!F219+'vs Det'!F219+'at Cle'!F219+'vs LA'!F219+'at Det'!F219+'vs NY'!F219+'vs StL'!F219+'vs GB'!F219+'at SF'!F219+'vs Min'!F219+'at Atl'!F219+'Gm 15'!F219+'Gm 16'!F219</f>
        <v>0</v>
      </c>
      <c r="G219">
        <f>+'at Pit'!G219+'at GB'!G219+'at Min'!G219+'vs Bal'!G219+'vs Det'!G219+'at Cle'!G219+'vs LA'!G219+'at Det'!G219+'vs NY'!G219+'vs StL'!G219+'vs GB'!G219+'at SF'!G219+'vs Min'!G219+'at Atl'!G219+'Gm 15'!G219+'Gm 16'!G219</f>
        <v>0</v>
      </c>
    </row>
    <row r="220" spans="1:7" ht="12">
      <c r="A220" t="s">
        <v>160</v>
      </c>
      <c r="B220" t="s">
        <v>181</v>
      </c>
      <c r="C220">
        <f>+'at Pit'!C220+'at GB'!C220+'at Min'!C220+'vs Bal'!C220+'vs Det'!C220+'at Cle'!C220+'vs LA'!C220+'at Det'!C220+'vs NY'!C220+'vs StL'!C220+'vs GB'!C220+'at SF'!C220+'vs Min'!C220+'at Atl'!C220+'Gm 15'!C220+'Gm 16'!C220</f>
        <v>1</v>
      </c>
      <c r="D220">
        <f>+'at Pit'!D220+'at GB'!D220+'at Min'!D220+'vs Bal'!D220+'vs Det'!D220+'at Cle'!D220+'vs LA'!D220+'at Det'!D220+'vs NY'!D220+'vs StL'!D220+'vs GB'!D220+'at SF'!D220+'vs Min'!D220+'at Atl'!D220+'Gm 15'!D220+'Gm 16'!D220</f>
        <v>0</v>
      </c>
      <c r="E220">
        <f>MAX('at Pit'!E220,'at GB'!E220,'at Min'!E220,'vs Bal'!E220,'vs Det'!E220,'at Cle'!E220,'vs LA'!E220,'at Det'!E220,'vs NY'!E220,'vs StL'!E220,'vs GB'!E220,'at SF'!E220,'vs Min'!E220,'at Atl'!E220,'Gm 15'!E220,'Gm 16'!E220)</f>
        <v>0</v>
      </c>
      <c r="F220">
        <f>+'at Pit'!F220+'at GB'!F220+'at Min'!F220+'vs Bal'!F220+'vs Det'!F220+'at Cle'!F220+'vs LA'!F220+'at Det'!F220+'vs NY'!F220+'vs StL'!F220+'vs GB'!F220+'at SF'!F220+'vs Min'!F220+'at Atl'!F220+'Gm 15'!F220+'Gm 16'!F220</f>
        <v>0</v>
      </c>
      <c r="G220">
        <f>+'at Pit'!G220+'at GB'!G220+'at Min'!G220+'vs Bal'!G220+'vs Det'!G220+'at Cle'!G220+'vs LA'!G220+'at Det'!G220+'vs NY'!G220+'vs StL'!G220+'vs GB'!G220+'at SF'!G220+'vs Min'!G220+'at Atl'!G220+'Gm 15'!G220+'Gm 16'!G220</f>
        <v>0</v>
      </c>
    </row>
    <row r="221" spans="1:7" ht="12">
      <c r="A221" t="s">
        <v>136</v>
      </c>
      <c r="B221" t="s">
        <v>181</v>
      </c>
      <c r="C221">
        <f>+'at Pit'!C221+'at GB'!C221+'at Min'!C221+'vs Bal'!C221+'vs Det'!C221+'at Cle'!C221+'vs LA'!C221+'at Det'!C221+'vs NY'!C221+'vs StL'!C221+'vs GB'!C221+'at SF'!C221+'vs Min'!C221+'at Atl'!C221+'Gm 15'!C221+'Gm 16'!C221</f>
        <v>0</v>
      </c>
      <c r="D221">
        <f>+'at Pit'!D221+'at GB'!D221+'at Min'!D221+'vs Bal'!D221+'vs Det'!D221+'at Cle'!D221+'vs LA'!D221+'at Det'!D221+'vs NY'!D221+'vs StL'!D221+'vs GB'!D221+'at SF'!D221+'vs Min'!D221+'at Atl'!D221+'Gm 15'!D221+'Gm 16'!D221</f>
        <v>0</v>
      </c>
      <c r="E221">
        <f>MAX('at Pit'!E221,'at GB'!E221,'at Min'!E221,'vs Bal'!E221,'vs Det'!E221,'at Cle'!E221,'vs LA'!E221,'at Det'!E221,'vs NY'!E221,'vs StL'!E221,'vs GB'!E221,'at SF'!E221,'vs Min'!E221,'at Atl'!E221,'Gm 15'!E221,'Gm 16'!E221)</f>
        <v>0</v>
      </c>
      <c r="F221">
        <f>+'at Pit'!F221+'at GB'!F221+'at Min'!F221+'vs Bal'!F221+'vs Det'!F221+'at Cle'!F221+'vs LA'!F221+'at Det'!F221+'vs NY'!F221+'vs StL'!F221+'vs GB'!F221+'at SF'!F221+'vs Min'!F221+'at Atl'!F221+'Gm 15'!F221+'Gm 16'!F221</f>
        <v>0</v>
      </c>
      <c r="G221">
        <f>+'at Pit'!G221+'at GB'!G221+'at Min'!G221+'vs Bal'!G221+'vs Det'!G221+'at Cle'!G221+'vs LA'!G221+'at Det'!G221+'vs NY'!G221+'vs StL'!G221+'vs GB'!G221+'at SF'!G221+'vs Min'!G221+'at Atl'!G221+'Gm 15'!G221+'Gm 16'!G221</f>
        <v>0</v>
      </c>
    </row>
    <row r="222" spans="1:7" ht="12">
      <c r="A222" t="s">
        <v>170</v>
      </c>
      <c r="B222" t="s">
        <v>181</v>
      </c>
      <c r="C222">
        <f>+'at Pit'!C222+'at GB'!C222+'at Min'!C222+'vs Bal'!C222+'vs Det'!C222+'at Cle'!C222+'vs LA'!C222+'at Det'!C222+'vs NY'!C222+'vs StL'!C222+'vs GB'!C222+'at SF'!C222+'vs Min'!C222+'at Atl'!C222+'Gm 15'!C222+'Gm 16'!C222</f>
        <v>0</v>
      </c>
      <c r="D222">
        <f>+'at Pit'!D222+'at GB'!D222+'at Min'!D222+'vs Bal'!D222+'vs Det'!D222+'at Cle'!D222+'vs LA'!D222+'at Det'!D222+'vs NY'!D222+'vs StL'!D222+'vs GB'!D222+'at SF'!D222+'vs Min'!D222+'at Atl'!D222+'Gm 15'!D222+'Gm 16'!D222</f>
        <v>0</v>
      </c>
      <c r="E222">
        <f>MAX('at Pit'!E222,'at GB'!E222,'at Min'!E222,'vs Bal'!E222,'vs Det'!E222,'at Cle'!E222,'vs LA'!E222,'at Det'!E222,'vs NY'!E222,'vs StL'!E222,'vs GB'!E222,'at SF'!E222,'vs Min'!E222,'at Atl'!E222,'Gm 15'!E222,'Gm 16'!E222)</f>
        <v>0</v>
      </c>
      <c r="F222">
        <f>+'at Pit'!F222+'at GB'!F222+'at Min'!F222+'vs Bal'!F222+'vs Det'!F222+'at Cle'!F222+'vs LA'!F222+'at Det'!F222+'vs NY'!F222+'vs StL'!F222+'vs GB'!F222+'at SF'!F222+'vs Min'!F222+'at Atl'!F222+'Gm 15'!F222+'Gm 16'!F222</f>
        <v>0</v>
      </c>
      <c r="G222">
        <f>+'at Pit'!G222+'at GB'!G222+'at Min'!G222+'vs Bal'!G222+'vs Det'!G222+'at Cle'!G222+'vs LA'!G222+'at Det'!G222+'vs NY'!G222+'vs StL'!G222+'vs GB'!G222+'at SF'!G222+'vs Min'!G222+'at Atl'!G222+'Gm 15'!G222+'Gm 16'!G222</f>
        <v>0</v>
      </c>
    </row>
    <row r="223" spans="1:7" ht="12">
      <c r="A223" t="s">
        <v>154</v>
      </c>
      <c r="B223" t="s">
        <v>181</v>
      </c>
      <c r="C223">
        <f>+'at Pit'!C223+'at GB'!C223+'at Min'!C223+'vs Bal'!C223+'vs Det'!C223+'at Cle'!C223+'vs LA'!C223+'at Det'!C223+'vs NY'!C223+'vs StL'!C223+'vs GB'!C223+'at SF'!C223+'vs Min'!C223+'at Atl'!C223+'Gm 15'!C223+'Gm 16'!C223</f>
        <v>0</v>
      </c>
      <c r="D223">
        <f>+'at Pit'!D223+'at GB'!D223+'at Min'!D223+'vs Bal'!D223+'vs Det'!D223+'at Cle'!D223+'vs LA'!D223+'at Det'!D223+'vs NY'!D223+'vs StL'!D223+'vs GB'!D223+'at SF'!D223+'vs Min'!D223+'at Atl'!D223+'Gm 15'!D223+'Gm 16'!D223</f>
        <v>0</v>
      </c>
      <c r="E223">
        <f>MAX('at Pit'!E223,'at GB'!E223,'at Min'!E223,'vs Bal'!E223,'vs Det'!E223,'at Cle'!E223,'vs LA'!E223,'at Det'!E223,'vs NY'!E223,'vs StL'!E223,'vs GB'!E223,'at SF'!E223,'vs Min'!E223,'at Atl'!E223,'Gm 15'!E223,'Gm 16'!E223)</f>
        <v>0</v>
      </c>
      <c r="F223">
        <f>+'at Pit'!F223+'at GB'!F223+'at Min'!F223+'vs Bal'!F223+'vs Det'!F223+'at Cle'!F223+'vs LA'!F223+'at Det'!F223+'vs NY'!F223+'vs StL'!F223+'vs GB'!F223+'at SF'!F223+'vs Min'!F223+'at Atl'!F223+'Gm 15'!F223+'Gm 16'!F223</f>
        <v>0</v>
      </c>
      <c r="G223">
        <f>+'at Pit'!G223+'at GB'!G223+'at Min'!G223+'vs Bal'!G223+'vs Det'!G223+'at Cle'!G223+'vs LA'!G223+'at Det'!G223+'vs NY'!G223+'vs StL'!G223+'vs GB'!G223+'at SF'!G223+'vs Min'!G223+'at Atl'!G223+'Gm 15'!G223+'Gm 16'!G223</f>
        <v>0</v>
      </c>
    </row>
    <row r="224" spans="1:7" ht="12">
      <c r="A224" t="s">
        <v>150</v>
      </c>
      <c r="B224" t="s">
        <v>181</v>
      </c>
      <c r="C224">
        <f>+'at Pit'!C224+'at GB'!C224+'at Min'!C224+'vs Bal'!C224+'vs Det'!C224+'at Cle'!C224+'vs LA'!C224+'at Det'!C224+'vs NY'!C224+'vs StL'!C224+'vs GB'!C224+'at SF'!C224+'vs Min'!C224+'at Atl'!C224+'Gm 15'!C224+'Gm 16'!C224</f>
        <v>0</v>
      </c>
      <c r="D224">
        <f>+'at Pit'!D224+'at GB'!D224+'at Min'!D224+'vs Bal'!D224+'vs Det'!D224+'at Cle'!D224+'vs LA'!D224+'at Det'!D224+'vs NY'!D224+'vs StL'!D224+'vs GB'!D224+'at SF'!D224+'vs Min'!D224+'at Atl'!D224+'Gm 15'!D224+'Gm 16'!D224</f>
        <v>0</v>
      </c>
      <c r="E224">
        <f>MAX('at Pit'!E224,'at GB'!E224,'at Min'!E224,'vs Bal'!E224,'vs Det'!E224,'at Cle'!E224,'vs LA'!E224,'at Det'!E224,'vs NY'!E224,'vs StL'!E224,'vs GB'!E224,'at SF'!E224,'vs Min'!E224,'at Atl'!E224,'Gm 15'!E224,'Gm 16'!E224)</f>
        <v>0</v>
      </c>
      <c r="F224">
        <f>+'at Pit'!F224+'at GB'!F224+'at Min'!F224+'vs Bal'!F224+'vs Det'!F224+'at Cle'!F224+'vs LA'!F224+'at Det'!F224+'vs NY'!F224+'vs StL'!F224+'vs GB'!F224+'at SF'!F224+'vs Min'!F224+'at Atl'!F224+'Gm 15'!F224+'Gm 16'!F224</f>
        <v>0</v>
      </c>
      <c r="G224">
        <f>+'at Pit'!G224+'at GB'!G224+'at Min'!G224+'vs Bal'!G224+'vs Det'!G224+'at Cle'!G224+'vs LA'!G224+'at Det'!G224+'vs NY'!G224+'vs StL'!G224+'vs GB'!G224+'at SF'!G224+'vs Min'!G224+'at Atl'!G224+'Gm 15'!G224+'Gm 16'!G224</f>
        <v>0</v>
      </c>
    </row>
    <row r="225" spans="1:7" ht="12">
      <c r="A225" t="s">
        <v>171</v>
      </c>
      <c r="B225" t="s">
        <v>181</v>
      </c>
      <c r="C225">
        <f>+'at Pit'!C225+'at GB'!C225+'at Min'!C225+'vs Bal'!C225+'vs Det'!C225+'at Cle'!C225+'vs LA'!C225+'at Det'!C225+'vs NY'!C225+'vs StL'!C225+'vs GB'!C225+'at SF'!C225+'vs Min'!C225+'at Atl'!C225+'Gm 15'!C225+'Gm 16'!C225</f>
        <v>0</v>
      </c>
      <c r="D225">
        <f>+'at Pit'!D225+'at GB'!D225+'at Min'!D225+'vs Bal'!D225+'vs Det'!D225+'at Cle'!D225+'vs LA'!D225+'at Det'!D225+'vs NY'!D225+'vs StL'!D225+'vs GB'!D225+'at SF'!D225+'vs Min'!D225+'at Atl'!D225+'Gm 15'!D225+'Gm 16'!D225</f>
        <v>0</v>
      </c>
      <c r="E225">
        <f>MAX('at Pit'!E225,'at GB'!E225,'at Min'!E225,'vs Bal'!E225,'vs Det'!E225,'at Cle'!E225,'vs LA'!E225,'at Det'!E225,'vs NY'!E225,'vs StL'!E225,'vs GB'!E225,'at SF'!E225,'vs Min'!E225,'at Atl'!E225,'Gm 15'!E225,'Gm 16'!E225)</f>
        <v>0</v>
      </c>
      <c r="F225">
        <f>+'at Pit'!F225+'at GB'!F225+'at Min'!F225+'vs Bal'!F225+'vs Det'!F225+'at Cle'!F225+'vs LA'!F225+'at Det'!F225+'vs NY'!F225+'vs StL'!F225+'vs GB'!F225+'at SF'!F225+'vs Min'!F225+'at Atl'!F225+'Gm 15'!F225+'Gm 16'!F225</f>
        <v>0</v>
      </c>
      <c r="G225">
        <f>+'at Pit'!G225+'at GB'!G225+'at Min'!G225+'vs Bal'!G225+'vs Det'!G225+'at Cle'!G225+'vs LA'!G225+'at Det'!G225+'vs NY'!G225+'vs StL'!G225+'vs GB'!G225+'at SF'!G225+'vs Min'!G225+'at Atl'!G225+'Gm 15'!G225+'Gm 16'!G225</f>
        <v>0</v>
      </c>
    </row>
    <row r="226" spans="1:7" ht="12">
      <c r="A226" t="s">
        <v>164</v>
      </c>
      <c r="B226" t="s">
        <v>181</v>
      </c>
      <c r="C226">
        <f>+'at Pit'!C226+'at GB'!C226+'at Min'!C226+'vs Bal'!C226+'vs Det'!C226+'at Cle'!C226+'vs LA'!C226+'at Det'!C226+'vs NY'!C226+'vs StL'!C226+'vs GB'!C226+'at SF'!C226+'vs Min'!C226+'at Atl'!C226+'Gm 15'!C226+'Gm 16'!C226</f>
        <v>2</v>
      </c>
      <c r="D226">
        <f>+'at Pit'!D226+'at GB'!D226+'at Min'!D226+'vs Bal'!D226+'vs Det'!D226+'at Cle'!D226+'vs LA'!D226+'at Det'!D226+'vs NY'!D226+'vs StL'!D226+'vs GB'!D226+'at SF'!D226+'vs Min'!D226+'at Atl'!D226+'Gm 15'!D226+'Gm 16'!D226</f>
        <v>0</v>
      </c>
      <c r="E226">
        <f>MAX('at Pit'!E226,'at GB'!E226,'at Min'!E226,'vs Bal'!E226,'vs Det'!E226,'at Cle'!E226,'vs LA'!E226,'at Det'!E226,'vs NY'!E226,'vs StL'!E226,'vs GB'!E226,'at SF'!E226,'vs Min'!E226,'at Atl'!E226,'Gm 15'!E226,'Gm 16'!E226)</f>
        <v>0</v>
      </c>
      <c r="F226">
        <f>+'at Pit'!F226+'at GB'!F226+'at Min'!F226+'vs Bal'!F226+'vs Det'!F226+'at Cle'!F226+'vs LA'!F226+'at Det'!F226+'vs NY'!F226+'vs StL'!F226+'vs GB'!F226+'at SF'!F226+'vs Min'!F226+'at Atl'!F226+'Gm 15'!F226+'Gm 16'!F226</f>
        <v>0</v>
      </c>
      <c r="G226">
        <f>+'at Pit'!G226+'at GB'!G226+'at Min'!G226+'vs Bal'!G226+'vs Det'!G226+'at Cle'!G226+'vs LA'!G226+'at Det'!G226+'vs NY'!G226+'vs StL'!G226+'vs GB'!G226+'at SF'!G226+'vs Min'!G226+'at Atl'!G226+'Gm 15'!G226+'Gm 16'!G226</f>
        <v>0</v>
      </c>
    </row>
    <row r="227" spans="1:7" ht="12">
      <c r="A227" t="s">
        <v>145</v>
      </c>
      <c r="B227" t="s">
        <v>181</v>
      </c>
      <c r="C227">
        <f>+'at Pit'!C227+'at GB'!C227+'at Min'!C227+'vs Bal'!C227+'vs Det'!C227+'at Cle'!C227+'vs LA'!C227+'at Det'!C227+'vs NY'!C227+'vs StL'!C227+'vs GB'!C227+'at SF'!C227+'vs Min'!C227+'at Atl'!C227+'Gm 15'!C227+'Gm 16'!C227</f>
        <v>1</v>
      </c>
      <c r="D227">
        <f>+'at Pit'!D227+'at GB'!D227+'at Min'!D227+'vs Bal'!D227+'vs Det'!D227+'at Cle'!D227+'vs LA'!D227+'at Det'!D227+'vs NY'!D227+'vs StL'!D227+'vs GB'!D227+'at SF'!D227+'vs Min'!D227+'at Atl'!D227+'Gm 15'!D227+'Gm 16'!D227</f>
        <v>0</v>
      </c>
      <c r="E227">
        <f>MAX('at Pit'!E227,'at GB'!E227,'at Min'!E227,'vs Bal'!E227,'vs Det'!E227,'at Cle'!E227,'vs LA'!E227,'at Det'!E227,'vs NY'!E227,'vs StL'!E227,'vs GB'!E227,'at SF'!E227,'vs Min'!E227,'at Atl'!E227,'Gm 15'!E227,'Gm 16'!E227)</f>
        <v>0</v>
      </c>
      <c r="F227">
        <f>+'at Pit'!F227+'at GB'!F227+'at Min'!F227+'vs Bal'!F227+'vs Det'!F227+'at Cle'!F227+'vs LA'!F227+'at Det'!F227+'vs NY'!F227+'vs StL'!F227+'vs GB'!F227+'at SF'!F227+'vs Min'!F227+'at Atl'!F227+'Gm 15'!F227+'Gm 16'!F227</f>
        <v>0</v>
      </c>
      <c r="G227">
        <f>+'at Pit'!G227+'at GB'!G227+'at Min'!G227+'vs Bal'!G227+'vs Det'!G227+'at Cle'!G227+'vs LA'!G227+'at Det'!G227+'vs NY'!G227+'vs StL'!G227+'vs GB'!G227+'at SF'!G227+'vs Min'!G227+'at Atl'!G227+'Gm 15'!G227+'Gm 16'!G227</f>
        <v>0</v>
      </c>
    </row>
    <row r="228" spans="1:7" ht="12">
      <c r="A228" t="s">
        <v>137</v>
      </c>
      <c r="B228" t="s">
        <v>181</v>
      </c>
      <c r="C228">
        <f>+'at Pit'!C228+'at GB'!C228+'at Min'!C228+'vs Bal'!C228+'vs Det'!C228+'at Cle'!C228+'vs LA'!C228+'at Det'!C228+'vs NY'!C228+'vs StL'!C228+'vs GB'!C228+'at SF'!C228+'vs Min'!C228+'at Atl'!C228+'Gm 15'!C228+'Gm 16'!C228</f>
        <v>0</v>
      </c>
      <c r="D228">
        <f>+'at Pit'!D228+'at GB'!D228+'at Min'!D228+'vs Bal'!D228+'vs Det'!D228+'at Cle'!D228+'vs LA'!D228+'at Det'!D228+'vs NY'!D228+'vs StL'!D228+'vs GB'!D228+'at SF'!D228+'vs Min'!D228+'at Atl'!D228+'Gm 15'!D228+'Gm 16'!D228</f>
        <v>0</v>
      </c>
      <c r="E228">
        <f>MAX('at Pit'!E228,'at GB'!E228,'at Min'!E228,'vs Bal'!E228,'vs Det'!E228,'at Cle'!E228,'vs LA'!E228,'at Det'!E228,'vs NY'!E228,'vs StL'!E228,'vs GB'!E228,'at SF'!E228,'vs Min'!E228,'at Atl'!E228,'Gm 15'!E228,'Gm 16'!E228)</f>
        <v>0</v>
      </c>
      <c r="F228">
        <f>+'at Pit'!F228+'at GB'!F228+'at Min'!F228+'vs Bal'!F228+'vs Det'!F228+'at Cle'!F228+'vs LA'!F228+'at Det'!F228+'vs NY'!F228+'vs StL'!F228+'vs GB'!F228+'at SF'!F228+'vs Min'!F228+'at Atl'!F228+'Gm 15'!F228+'Gm 16'!F228</f>
        <v>0</v>
      </c>
      <c r="G228">
        <f>+'at Pit'!G228+'at GB'!G228+'at Min'!G228+'vs Bal'!G228+'vs Det'!G228+'at Cle'!G228+'vs LA'!G228+'at Det'!G228+'vs NY'!G228+'vs StL'!G228+'vs GB'!G228+'at SF'!G228+'vs Min'!G228+'at Atl'!G228+'Gm 15'!G228+'Gm 16'!G228</f>
        <v>0</v>
      </c>
    </row>
    <row r="229" spans="1:7" ht="12">
      <c r="A229" t="s">
        <v>151</v>
      </c>
      <c r="B229" t="s">
        <v>181</v>
      </c>
      <c r="C229">
        <f>+'at Pit'!C229+'at GB'!C229+'at Min'!C229+'vs Bal'!C229+'vs Det'!C229+'at Cle'!C229+'vs LA'!C229+'at Det'!C229+'vs NY'!C229+'vs StL'!C229+'vs GB'!C229+'at SF'!C229+'vs Min'!C229+'at Atl'!C229+'Gm 15'!C229+'Gm 16'!C229</f>
        <v>1</v>
      </c>
      <c r="D229">
        <f>+'at Pit'!D229+'at GB'!D229+'at Min'!D229+'vs Bal'!D229+'vs Det'!D229+'at Cle'!D229+'vs LA'!D229+'at Det'!D229+'vs NY'!D229+'vs StL'!D229+'vs GB'!D229+'at SF'!D229+'vs Min'!D229+'at Atl'!D229+'Gm 15'!D229+'Gm 16'!D229</f>
        <v>0</v>
      </c>
      <c r="E229">
        <f>MAX('at Pit'!E229,'at GB'!E229,'at Min'!E229,'vs Bal'!E229,'vs Det'!E229,'at Cle'!E229,'vs LA'!E229,'at Det'!E229,'vs NY'!E229,'vs StL'!E229,'vs GB'!E229,'at SF'!E229,'vs Min'!E229,'at Atl'!E229,'Gm 15'!E229,'Gm 16'!E229)</f>
        <v>0</v>
      </c>
      <c r="F229">
        <f>+'at Pit'!F229+'at GB'!F229+'at Min'!F229+'vs Bal'!F229+'vs Det'!F229+'at Cle'!F229+'vs LA'!F229+'at Det'!F229+'vs NY'!F229+'vs StL'!F229+'vs GB'!F229+'at SF'!F229+'vs Min'!F229+'at Atl'!F229+'Gm 15'!F229+'Gm 16'!F229</f>
        <v>0</v>
      </c>
      <c r="G229">
        <f>+'at Pit'!G229+'at GB'!G229+'at Min'!G229+'vs Bal'!G229+'vs Det'!G229+'at Cle'!G229+'vs LA'!G229+'at Det'!G229+'vs NY'!G229+'vs StL'!G229+'vs GB'!G229+'at SF'!G229+'vs Min'!G229+'at Atl'!G229+'Gm 15'!G229+'Gm 16'!G229</f>
        <v>0</v>
      </c>
    </row>
    <row r="230" spans="1:7" ht="12">
      <c r="A230" t="s">
        <v>152</v>
      </c>
      <c r="B230" t="s">
        <v>181</v>
      </c>
      <c r="C230">
        <f>+'at Pit'!C230+'at GB'!C230+'at Min'!C230+'vs Bal'!C230+'vs Det'!C230+'at Cle'!C230+'vs LA'!C230+'at Det'!C230+'vs NY'!C230+'vs StL'!C230+'vs GB'!C230+'at SF'!C230+'vs Min'!C230+'at Atl'!C230+'Gm 15'!C230+'Gm 16'!C230</f>
        <v>1</v>
      </c>
      <c r="D230">
        <f>+'at Pit'!D230+'at GB'!D230+'at Min'!D230+'vs Bal'!D230+'vs Det'!D230+'at Cle'!D230+'vs LA'!D230+'at Det'!D230+'vs NY'!D230+'vs StL'!D230+'vs GB'!D230+'at SF'!D230+'vs Min'!D230+'at Atl'!D230+'Gm 15'!D230+'Gm 16'!D230</f>
        <v>0</v>
      </c>
      <c r="E230">
        <f>MAX('at Pit'!E230,'at GB'!E230,'at Min'!E230,'vs Bal'!E230,'vs Det'!E230,'at Cle'!E230,'vs LA'!E230,'at Det'!E230,'vs NY'!E230,'vs StL'!E230,'vs GB'!E230,'at SF'!E230,'vs Min'!E230,'at Atl'!E230,'Gm 15'!E230,'Gm 16'!E230)</f>
        <v>0</v>
      </c>
      <c r="F230">
        <f>+'at Pit'!F230+'at GB'!F230+'at Min'!F230+'vs Bal'!F230+'vs Det'!F230+'at Cle'!F230+'vs LA'!F230+'at Det'!F230+'vs NY'!F230+'vs StL'!F230+'vs GB'!F230+'at SF'!F230+'vs Min'!F230+'at Atl'!F230+'Gm 15'!F230+'Gm 16'!F230</f>
        <v>0</v>
      </c>
      <c r="G230">
        <f>+'at Pit'!G230+'at GB'!G230+'at Min'!G230+'vs Bal'!G230+'vs Det'!G230+'at Cle'!G230+'vs LA'!G230+'at Det'!G230+'vs NY'!G230+'vs StL'!G230+'vs GB'!G230+'at SF'!G230+'vs Min'!G230+'at Atl'!G230+'Gm 15'!G230+'Gm 16'!G230</f>
        <v>0</v>
      </c>
    </row>
    <row r="231" spans="1:7" ht="12">
      <c r="A231" t="s">
        <v>138</v>
      </c>
      <c r="B231" t="s">
        <v>181</v>
      </c>
      <c r="C231">
        <f>+'at Pit'!C231+'at GB'!C231+'at Min'!C231+'vs Bal'!C231+'vs Det'!C231+'at Cle'!C231+'vs LA'!C231+'at Det'!C231+'vs NY'!C231+'vs StL'!C231+'vs GB'!C231+'at SF'!C231+'vs Min'!C231+'at Atl'!C231+'Gm 15'!C231+'Gm 16'!C231</f>
        <v>1</v>
      </c>
      <c r="D231">
        <f>+'at Pit'!D231+'at GB'!D231+'at Min'!D231+'vs Bal'!D231+'vs Det'!D231+'at Cle'!D231+'vs LA'!D231+'at Det'!D231+'vs NY'!D231+'vs StL'!D231+'vs GB'!D231+'at SF'!D231+'vs Min'!D231+'at Atl'!D231+'Gm 15'!D231+'Gm 16'!D231</f>
        <v>0</v>
      </c>
      <c r="E231">
        <f>MAX('at Pit'!E231,'at GB'!E231,'at Min'!E231,'vs Bal'!E231,'vs Det'!E231,'at Cle'!E231,'vs LA'!E231,'at Det'!E231,'vs NY'!E231,'vs StL'!E231,'vs GB'!E231,'at SF'!E231,'vs Min'!E231,'at Atl'!E231,'Gm 15'!E231,'Gm 16'!E231)</f>
        <v>0</v>
      </c>
      <c r="F231">
        <f>+'at Pit'!F231+'at GB'!F231+'at Min'!F231+'vs Bal'!F231+'vs Det'!F231+'at Cle'!F231+'vs LA'!F231+'at Det'!F231+'vs NY'!F231+'vs StL'!F231+'vs GB'!F231+'at SF'!F231+'vs Min'!F231+'at Atl'!F231+'Gm 15'!F231+'Gm 16'!F231</f>
        <v>0</v>
      </c>
      <c r="G231">
        <f>+'at Pit'!G231+'at GB'!G231+'at Min'!G231+'vs Bal'!G231+'vs Det'!G231+'at Cle'!G231+'vs LA'!G231+'at Det'!G231+'vs NY'!G231+'vs StL'!G231+'vs GB'!G231+'at SF'!G231+'vs Min'!G231+'at Atl'!G231+'Gm 15'!G231+'Gm 16'!G231</f>
        <v>0</v>
      </c>
    </row>
    <row r="232" spans="1:7" ht="12">
      <c r="A232" t="s">
        <v>139</v>
      </c>
      <c r="B232" t="s">
        <v>181</v>
      </c>
      <c r="C232">
        <f>+'at Pit'!C232+'at GB'!C232+'at Min'!C232+'vs Bal'!C232+'vs Det'!C232+'at Cle'!C232+'vs LA'!C232+'at Det'!C232+'vs NY'!C232+'vs StL'!C232+'vs GB'!C232+'at SF'!C232+'vs Min'!C232+'at Atl'!C232+'Gm 15'!C232+'Gm 16'!C232</f>
        <v>0</v>
      </c>
      <c r="D232">
        <f>+'at Pit'!D232+'at GB'!D232+'at Min'!D232+'vs Bal'!D232+'vs Det'!D232+'at Cle'!D232+'vs LA'!D232+'at Det'!D232+'vs NY'!D232+'vs StL'!D232+'vs GB'!D232+'at SF'!D232+'vs Min'!D232+'at Atl'!D232+'Gm 15'!D232+'Gm 16'!D232</f>
        <v>0</v>
      </c>
      <c r="E232">
        <f>MAX('at Pit'!E232,'at GB'!E232,'at Min'!E232,'vs Bal'!E232,'vs Det'!E232,'at Cle'!E232,'vs LA'!E232,'at Det'!E232,'vs NY'!E232,'vs StL'!E232,'vs GB'!E232,'at SF'!E232,'vs Min'!E232,'at Atl'!E232,'Gm 15'!E232,'Gm 16'!E232)</f>
        <v>0</v>
      </c>
      <c r="F232">
        <f>+'at Pit'!F232+'at GB'!F232+'at Min'!F232+'vs Bal'!F232+'vs Det'!F232+'at Cle'!F232+'vs LA'!F232+'at Det'!F232+'vs NY'!F232+'vs StL'!F232+'vs GB'!F232+'at SF'!F232+'vs Min'!F232+'at Atl'!F232+'Gm 15'!F232+'Gm 16'!F232</f>
        <v>0</v>
      </c>
      <c r="G232">
        <f>+'at Pit'!G232+'at GB'!G232+'at Min'!G232+'vs Bal'!G232+'vs Det'!G232+'at Cle'!G232+'vs LA'!G232+'at Det'!G232+'vs NY'!G232+'vs StL'!G232+'vs GB'!G232+'at SF'!G232+'vs Min'!G232+'at Atl'!G232+'Gm 15'!G232+'Gm 16'!G232</f>
        <v>0</v>
      </c>
    </row>
    <row r="233" spans="1:7" ht="12">
      <c r="A233" t="s">
        <v>161</v>
      </c>
      <c r="B233" t="s">
        <v>181</v>
      </c>
      <c r="C233">
        <f>+'at Pit'!C233+'at GB'!C233+'at Min'!C233+'vs Bal'!C233+'vs Det'!C233+'at Cle'!C233+'vs LA'!C233+'at Det'!C233+'vs NY'!C233+'vs StL'!C233+'vs GB'!C233+'at SF'!C233+'vs Min'!C233+'at Atl'!C233+'Gm 15'!C233+'Gm 16'!C233</f>
        <v>1</v>
      </c>
      <c r="D233">
        <f>+'at Pit'!D233+'at GB'!D233+'at Min'!D233+'vs Bal'!D233+'vs Det'!D233+'at Cle'!D233+'vs LA'!D233+'at Det'!D233+'vs NY'!D233+'vs StL'!D233+'vs GB'!D233+'at SF'!D233+'vs Min'!D233+'at Atl'!D233+'Gm 15'!D233+'Gm 16'!D233</f>
        <v>0</v>
      </c>
      <c r="E233">
        <f>MAX('at Pit'!E233,'at GB'!E233,'at Min'!E233,'vs Bal'!E233,'vs Det'!E233,'at Cle'!E233,'vs LA'!E233,'at Det'!E233,'vs NY'!E233,'vs StL'!E233,'vs GB'!E233,'at SF'!E233,'vs Min'!E233,'at Atl'!E233,'Gm 15'!E233,'Gm 16'!E233)</f>
        <v>0</v>
      </c>
      <c r="F233">
        <f>+'at Pit'!F233+'at GB'!F233+'at Min'!F233+'vs Bal'!F233+'vs Det'!F233+'at Cle'!F233+'vs LA'!F233+'at Det'!F233+'vs NY'!F233+'vs StL'!F233+'vs GB'!F233+'at SF'!F233+'vs Min'!F233+'at Atl'!F233+'Gm 15'!F233+'Gm 16'!F233</f>
        <v>0</v>
      </c>
      <c r="G233">
        <f>+'at Pit'!G233+'at GB'!G233+'at Min'!G233+'vs Bal'!G233+'vs Det'!G233+'at Cle'!G233+'vs LA'!G233+'at Det'!G233+'vs NY'!G233+'vs StL'!G233+'vs GB'!G233+'at SF'!G233+'vs Min'!G233+'at Atl'!G233+'Gm 15'!G233+'Gm 16'!G233</f>
        <v>0</v>
      </c>
    </row>
    <row r="234" spans="1:7" ht="12">
      <c r="A234" t="s">
        <v>172</v>
      </c>
      <c r="B234" t="s">
        <v>181</v>
      </c>
      <c r="C234">
        <f>+'at Pit'!C234+'at GB'!C234+'at Min'!C234+'vs Bal'!C234+'vs Det'!C234+'at Cle'!C234+'vs LA'!C234+'at Det'!C234+'vs NY'!C234+'vs StL'!C234+'vs GB'!C234+'at SF'!C234+'vs Min'!C234+'at Atl'!C234+'Gm 15'!C234+'Gm 16'!C234</f>
        <v>0</v>
      </c>
      <c r="D234">
        <f>+'at Pit'!D234+'at GB'!D234+'at Min'!D234+'vs Bal'!D234+'vs Det'!D234+'at Cle'!D234+'vs LA'!D234+'at Det'!D234+'vs NY'!D234+'vs StL'!D234+'vs GB'!D234+'at SF'!D234+'vs Min'!D234+'at Atl'!D234+'Gm 15'!D234+'Gm 16'!D234</f>
        <v>0</v>
      </c>
      <c r="E234">
        <f>MAX('at Pit'!E234,'at GB'!E234,'at Min'!E234,'vs Bal'!E234,'vs Det'!E234,'at Cle'!E234,'vs LA'!E234,'at Det'!E234,'vs NY'!E234,'vs StL'!E234,'vs GB'!E234,'at SF'!E234,'vs Min'!E234,'at Atl'!E234,'Gm 15'!E234,'Gm 16'!E234)</f>
        <v>0</v>
      </c>
      <c r="F234">
        <f>+'at Pit'!F234+'at GB'!F234+'at Min'!F234+'vs Bal'!F234+'vs Det'!F234+'at Cle'!F234+'vs LA'!F234+'at Det'!F234+'vs NY'!F234+'vs StL'!F234+'vs GB'!F234+'at SF'!F234+'vs Min'!F234+'at Atl'!F234+'Gm 15'!F234+'Gm 16'!F234</f>
        <v>0</v>
      </c>
      <c r="G234">
        <f>+'at Pit'!G234+'at GB'!G234+'at Min'!G234+'vs Bal'!G234+'vs Det'!G234+'at Cle'!G234+'vs LA'!G234+'at Det'!G234+'vs NY'!G234+'vs StL'!G234+'vs GB'!G234+'at SF'!G234+'vs Min'!G234+'at Atl'!G234+'Gm 15'!G234+'Gm 16'!G234</f>
        <v>0</v>
      </c>
    </row>
    <row r="235" spans="1:7" ht="12">
      <c r="A235" t="s">
        <v>140</v>
      </c>
      <c r="B235" t="s">
        <v>181</v>
      </c>
      <c r="C235">
        <f>+'at Pit'!C235+'at GB'!C235+'at Min'!C235+'vs Bal'!C235+'vs Det'!C235+'at Cle'!C235+'vs LA'!C235+'at Det'!C235+'vs NY'!C235+'vs StL'!C235+'vs GB'!C235+'at SF'!C235+'vs Min'!C235+'at Atl'!C235+'Gm 15'!C235+'Gm 16'!C235</f>
        <v>1</v>
      </c>
      <c r="D235">
        <f>+'at Pit'!D235+'at GB'!D235+'at Min'!D235+'vs Bal'!D235+'vs Det'!D235+'at Cle'!D235+'vs LA'!D235+'at Det'!D235+'vs NY'!D235+'vs StL'!D235+'vs GB'!D235+'at SF'!D235+'vs Min'!D235+'at Atl'!D235+'Gm 15'!D235+'Gm 16'!D235</f>
        <v>0</v>
      </c>
      <c r="E235">
        <f>MAX('at Pit'!E235,'at GB'!E235,'at Min'!E235,'vs Bal'!E235,'vs Det'!E235,'at Cle'!E235,'vs LA'!E235,'at Det'!E235,'vs NY'!E235,'vs StL'!E235,'vs GB'!E235,'at SF'!E235,'vs Min'!E235,'at Atl'!E235,'Gm 15'!E235,'Gm 16'!E235)</f>
        <v>0</v>
      </c>
      <c r="F235">
        <f>+'at Pit'!F235+'at GB'!F235+'at Min'!F235+'vs Bal'!F235+'vs Det'!F235+'at Cle'!F235+'vs LA'!F235+'at Det'!F235+'vs NY'!F235+'vs StL'!F235+'vs GB'!F235+'at SF'!F235+'vs Min'!F235+'at Atl'!F235+'Gm 15'!F235+'Gm 16'!F235</f>
        <v>0</v>
      </c>
      <c r="G235">
        <f>+'at Pit'!G235+'at GB'!G235+'at Min'!G235+'vs Bal'!G235+'vs Det'!G235+'at Cle'!G235+'vs LA'!G235+'at Det'!G235+'vs NY'!G235+'vs StL'!G235+'vs GB'!G235+'at SF'!G235+'vs Min'!G235+'at Atl'!G235+'Gm 15'!G235+'Gm 16'!G235</f>
        <v>0</v>
      </c>
    </row>
    <row r="236" spans="1:7" ht="12">
      <c r="A236" t="s">
        <v>165</v>
      </c>
      <c r="B236" t="s">
        <v>181</v>
      </c>
      <c r="C236">
        <f>+'at Pit'!C236+'at GB'!C236+'at Min'!C236+'vs Bal'!C236+'vs Det'!C236+'at Cle'!C236+'vs LA'!C236+'at Det'!C236+'vs NY'!C236+'vs StL'!C236+'vs GB'!C236+'at SF'!C236+'vs Min'!C236+'at Atl'!C236+'Gm 15'!C236+'Gm 16'!C236</f>
        <v>1</v>
      </c>
      <c r="D236">
        <f>+'at Pit'!D236+'at GB'!D236+'at Min'!D236+'vs Bal'!D236+'vs Det'!D236+'at Cle'!D236+'vs LA'!D236+'at Det'!D236+'vs NY'!D236+'vs StL'!D236+'vs GB'!D236+'at SF'!D236+'vs Min'!D236+'at Atl'!D236+'Gm 15'!D236+'Gm 16'!D236</f>
        <v>0</v>
      </c>
      <c r="E236">
        <f>MAX('at Pit'!E236,'at GB'!E236,'at Min'!E236,'vs Bal'!E236,'vs Det'!E236,'at Cle'!E236,'vs LA'!E236,'at Det'!E236,'vs NY'!E236,'vs StL'!E236,'vs GB'!E236,'at SF'!E236,'vs Min'!E236,'at Atl'!E236,'Gm 15'!E236,'Gm 16'!E236)</f>
        <v>0</v>
      </c>
      <c r="F236">
        <f>+'at Pit'!F236+'at GB'!F236+'at Min'!F236+'vs Bal'!F236+'vs Det'!F236+'at Cle'!F236+'vs LA'!F236+'at Det'!F236+'vs NY'!F236+'vs StL'!F236+'vs GB'!F236+'at SF'!F236+'vs Min'!F236+'at Atl'!F236+'Gm 15'!F236+'Gm 16'!F236</f>
        <v>0</v>
      </c>
      <c r="G236">
        <f>+'at Pit'!G236+'at GB'!G236+'at Min'!G236+'vs Bal'!G236+'vs Det'!G236+'at Cle'!G236+'vs LA'!G236+'at Det'!G236+'vs NY'!G236+'vs StL'!G236+'vs GB'!G236+'at SF'!G236+'vs Min'!G236+'at Atl'!G236+'Gm 15'!G236+'Gm 16'!G236</f>
        <v>0</v>
      </c>
    </row>
    <row r="237" spans="1:7" ht="12">
      <c r="A237" t="s">
        <v>155</v>
      </c>
      <c r="B237" t="s">
        <v>181</v>
      </c>
      <c r="C237">
        <f>+'at Pit'!C237+'at GB'!C237+'at Min'!C237+'vs Bal'!C237+'vs Det'!C237+'at Cle'!C237+'vs LA'!C237+'at Det'!C237+'vs NY'!C237+'vs StL'!C237+'vs GB'!C237+'at SF'!C237+'vs Min'!C237+'at Atl'!C237+'Gm 15'!C237+'Gm 16'!C237</f>
        <v>0</v>
      </c>
      <c r="D237">
        <f>+'at Pit'!D237+'at GB'!D237+'at Min'!D237+'vs Bal'!D237+'vs Det'!D237+'at Cle'!D237+'vs LA'!D237+'at Det'!D237+'vs NY'!D237+'vs StL'!D237+'vs GB'!D237+'at SF'!D237+'vs Min'!D237+'at Atl'!D237+'Gm 15'!D237+'Gm 16'!D237</f>
        <v>0</v>
      </c>
      <c r="E237">
        <f>MAX('at Pit'!E237,'at GB'!E237,'at Min'!E237,'vs Bal'!E237,'vs Det'!E237,'at Cle'!E237,'vs LA'!E237,'at Det'!E237,'vs NY'!E237,'vs StL'!E237,'vs GB'!E237,'at SF'!E237,'vs Min'!E237,'at Atl'!E237,'Gm 15'!E237,'Gm 16'!E237)</f>
        <v>0</v>
      </c>
      <c r="F237">
        <f>+'at Pit'!F237+'at GB'!F237+'at Min'!F237+'vs Bal'!F237+'vs Det'!F237+'at Cle'!F237+'vs LA'!F237+'at Det'!F237+'vs NY'!F237+'vs StL'!F237+'vs GB'!F237+'at SF'!F237+'vs Min'!F237+'at Atl'!F237+'Gm 15'!F237+'Gm 16'!F237</f>
        <v>0</v>
      </c>
      <c r="G237">
        <f>+'at Pit'!G237+'at GB'!G237+'at Min'!G237+'vs Bal'!G237+'vs Det'!G237+'at Cle'!G237+'vs LA'!G237+'at Det'!G237+'vs NY'!G237+'vs StL'!G237+'vs GB'!G237+'at SF'!G237+'vs Min'!G237+'at Atl'!G237+'Gm 15'!G237+'Gm 16'!G237</f>
        <v>0</v>
      </c>
    </row>
    <row r="238" spans="1:7" ht="12">
      <c r="A238" t="s">
        <v>147</v>
      </c>
      <c r="B238" t="s">
        <v>181</v>
      </c>
      <c r="C238">
        <f>+'at Pit'!C238+'at GB'!C238+'at Min'!C238+'vs Bal'!C238+'vs Det'!C238+'at Cle'!C238+'vs LA'!C238+'at Det'!C238+'vs NY'!C238+'vs StL'!C238+'vs GB'!C238+'at SF'!C238+'vs Min'!C238+'at Atl'!C238+'Gm 15'!C238+'Gm 16'!C238</f>
        <v>0</v>
      </c>
      <c r="D238">
        <f>+'at Pit'!D238+'at GB'!D238+'at Min'!D238+'vs Bal'!D238+'vs Det'!D238+'at Cle'!D238+'vs LA'!D238+'at Det'!D238+'vs NY'!D238+'vs StL'!D238+'vs GB'!D238+'at SF'!D238+'vs Min'!D238+'at Atl'!D238+'Gm 15'!D238+'Gm 16'!D238</f>
        <v>0</v>
      </c>
      <c r="E238">
        <f>MAX('at Pit'!E238,'at GB'!E238,'at Min'!E238,'vs Bal'!E238,'vs Det'!E238,'at Cle'!E238,'vs LA'!E238,'at Det'!E238,'vs NY'!E238,'vs StL'!E238,'vs GB'!E238,'at SF'!E238,'vs Min'!E238,'at Atl'!E238,'Gm 15'!E238,'Gm 16'!E238)</f>
        <v>0</v>
      </c>
      <c r="F238">
        <f>+'at Pit'!F238+'at GB'!F238+'at Min'!F238+'vs Bal'!F238+'vs Det'!F238+'at Cle'!F238+'vs LA'!F238+'at Det'!F238+'vs NY'!F238+'vs StL'!F238+'vs GB'!F238+'at SF'!F238+'vs Min'!F238+'at Atl'!F238+'Gm 15'!F238+'Gm 16'!F238</f>
        <v>0</v>
      </c>
      <c r="G238">
        <f>+'at Pit'!G238+'at GB'!G238+'at Min'!G238+'vs Bal'!G238+'vs Det'!G238+'at Cle'!G238+'vs LA'!G238+'at Det'!G238+'vs NY'!G238+'vs StL'!G238+'vs GB'!G238+'at SF'!G238+'vs Min'!G238+'at Atl'!G238+'Gm 15'!G238+'Gm 16'!G238</f>
        <v>0</v>
      </c>
    </row>
    <row r="239" spans="1:7" ht="12">
      <c r="A239" t="s">
        <v>173</v>
      </c>
      <c r="B239" t="s">
        <v>181</v>
      </c>
      <c r="C239">
        <f>+'at Pit'!C239+'at GB'!C239+'at Min'!C239+'vs Bal'!C239+'vs Det'!C239+'at Cle'!C239+'vs LA'!C239+'at Det'!C239+'vs NY'!C239+'vs StL'!C239+'vs GB'!C239+'at SF'!C239+'vs Min'!C239+'at Atl'!C239+'Gm 15'!C239+'Gm 16'!C239</f>
        <v>0</v>
      </c>
      <c r="D239">
        <f>+'at Pit'!D239+'at GB'!D239+'at Min'!D239+'vs Bal'!D239+'vs Det'!D239+'at Cle'!D239+'vs LA'!D239+'at Det'!D239+'vs NY'!D239+'vs StL'!D239+'vs GB'!D239+'at SF'!D239+'vs Min'!D239+'at Atl'!D239+'Gm 15'!D239+'Gm 16'!D239</f>
        <v>0</v>
      </c>
      <c r="E239">
        <f>MAX('at Pit'!E239,'at GB'!E239,'at Min'!E239,'vs Bal'!E239,'vs Det'!E239,'at Cle'!E239,'vs LA'!E239,'at Det'!E239,'vs NY'!E239,'vs StL'!E239,'vs GB'!E239,'at SF'!E239,'vs Min'!E239,'at Atl'!E239,'Gm 15'!E239,'Gm 16'!E239)</f>
        <v>0</v>
      </c>
      <c r="F239">
        <f>+'at Pit'!F239+'at GB'!F239+'at Min'!F239+'vs Bal'!F239+'vs Det'!F239+'at Cle'!F239+'vs LA'!F239+'at Det'!F239+'vs NY'!F239+'vs StL'!F239+'vs GB'!F239+'at SF'!F239+'vs Min'!F239+'at Atl'!F239+'Gm 15'!F239+'Gm 16'!F239</f>
        <v>0</v>
      </c>
      <c r="G239">
        <f>+'at Pit'!G239+'at GB'!G239+'at Min'!G239+'vs Bal'!G239+'vs Det'!G239+'at Cle'!G239+'vs LA'!G239+'at Det'!G239+'vs NY'!G239+'vs StL'!G239+'vs GB'!G239+'at SF'!G239+'vs Min'!G239+'at Atl'!G239+'Gm 15'!G239+'Gm 16'!G239</f>
        <v>0</v>
      </c>
    </row>
    <row r="240" spans="1:7" ht="12">
      <c r="A240" t="s">
        <v>141</v>
      </c>
      <c r="B240" t="s">
        <v>181</v>
      </c>
      <c r="C240">
        <f>+'at Pit'!C240+'at GB'!C240+'at Min'!C240+'vs Bal'!C240+'vs Det'!C240+'at Cle'!C240+'vs LA'!C240+'at Det'!C240+'vs NY'!C240+'vs StL'!C240+'vs GB'!C240+'at SF'!C240+'vs Min'!C240+'at Atl'!C240+'Gm 15'!C240+'Gm 16'!C240</f>
        <v>0</v>
      </c>
      <c r="D240">
        <f>+'at Pit'!D240+'at GB'!D240+'at Min'!D240+'vs Bal'!D240+'vs Det'!D240+'at Cle'!D240+'vs LA'!D240+'at Det'!D240+'vs NY'!D240+'vs StL'!D240+'vs GB'!D240+'at SF'!D240+'vs Min'!D240+'at Atl'!D240+'Gm 15'!D240+'Gm 16'!D240</f>
        <v>0</v>
      </c>
      <c r="E240">
        <f>MAX('at Pit'!E240,'at GB'!E240,'at Min'!E240,'vs Bal'!E240,'vs Det'!E240,'at Cle'!E240,'vs LA'!E240,'at Det'!E240,'vs NY'!E240,'vs StL'!E240,'vs GB'!E240,'at SF'!E240,'vs Min'!E240,'at Atl'!E240,'Gm 15'!E240,'Gm 16'!E240)</f>
        <v>0</v>
      </c>
      <c r="F240">
        <f>+'at Pit'!F240+'at GB'!F240+'at Min'!F240+'vs Bal'!F240+'vs Det'!F240+'at Cle'!F240+'vs LA'!F240+'at Det'!F240+'vs NY'!F240+'vs StL'!F240+'vs GB'!F240+'at SF'!F240+'vs Min'!F240+'at Atl'!F240+'Gm 15'!F240+'Gm 16'!F240</f>
        <v>0</v>
      </c>
      <c r="G240">
        <f>+'at Pit'!G240+'at GB'!G240+'at Min'!G240+'vs Bal'!G240+'vs Det'!G240+'at Cle'!G240+'vs LA'!G240+'at Det'!G240+'vs NY'!G240+'vs StL'!G240+'vs GB'!G240+'at SF'!G240+'vs Min'!G240+'at Atl'!G240+'Gm 15'!G240+'Gm 16'!G240</f>
        <v>0</v>
      </c>
    </row>
    <row r="241" spans="1:7" ht="12">
      <c r="A241" t="s">
        <v>174</v>
      </c>
      <c r="B241" t="s">
        <v>181</v>
      </c>
      <c r="C241">
        <f>+'at Pit'!C241+'at GB'!C241+'at Min'!C241+'vs Bal'!C241+'vs Det'!C241+'at Cle'!C241+'vs LA'!C241+'at Det'!C241+'vs NY'!C241+'vs StL'!C241+'vs GB'!C241+'at SF'!C241+'vs Min'!C241+'at Atl'!C241+'Gm 15'!C241+'Gm 16'!C241</f>
        <v>1</v>
      </c>
      <c r="D241">
        <f>+'at Pit'!D241+'at GB'!D241+'at Min'!D241+'vs Bal'!D241+'vs Det'!D241+'at Cle'!D241+'vs LA'!D241+'at Det'!D241+'vs NY'!D241+'vs StL'!D241+'vs GB'!D241+'at SF'!D241+'vs Min'!D241+'at Atl'!D241+'Gm 15'!D241+'Gm 16'!D241</f>
        <v>0</v>
      </c>
      <c r="E241">
        <f>MAX('at Pit'!E241,'at GB'!E241,'at Min'!E241,'vs Bal'!E241,'vs Det'!E241,'at Cle'!E241,'vs LA'!E241,'at Det'!E241,'vs NY'!E241,'vs StL'!E241,'vs GB'!E241,'at SF'!E241,'vs Min'!E241,'at Atl'!E241,'Gm 15'!E241,'Gm 16'!E241)</f>
        <v>0</v>
      </c>
      <c r="F241">
        <f>+'at Pit'!F241+'at GB'!F241+'at Min'!F241+'vs Bal'!F241+'vs Det'!F241+'at Cle'!F241+'vs LA'!F241+'at Det'!F241+'vs NY'!F241+'vs StL'!F241+'vs GB'!F241+'at SF'!F241+'vs Min'!F241+'at Atl'!F241+'Gm 15'!F241+'Gm 16'!F241</f>
        <v>0</v>
      </c>
      <c r="G241">
        <f>+'at Pit'!G241+'at GB'!G241+'at Min'!G241+'vs Bal'!G241+'vs Det'!G241+'at Cle'!G241+'vs LA'!G241+'at Det'!G241+'vs NY'!G241+'vs StL'!G241+'vs GB'!G241+'at SF'!G241+'vs Min'!G241+'at Atl'!G241+'Gm 15'!G241+'Gm 16'!G241</f>
        <v>0</v>
      </c>
    </row>
    <row r="242" spans="1:7" ht="12">
      <c r="A242" t="s">
        <v>166</v>
      </c>
      <c r="B242" t="s">
        <v>181</v>
      </c>
      <c r="C242">
        <f>+'at Pit'!C242+'at GB'!C242+'at Min'!C242+'vs Bal'!C242+'vs Det'!C242+'at Cle'!C242+'vs LA'!C242+'at Det'!C242+'vs NY'!C242+'vs StL'!C242+'vs GB'!C242+'at SF'!C242+'vs Min'!C242+'at Atl'!C242+'Gm 15'!C242+'Gm 16'!C242</f>
        <v>0</v>
      </c>
      <c r="D242">
        <f>+'at Pit'!D242+'at GB'!D242+'at Min'!D242+'vs Bal'!D242+'vs Det'!D242+'at Cle'!D242+'vs LA'!D242+'at Det'!D242+'vs NY'!D242+'vs StL'!D242+'vs GB'!D242+'at SF'!D242+'vs Min'!D242+'at Atl'!D242+'Gm 15'!D242+'Gm 16'!D242</f>
        <v>0</v>
      </c>
      <c r="E242">
        <f>MAX('at Pit'!E242,'at GB'!E242,'at Min'!E242,'vs Bal'!E242,'vs Det'!E242,'at Cle'!E242,'vs LA'!E242,'at Det'!E242,'vs NY'!E242,'vs StL'!E242,'vs GB'!E242,'at SF'!E242,'vs Min'!E242,'at Atl'!E242,'Gm 15'!E242,'Gm 16'!E242)</f>
        <v>0</v>
      </c>
      <c r="F242">
        <f>+'at Pit'!F242+'at GB'!F242+'at Min'!F242+'vs Bal'!F242+'vs Det'!F242+'at Cle'!F242+'vs LA'!F242+'at Det'!F242+'vs NY'!F242+'vs StL'!F242+'vs GB'!F242+'at SF'!F242+'vs Min'!F242+'at Atl'!F242+'Gm 15'!F242+'Gm 16'!F242</f>
        <v>0</v>
      </c>
      <c r="G242">
        <f>+'at Pit'!G242+'at GB'!G242+'at Min'!G242+'vs Bal'!G242+'vs Det'!G242+'at Cle'!G242+'vs LA'!G242+'at Det'!G242+'vs NY'!G242+'vs StL'!G242+'vs GB'!G242+'at SF'!G242+'vs Min'!G242+'at Atl'!G242+'Gm 15'!G242+'Gm 16'!G242</f>
        <v>0</v>
      </c>
    </row>
    <row r="243" spans="1:7" ht="12">
      <c r="A243" t="s">
        <v>175</v>
      </c>
      <c r="B243" t="s">
        <v>181</v>
      </c>
      <c r="C243">
        <f>+'at Pit'!C243+'at GB'!C243+'at Min'!C243+'vs Bal'!C243+'vs Det'!C243+'at Cle'!C243+'vs LA'!C243+'at Det'!C243+'vs NY'!C243+'vs StL'!C243+'vs GB'!C243+'at SF'!C243+'vs Min'!C243+'at Atl'!C243+'Gm 15'!C243+'Gm 16'!C243</f>
        <v>0</v>
      </c>
      <c r="D243">
        <f>+'at Pit'!D243+'at GB'!D243+'at Min'!D243+'vs Bal'!D243+'vs Det'!D243+'at Cle'!D243+'vs LA'!D243+'at Det'!D243+'vs NY'!D243+'vs StL'!D243+'vs GB'!D243+'at SF'!D243+'vs Min'!D243+'at Atl'!D243+'Gm 15'!D243+'Gm 16'!D243</f>
        <v>0</v>
      </c>
      <c r="E243">
        <f>MAX('at Pit'!E243,'at GB'!E243,'at Min'!E243,'vs Bal'!E243,'vs Det'!E243,'at Cle'!E243,'vs LA'!E243,'at Det'!E243,'vs NY'!E243,'vs StL'!E243,'vs GB'!E243,'at SF'!E243,'vs Min'!E243,'at Atl'!E243,'Gm 15'!E243,'Gm 16'!E243)</f>
        <v>0</v>
      </c>
      <c r="F243">
        <f>+'at Pit'!F243+'at GB'!F243+'at Min'!F243+'vs Bal'!F243+'vs Det'!F243+'at Cle'!F243+'vs LA'!F243+'at Det'!F243+'vs NY'!F243+'vs StL'!F243+'vs GB'!F243+'at SF'!F243+'vs Min'!F243+'at Atl'!F243+'Gm 15'!F243+'Gm 16'!F243</f>
        <v>0</v>
      </c>
      <c r="G243">
        <f>+'at Pit'!G243+'at GB'!G243+'at Min'!G243+'vs Bal'!G243+'vs Det'!G243+'at Cle'!G243+'vs LA'!G243+'at Det'!G243+'vs NY'!G243+'vs StL'!G243+'vs GB'!G243+'at SF'!G243+'vs Min'!G243+'at Atl'!G243+'Gm 15'!G243+'Gm 16'!G243</f>
        <v>0</v>
      </c>
    </row>
    <row r="244" spans="1:7" ht="12">
      <c r="A244" t="s">
        <v>176</v>
      </c>
      <c r="B244" t="s">
        <v>181</v>
      </c>
      <c r="C244">
        <f>+'at Pit'!C244+'at GB'!C244+'at Min'!C244+'vs Bal'!C244+'vs Det'!C244+'at Cle'!C244+'vs LA'!C244+'at Det'!C244+'vs NY'!C244+'vs StL'!C244+'vs GB'!C244+'at SF'!C244+'vs Min'!C244+'at Atl'!C244+'Gm 15'!C244+'Gm 16'!C244</f>
        <v>0</v>
      </c>
      <c r="D244">
        <f>+'at Pit'!D244+'at GB'!D244+'at Min'!D244+'vs Bal'!D244+'vs Det'!D244+'at Cle'!D244+'vs LA'!D244+'at Det'!D244+'vs NY'!D244+'vs StL'!D244+'vs GB'!D244+'at SF'!D244+'vs Min'!D244+'at Atl'!D244+'Gm 15'!D244+'Gm 16'!D244</f>
        <v>0</v>
      </c>
      <c r="E244">
        <f>MAX('at Pit'!E244,'at GB'!E244,'at Min'!E244,'vs Bal'!E244,'vs Det'!E244,'at Cle'!E244,'vs LA'!E244,'at Det'!E244,'vs NY'!E244,'vs StL'!E244,'vs GB'!E244,'at SF'!E244,'vs Min'!E244,'at Atl'!E244,'Gm 15'!E244,'Gm 16'!E244)</f>
        <v>0</v>
      </c>
      <c r="F244">
        <f>+'at Pit'!F244+'at GB'!F244+'at Min'!F244+'vs Bal'!F244+'vs Det'!F244+'at Cle'!F244+'vs LA'!F244+'at Det'!F244+'vs NY'!F244+'vs StL'!F244+'vs GB'!F244+'at SF'!F244+'vs Min'!F244+'at Atl'!F244+'Gm 15'!F244+'Gm 16'!F244</f>
        <v>0</v>
      </c>
      <c r="G244">
        <f>+'at Pit'!G244+'at GB'!G244+'at Min'!G244+'vs Bal'!G244+'vs Det'!G244+'at Cle'!G244+'vs LA'!G244+'at Det'!G244+'vs NY'!G244+'vs StL'!G244+'vs GB'!G244+'at SF'!G244+'vs Min'!G244+'at Atl'!G244+'Gm 15'!G244+'Gm 16'!G244</f>
        <v>0</v>
      </c>
    </row>
    <row r="245" spans="1:7" ht="12">
      <c r="A245" t="s">
        <v>142</v>
      </c>
      <c r="B245" t="s">
        <v>181</v>
      </c>
      <c r="C245">
        <f>+'at Pit'!C245+'at GB'!C245+'at Min'!C245+'vs Bal'!C245+'vs Det'!C245+'at Cle'!C245+'vs LA'!C245+'at Det'!C245+'vs NY'!C245+'vs StL'!C245+'vs GB'!C245+'at SF'!C245+'vs Min'!C245+'at Atl'!C245+'Gm 15'!C245+'Gm 16'!C245</f>
        <v>0</v>
      </c>
      <c r="D245">
        <f>+'at Pit'!D245+'at GB'!D245+'at Min'!D245+'vs Bal'!D245+'vs Det'!D245+'at Cle'!D245+'vs LA'!D245+'at Det'!D245+'vs NY'!D245+'vs StL'!D245+'vs GB'!D245+'at SF'!D245+'vs Min'!D245+'at Atl'!D245+'Gm 15'!D245+'Gm 16'!D245</f>
        <v>0</v>
      </c>
      <c r="E245">
        <f>MAX('at Pit'!E245,'at GB'!E245,'at Min'!E245,'vs Bal'!E245,'vs Det'!E245,'at Cle'!E245,'vs LA'!E245,'at Det'!E245,'vs NY'!E245,'vs StL'!E245,'vs GB'!E245,'at SF'!E245,'vs Min'!E245,'at Atl'!E245,'Gm 15'!E245,'Gm 16'!E245)</f>
        <v>0</v>
      </c>
      <c r="F245">
        <f>+'at Pit'!F245+'at GB'!F245+'at Min'!F245+'vs Bal'!F245+'vs Det'!F245+'at Cle'!F245+'vs LA'!F245+'at Det'!F245+'vs NY'!F245+'vs StL'!F245+'vs GB'!F245+'at SF'!F245+'vs Min'!F245+'at Atl'!F245+'Gm 15'!F245+'Gm 16'!F245</f>
        <v>0</v>
      </c>
      <c r="G245">
        <f>+'at Pit'!G245+'at GB'!G245+'at Min'!G245+'vs Bal'!G245+'vs Det'!G245+'at Cle'!G245+'vs LA'!G245+'at Det'!G245+'vs NY'!G245+'vs StL'!G245+'vs GB'!G245+'at SF'!G245+'vs Min'!G245+'at Atl'!G245+'Gm 15'!G245+'Gm 16'!G245</f>
        <v>0</v>
      </c>
    </row>
    <row r="246" spans="1:7" ht="12">
      <c r="A246" t="s">
        <v>177</v>
      </c>
      <c r="B246" t="s">
        <v>181</v>
      </c>
      <c r="C246">
        <f>+'at Pit'!C246+'at GB'!C246+'at Min'!C246+'vs Bal'!C246+'vs Det'!C246+'at Cle'!C246+'vs LA'!C246+'at Det'!C246+'vs NY'!C246+'vs StL'!C246+'vs GB'!C246+'at SF'!C246+'vs Min'!C246+'at Atl'!C246+'Gm 15'!C246+'Gm 16'!C246</f>
        <v>0</v>
      </c>
      <c r="D246">
        <f>+'at Pit'!D246+'at GB'!D246+'at Min'!D246+'vs Bal'!D246+'vs Det'!D246+'at Cle'!D246+'vs LA'!D246+'at Det'!D246+'vs NY'!D246+'vs StL'!D246+'vs GB'!D246+'at SF'!D246+'vs Min'!D246+'at Atl'!D246+'Gm 15'!D246+'Gm 16'!D246</f>
        <v>0</v>
      </c>
      <c r="E246">
        <f>MAX('at Pit'!E246,'at GB'!E246,'at Min'!E246,'vs Bal'!E246,'vs Det'!E246,'at Cle'!E246,'vs LA'!E246,'at Det'!E246,'vs NY'!E246,'vs StL'!E246,'vs GB'!E246,'at SF'!E246,'vs Min'!E246,'at Atl'!E246,'Gm 15'!E246,'Gm 16'!E246)</f>
        <v>0</v>
      </c>
      <c r="F246">
        <f>+'at Pit'!F246+'at GB'!F246+'at Min'!F246+'vs Bal'!F246+'vs Det'!F246+'at Cle'!F246+'vs LA'!F246+'at Det'!F246+'vs NY'!F246+'vs StL'!F246+'vs GB'!F246+'at SF'!F246+'vs Min'!F246+'at Atl'!F246+'Gm 15'!F246+'Gm 16'!F246</f>
        <v>0</v>
      </c>
      <c r="G246">
        <f>+'at Pit'!G246+'at GB'!G246+'at Min'!G246+'vs Bal'!G246+'vs Det'!G246+'at Cle'!G246+'vs LA'!G246+'at Det'!G246+'vs NY'!G246+'vs StL'!G246+'vs GB'!G246+'at SF'!G246+'vs Min'!G246+'at Atl'!G246+'Gm 15'!G246+'Gm 16'!G246</f>
        <v>0</v>
      </c>
    </row>
    <row r="247" spans="1:7" ht="12">
      <c r="A247" t="s">
        <v>143</v>
      </c>
      <c r="B247" t="s">
        <v>181</v>
      </c>
      <c r="C247">
        <f>+'at Pit'!C247+'at GB'!C247+'at Min'!C247+'vs Bal'!C247+'vs Det'!C247+'at Cle'!C247+'vs LA'!C247+'at Det'!C247+'vs NY'!C247+'vs StL'!C247+'vs GB'!C247+'at SF'!C247+'vs Min'!C247+'at Atl'!C247+'Gm 15'!C247+'Gm 16'!C247</f>
        <v>0</v>
      </c>
      <c r="D247">
        <f>+'at Pit'!D247+'at GB'!D247+'at Min'!D247+'vs Bal'!D247+'vs Det'!D247+'at Cle'!D247+'vs LA'!D247+'at Det'!D247+'vs NY'!D247+'vs StL'!D247+'vs GB'!D247+'at SF'!D247+'vs Min'!D247+'at Atl'!D247+'Gm 15'!D247+'Gm 16'!D247</f>
        <v>0</v>
      </c>
      <c r="E247">
        <f>MAX('at Pit'!E247,'at GB'!E247,'at Min'!E247,'vs Bal'!E247,'vs Det'!E247,'at Cle'!E247,'vs LA'!E247,'at Det'!E247,'vs NY'!E247,'vs StL'!E247,'vs GB'!E247,'at SF'!E247,'vs Min'!E247,'at Atl'!E247,'Gm 15'!E247,'Gm 16'!E247)</f>
        <v>0</v>
      </c>
      <c r="F247">
        <f>+'at Pit'!F247+'at GB'!F247+'at Min'!F247+'vs Bal'!F247+'vs Det'!F247+'at Cle'!F247+'vs LA'!F247+'at Det'!F247+'vs NY'!F247+'vs StL'!F247+'vs GB'!F247+'at SF'!F247+'vs Min'!F247+'at Atl'!F247+'Gm 15'!F247+'Gm 16'!F247</f>
        <v>0</v>
      </c>
      <c r="G247">
        <f>+'at Pit'!G247+'at GB'!G247+'at Min'!G247+'vs Bal'!G247+'vs Det'!G247+'at Cle'!G247+'vs LA'!G247+'at Det'!G247+'vs NY'!G247+'vs StL'!G247+'vs GB'!G247+'at SF'!G247+'vs Min'!G247+'at Atl'!G247+'Gm 15'!G247+'Gm 16'!G247</f>
        <v>0</v>
      </c>
    </row>
    <row r="248" spans="1:7" ht="12">
      <c r="A248" t="s">
        <v>178</v>
      </c>
      <c r="B248" t="s">
        <v>181</v>
      </c>
      <c r="C248">
        <f>+'at Pit'!C248+'at GB'!C248+'at Min'!C248+'vs Bal'!C248+'vs Det'!C248+'at Cle'!C248+'vs LA'!C248+'at Det'!C248+'vs NY'!C248+'vs StL'!C248+'vs GB'!C248+'at SF'!C248+'vs Min'!C248+'at Atl'!C248+'Gm 15'!C248+'Gm 16'!C248</f>
        <v>0</v>
      </c>
      <c r="D248">
        <f>+'at Pit'!D248+'at GB'!D248+'at Min'!D248+'vs Bal'!D248+'vs Det'!D248+'at Cle'!D248+'vs LA'!D248+'at Det'!D248+'vs NY'!D248+'vs StL'!D248+'vs GB'!D248+'at SF'!D248+'vs Min'!D248+'at Atl'!D248+'Gm 15'!D248+'Gm 16'!D248</f>
        <v>0</v>
      </c>
      <c r="E248">
        <f>MAX('at Pit'!E248,'at GB'!E248,'at Min'!E248,'vs Bal'!E248,'vs Det'!E248,'at Cle'!E248,'vs LA'!E248,'at Det'!E248,'vs NY'!E248,'vs StL'!E248,'vs GB'!E248,'at SF'!E248,'vs Min'!E248,'at Atl'!E248,'Gm 15'!E248,'Gm 16'!E248)</f>
        <v>0</v>
      </c>
      <c r="F248">
        <f>+'at Pit'!F248+'at GB'!F248+'at Min'!F248+'vs Bal'!F248+'vs Det'!F248+'at Cle'!F248+'vs LA'!F248+'at Det'!F248+'vs NY'!F248+'vs StL'!F248+'vs GB'!F248+'at SF'!F248+'vs Min'!F248+'at Atl'!F248+'Gm 15'!F248+'Gm 16'!F248</f>
        <v>0</v>
      </c>
      <c r="G248">
        <f>+'at Pit'!G248+'at GB'!G248+'at Min'!G248+'vs Bal'!G248+'vs Det'!G248+'at Cle'!G248+'vs LA'!G248+'at Det'!G248+'vs NY'!G248+'vs StL'!G248+'vs GB'!G248+'at SF'!G248+'vs Min'!G248+'at Atl'!G248+'Gm 15'!G248+'Gm 16'!G248</f>
        <v>0</v>
      </c>
    </row>
    <row r="249" spans="1:7" ht="12">
      <c r="A249" t="s">
        <v>179</v>
      </c>
      <c r="B249" t="s">
        <v>181</v>
      </c>
      <c r="C249">
        <f>+'at Pit'!C249+'at GB'!C249+'at Min'!C249+'vs Bal'!C249+'vs Det'!C249+'at Cle'!C249+'vs LA'!C249+'at Det'!C249+'vs NY'!C249+'vs StL'!C249+'vs GB'!C249+'at SF'!C249+'vs Min'!C249+'at Atl'!C249+'Gm 15'!C249+'Gm 16'!C249</f>
        <v>1</v>
      </c>
      <c r="D249">
        <f>+'at Pit'!D249+'at GB'!D249+'at Min'!D249+'vs Bal'!D249+'vs Det'!D249+'at Cle'!D249+'vs LA'!D249+'at Det'!D249+'vs NY'!D249+'vs StL'!D249+'vs GB'!D249+'at SF'!D249+'vs Min'!D249+'at Atl'!D249+'Gm 15'!D249+'Gm 16'!D249</f>
        <v>0</v>
      </c>
      <c r="E249">
        <f>MAX('at Pit'!E249,'at GB'!E249,'at Min'!E249,'vs Bal'!E249,'vs Det'!E249,'at Cle'!E249,'vs LA'!E249,'at Det'!E249,'vs NY'!E249,'vs StL'!E249,'vs GB'!E249,'at SF'!E249,'vs Min'!E249,'at Atl'!E249,'Gm 15'!E249,'Gm 16'!E249)</f>
        <v>0</v>
      </c>
      <c r="F249">
        <f>+'at Pit'!F249+'at GB'!F249+'at Min'!F249+'vs Bal'!F249+'vs Det'!F249+'at Cle'!F249+'vs LA'!F249+'at Det'!F249+'vs NY'!F249+'vs StL'!F249+'vs GB'!F249+'at SF'!F249+'vs Min'!F249+'at Atl'!F249+'Gm 15'!F249+'Gm 16'!F249</f>
        <v>0</v>
      </c>
      <c r="G249">
        <f>+'at Pit'!G249+'at GB'!G249+'at Min'!G249+'vs Bal'!G249+'vs Det'!G249+'at Cle'!G249+'vs LA'!G249+'at Det'!G249+'vs NY'!G249+'vs StL'!G249+'vs GB'!G249+'at SF'!G249+'vs Min'!G249+'at Atl'!G249+'Gm 15'!G249+'Gm 16'!G249</f>
        <v>0</v>
      </c>
    </row>
    <row r="250" spans="1:7" ht="12">
      <c r="A250" t="s">
        <v>146</v>
      </c>
      <c r="B250" t="s">
        <v>181</v>
      </c>
      <c r="C250">
        <f>+'at Pit'!C250+'at GB'!C250+'at Min'!C250+'vs Bal'!C250+'vs Det'!C250+'at Cle'!C250+'vs LA'!C250+'at Det'!C250+'vs NY'!C250+'vs StL'!C250+'vs GB'!C250+'at SF'!C250+'vs Min'!C250+'at Atl'!C250+'Gm 15'!C250+'Gm 16'!C250</f>
        <v>0</v>
      </c>
      <c r="D250">
        <f>+'at Pit'!D250+'at GB'!D250+'at Min'!D250+'vs Bal'!D250+'vs Det'!D250+'at Cle'!D250+'vs LA'!D250+'at Det'!D250+'vs NY'!D250+'vs StL'!D250+'vs GB'!D250+'at SF'!D250+'vs Min'!D250+'at Atl'!D250+'Gm 15'!D250+'Gm 16'!D250</f>
        <v>0</v>
      </c>
      <c r="E250">
        <f>MAX('at Pit'!E250,'at GB'!E250,'at Min'!E250,'vs Bal'!E250,'vs Det'!E250,'at Cle'!E250,'vs LA'!E250,'at Det'!E250,'vs NY'!E250,'vs StL'!E250,'vs GB'!E250,'at SF'!E250,'vs Min'!E250,'at Atl'!E250,'Gm 15'!E250,'Gm 16'!E250)</f>
        <v>0</v>
      </c>
      <c r="F250">
        <f>+'at Pit'!F250+'at GB'!F250+'at Min'!F250+'vs Bal'!F250+'vs Det'!F250+'at Cle'!F250+'vs LA'!F250+'at Det'!F250+'vs NY'!F250+'vs StL'!F250+'vs GB'!F250+'at SF'!F250+'vs Min'!F250+'at Atl'!F250+'Gm 15'!F250+'Gm 16'!F250</f>
        <v>0</v>
      </c>
      <c r="G250">
        <f>+'at Pit'!G250+'at GB'!G250+'at Min'!G250+'vs Bal'!G250+'vs Det'!G250+'at Cle'!G250+'vs LA'!G250+'at Det'!G250+'vs NY'!G250+'vs StL'!G250+'vs GB'!G250+'at SF'!G250+'vs Min'!G250+'at Atl'!G250+'Gm 15'!G250+'Gm 16'!G250</f>
        <v>0</v>
      </c>
    </row>
    <row r="251" spans="1:7" ht="12">
      <c r="A251" t="s">
        <v>153</v>
      </c>
      <c r="B251" t="s">
        <v>181</v>
      </c>
      <c r="C251">
        <f>+'at Pit'!C251+'at GB'!C251+'at Min'!C251+'vs Bal'!C251+'vs Det'!C251+'at Cle'!C251+'vs LA'!C251+'at Det'!C251+'vs NY'!C251+'vs StL'!C251+'vs GB'!C251+'at SF'!C251+'vs Min'!C251+'at Atl'!C251+'Gm 15'!C251+'Gm 16'!C251</f>
        <v>0</v>
      </c>
      <c r="D251">
        <f>+'at Pit'!D251+'at GB'!D251+'at Min'!D251+'vs Bal'!D251+'vs Det'!D251+'at Cle'!D251+'vs LA'!D251+'at Det'!D251+'vs NY'!D251+'vs StL'!D251+'vs GB'!D251+'at SF'!D251+'vs Min'!D251+'at Atl'!D251+'Gm 15'!D251+'Gm 16'!D251</f>
        <v>0</v>
      </c>
      <c r="E251">
        <f>MAX('at Pit'!E251,'at GB'!E251,'at Min'!E251,'vs Bal'!E251,'vs Det'!E251,'at Cle'!E251,'vs LA'!E251,'at Det'!E251,'vs NY'!E251,'vs StL'!E251,'vs GB'!E251,'at SF'!E251,'vs Min'!E251,'at Atl'!E251,'Gm 15'!E251,'Gm 16'!E251)</f>
        <v>0</v>
      </c>
      <c r="F251">
        <f>+'at Pit'!F251+'at GB'!F251+'at Min'!F251+'vs Bal'!F251+'vs Det'!F251+'at Cle'!F251+'vs LA'!F251+'at Det'!F251+'vs NY'!F251+'vs StL'!F251+'vs GB'!F251+'at SF'!F251+'vs Min'!F251+'at Atl'!F251+'Gm 15'!F251+'Gm 16'!F251</f>
        <v>0</v>
      </c>
      <c r="G251">
        <f>+'at Pit'!G251+'at GB'!G251+'at Min'!G251+'vs Bal'!G251+'vs Det'!G251+'at Cle'!G251+'vs LA'!G251+'at Det'!G251+'vs NY'!G251+'vs StL'!G251+'vs GB'!G251+'at SF'!G251+'vs Min'!G251+'at Atl'!G251+'Gm 15'!G251+'Gm 16'!G251</f>
        <v>0</v>
      </c>
    </row>
    <row r="252" spans="1:7" ht="12">
      <c r="A252" t="s">
        <v>162</v>
      </c>
      <c r="B252" t="s">
        <v>181</v>
      </c>
      <c r="C252">
        <f>+'at Pit'!C252+'at GB'!C252+'at Min'!C252+'vs Bal'!C252+'vs Det'!C252+'at Cle'!C252+'vs LA'!C252+'at Det'!C252+'vs NY'!C252+'vs StL'!C252+'vs GB'!C252+'at SF'!C252+'vs Min'!C252+'at Atl'!C252+'Gm 15'!C252+'Gm 16'!C252</f>
        <v>0</v>
      </c>
      <c r="D252">
        <f>+'at Pit'!D252+'at GB'!D252+'at Min'!D252+'vs Bal'!D252+'vs Det'!D252+'at Cle'!D252+'vs LA'!D252+'at Det'!D252+'vs NY'!D252+'vs StL'!D252+'vs GB'!D252+'at SF'!D252+'vs Min'!D252+'at Atl'!D252+'Gm 15'!D252+'Gm 16'!D252</f>
        <v>0</v>
      </c>
      <c r="E252">
        <f>MAX('at Pit'!E252,'at GB'!E252,'at Min'!E252,'vs Bal'!E252,'vs Det'!E252,'at Cle'!E252,'vs LA'!E252,'at Det'!E252,'vs NY'!E252,'vs StL'!E252,'vs GB'!E252,'at SF'!E252,'vs Min'!E252,'at Atl'!E252,'Gm 15'!E252,'Gm 16'!E252)</f>
        <v>0</v>
      </c>
      <c r="F252">
        <f>+'at Pit'!F252+'at GB'!F252+'at Min'!F252+'vs Bal'!F252+'vs Det'!F252+'at Cle'!F252+'vs LA'!F252+'at Det'!F252+'vs NY'!F252+'vs StL'!F252+'vs GB'!F252+'at SF'!F252+'vs Min'!F252+'at Atl'!F252+'Gm 15'!F252+'Gm 16'!F252</f>
        <v>1</v>
      </c>
      <c r="G252">
        <f>+'at Pit'!G252+'at GB'!G252+'at Min'!G252+'vs Bal'!G252+'vs Det'!G252+'at Cle'!G252+'vs LA'!G252+'at Det'!G252+'vs NY'!G252+'vs StL'!G252+'vs GB'!G252+'at SF'!G252+'vs Min'!G252+'at Atl'!G252+'Gm 15'!G252+'Gm 16'!G252</f>
        <v>0</v>
      </c>
    </row>
    <row r="253" spans="1:7" ht="12">
      <c r="A253" t="s">
        <v>180</v>
      </c>
      <c r="B253" t="s">
        <v>181</v>
      </c>
      <c r="C253">
        <f>+'at Pit'!C253+'at GB'!C253+'at Min'!C253+'vs Bal'!C253+'vs Det'!C253+'at Cle'!C253+'vs LA'!C253+'at Det'!C253+'vs NY'!C253+'vs StL'!C253+'vs GB'!C253+'at SF'!C253+'vs Min'!C253+'at Atl'!C253+'Gm 15'!C253+'Gm 16'!C253</f>
        <v>0</v>
      </c>
      <c r="D253">
        <f>+'at Pit'!D253+'at GB'!D253+'at Min'!D253+'vs Bal'!D253+'vs Det'!D253+'at Cle'!D253+'vs LA'!D253+'at Det'!D253+'vs NY'!D253+'vs StL'!D253+'vs GB'!D253+'at SF'!D253+'vs Min'!D253+'at Atl'!D253+'Gm 15'!D253+'Gm 16'!D253</f>
        <v>0</v>
      </c>
      <c r="E253">
        <f>MAX('at Pit'!E253,'at GB'!E253,'at Min'!E253,'vs Bal'!E253,'vs Det'!E253,'at Cle'!E253,'vs LA'!E253,'at Det'!E253,'vs NY'!E253,'vs StL'!E253,'vs GB'!E253,'at SF'!E253,'vs Min'!E253,'at Atl'!E253,'Gm 15'!E253,'Gm 16'!E253)</f>
        <v>0</v>
      </c>
      <c r="F253">
        <f>+'at Pit'!F253+'at GB'!F253+'at Min'!F253+'vs Bal'!F253+'vs Det'!F253+'at Cle'!F253+'vs LA'!F253+'at Det'!F253+'vs NY'!F253+'vs StL'!F253+'vs GB'!F253+'at SF'!F253+'vs Min'!F253+'at Atl'!F253+'Gm 15'!F253+'Gm 16'!F253</f>
        <v>0</v>
      </c>
      <c r="G253">
        <f>+'at Pit'!G253+'at GB'!G253+'at Min'!G253+'vs Bal'!G253+'vs Det'!G253+'at Cle'!G253+'vs LA'!G253+'at Det'!G253+'vs NY'!G253+'vs StL'!G253+'vs GB'!G253+'at SF'!G253+'vs Min'!G253+'at Atl'!G253+'Gm 15'!G253+'Gm 16'!G253</f>
        <v>0</v>
      </c>
    </row>
    <row r="254" spans="3:7" ht="12">
      <c r="C254">
        <f>+'at Pit'!C254+'at GB'!C254+'at Min'!C254+'vs Bal'!C254+'vs Det'!C254+'at Cle'!C254+'vs LA'!C254+'at Det'!C254+'vs NY'!C254+'vs StL'!C254+'vs GB'!C254+'at SF'!C254+'vs Min'!C254+'at Atl'!C254+'Gm 15'!C254+'Gm 16'!C254</f>
        <v>0</v>
      </c>
      <c r="D254">
        <f>+'at Pit'!D254+'at GB'!D254+'at Min'!D254+'vs Bal'!D254+'vs Det'!D254+'at Cle'!D254+'vs LA'!D254+'at Det'!D254+'vs NY'!D254+'vs StL'!D254+'vs GB'!D254+'at SF'!D254+'vs Min'!D254+'at Atl'!D254+'Gm 15'!D254+'Gm 16'!D254</f>
        <v>0</v>
      </c>
      <c r="E254">
        <f>MAX('at Pit'!E254,'at GB'!E254,'at Min'!E254,'vs Bal'!E254,'vs Det'!E254,'at Cle'!E254,'vs LA'!E254,'at Det'!E254,'vs NY'!E254,'vs StL'!E254,'vs GB'!E254,'at SF'!E254,'vs Min'!E254,'at Atl'!E254,'Gm 15'!E254,'Gm 16'!E254)</f>
        <v>0</v>
      </c>
      <c r="F254">
        <f>+'at Pit'!F254+'at GB'!F254+'at Min'!F254+'vs Bal'!F254+'vs Det'!F254+'at Cle'!F254+'vs LA'!F254+'at Det'!F254+'vs NY'!F254+'vs StL'!F254+'vs GB'!F254+'at SF'!F254+'vs Min'!F254+'at Atl'!F254+'Gm 15'!F254+'Gm 16'!F254</f>
        <v>0</v>
      </c>
      <c r="G254">
        <f>+'at Pit'!G254+'at GB'!G254+'at Min'!G254+'vs Bal'!G254+'vs Det'!G254+'at Cle'!G254+'vs LA'!G254+'at Det'!G254+'vs NY'!G254+'vs StL'!G254+'vs GB'!G254+'at SF'!G254+'vs Min'!G254+'at Atl'!G254+'Gm 15'!G254+'Gm 16'!G254</f>
        <v>0</v>
      </c>
    </row>
    <row r="255" spans="3:7" ht="12">
      <c r="C255">
        <f>+'at Pit'!C255+'at GB'!C255+'at Min'!C255+'vs Bal'!C255+'vs Det'!C255+'at Cle'!C255+'vs LA'!C255+'at Det'!C255+'vs NY'!C255+'vs StL'!C255+'vs GB'!C255+'at SF'!C255+'vs Min'!C255+'at Atl'!C255+'Gm 15'!C255+'Gm 16'!C255</f>
        <v>0</v>
      </c>
      <c r="D255">
        <f>+'at Pit'!D255+'at GB'!D255+'at Min'!D255+'vs Bal'!D255+'vs Det'!D255+'at Cle'!D255+'vs LA'!D255+'at Det'!D255+'vs NY'!D255+'vs StL'!D255+'vs GB'!D255+'at SF'!D255+'vs Min'!D255+'at Atl'!D255+'Gm 15'!D255+'Gm 16'!D255</f>
        <v>0</v>
      </c>
      <c r="E255">
        <f>MAX('at Pit'!E255,'at GB'!E255,'at Min'!E255,'vs Bal'!E255,'vs Det'!E255,'at Cle'!E255,'vs LA'!E255,'at Det'!E255,'vs NY'!E255,'vs StL'!E255,'vs GB'!E255,'at SF'!E255,'vs Min'!E255,'at Atl'!E255,'Gm 15'!E255,'Gm 16'!E255)</f>
        <v>0</v>
      </c>
      <c r="F255">
        <f>+'at Pit'!F255+'at GB'!F255+'at Min'!F255+'vs Bal'!F255+'vs Det'!F255+'at Cle'!F255+'vs LA'!F255+'at Det'!F255+'vs NY'!F255+'vs StL'!F255+'vs GB'!F255+'at SF'!F255+'vs Min'!F255+'at Atl'!F255+'Gm 15'!F255+'Gm 16'!F255</f>
        <v>0</v>
      </c>
      <c r="G255">
        <f>+'at Pit'!G255+'at GB'!G255+'at Min'!G255+'vs Bal'!G255+'vs Det'!G255+'at Cle'!G255+'vs LA'!G255+'at Det'!G255+'vs NY'!G255+'vs StL'!G255+'vs GB'!G255+'at SF'!G255+'vs Min'!G255+'at Atl'!G255+'Gm 15'!G255+'Gm 16'!G255</f>
        <v>0</v>
      </c>
    </row>
    <row r="256" spans="3:7" ht="12">
      <c r="C256">
        <f>+'at Pit'!C256+'at GB'!C256+'at Min'!C256+'vs Bal'!C256+'vs Det'!C256+'at Cle'!C256+'vs LA'!C256+'at Det'!C256+'vs NY'!C256+'vs StL'!C256+'vs GB'!C256+'at SF'!C256+'vs Min'!C256+'at Atl'!C256+'Gm 15'!C256+'Gm 16'!C256</f>
        <v>0</v>
      </c>
      <c r="D256">
        <f>+'at Pit'!D256+'at GB'!D256+'at Min'!D256+'vs Bal'!D256+'vs Det'!D256+'at Cle'!D256+'vs LA'!D256+'at Det'!D256+'vs NY'!D256+'vs StL'!D256+'vs GB'!D256+'at SF'!D256+'vs Min'!D256+'at Atl'!D256+'Gm 15'!D256+'Gm 16'!D256</f>
        <v>0</v>
      </c>
      <c r="E256">
        <f>MAX('at Pit'!E256,'at GB'!E256,'at Min'!E256,'vs Bal'!E256,'vs Det'!E256,'at Cle'!E256,'vs LA'!E256,'at Det'!E256,'vs NY'!E256,'vs StL'!E256,'vs GB'!E256,'at SF'!E256,'vs Min'!E256,'at Atl'!E256,'Gm 15'!E256,'Gm 16'!E256)</f>
        <v>0</v>
      </c>
      <c r="F256">
        <f>+'at Pit'!F256+'at GB'!F256+'at Min'!F256+'vs Bal'!F256+'vs Det'!F256+'at Cle'!F256+'vs LA'!F256+'at Det'!F256+'vs NY'!F256+'vs StL'!F256+'vs GB'!F256+'at SF'!F256+'vs Min'!F256+'at Atl'!F256+'Gm 15'!F256+'Gm 16'!F256</f>
        <v>0</v>
      </c>
      <c r="G256">
        <f>+'at Pit'!G256+'at GB'!G256+'at Min'!G256+'vs Bal'!G256+'vs Det'!G256+'at Cle'!G256+'vs LA'!G256+'at Det'!G256+'vs NY'!G256+'vs StL'!G256+'vs GB'!G256+'at SF'!G256+'vs Min'!G256+'at Atl'!G256+'Gm 15'!G256+'Gm 16'!G256</f>
        <v>0</v>
      </c>
    </row>
    <row r="257" spans="3:7" ht="12">
      <c r="C257">
        <f>+'at Pit'!C257+'at GB'!C257+'at Min'!C257+'vs Bal'!C257+'vs Det'!C257+'at Cle'!C257+'vs LA'!C257+'at Det'!C257+'vs NY'!C257+'vs StL'!C257+'vs GB'!C257+'at SF'!C257+'vs Min'!C257+'at Atl'!C257+'Gm 15'!C257+'Gm 16'!C257</f>
        <v>0</v>
      </c>
      <c r="D257">
        <f>+'at Pit'!D257+'at GB'!D257+'at Min'!D257+'vs Bal'!D257+'vs Det'!D257+'at Cle'!D257+'vs LA'!D257+'at Det'!D257+'vs NY'!D257+'vs StL'!D257+'vs GB'!D257+'at SF'!D257+'vs Min'!D257+'at Atl'!D257+'Gm 15'!D257+'Gm 16'!D257</f>
        <v>0</v>
      </c>
      <c r="E257">
        <f>MAX('at Pit'!E257,'at GB'!E257,'at Min'!E257,'vs Bal'!E257,'vs Det'!E257,'at Cle'!E257,'vs LA'!E257,'at Det'!E257,'vs NY'!E257,'vs StL'!E257,'vs GB'!E257,'at SF'!E257,'vs Min'!E257,'at Atl'!E257,'Gm 15'!E257,'Gm 16'!E257)</f>
        <v>0</v>
      </c>
      <c r="F257">
        <f>+'at Pit'!F257+'at GB'!F257+'at Min'!F257+'vs Bal'!F257+'vs Det'!F257+'at Cle'!F257+'vs LA'!F257+'at Det'!F257+'vs NY'!F257+'vs StL'!F257+'vs GB'!F257+'at SF'!F257+'vs Min'!F257+'at Atl'!F257+'Gm 15'!F257+'Gm 16'!F257</f>
        <v>0</v>
      </c>
      <c r="G257">
        <f>+'at Pit'!G257+'at GB'!G257+'at Min'!G257+'vs Bal'!G257+'vs Det'!G257+'at Cle'!G257+'vs LA'!G257+'at Det'!G257+'vs NY'!G257+'vs StL'!G257+'vs GB'!G257+'at SF'!G257+'vs Min'!G257+'at Atl'!G257+'Gm 15'!G257+'Gm 16'!G257</f>
        <v>0</v>
      </c>
    </row>
    <row r="258" spans="3:7" ht="12">
      <c r="C258">
        <f>+'at Pit'!C258+'at GB'!C258+'at Min'!C258+'vs Bal'!C258+'vs Det'!C258+'at Cle'!C258+'vs LA'!C258+'at Det'!C258+'vs NY'!C258+'vs StL'!C258+'vs GB'!C258+'at SF'!C258+'vs Min'!C258+'at Atl'!C258+'Gm 15'!C258+'Gm 16'!C258</f>
        <v>0</v>
      </c>
      <c r="D258">
        <f>+'at Pit'!D258+'at GB'!D258+'at Min'!D258+'vs Bal'!D258+'vs Det'!D258+'at Cle'!D258+'vs LA'!D258+'at Det'!D258+'vs NY'!D258+'vs StL'!D258+'vs GB'!D258+'at SF'!D258+'vs Min'!D258+'at Atl'!D258+'Gm 15'!D258+'Gm 16'!D258</f>
        <v>0</v>
      </c>
      <c r="E258">
        <f>MAX('at Pit'!E258,'at GB'!E258,'at Min'!E258,'vs Bal'!E258,'vs Det'!E258,'at Cle'!E258,'vs LA'!E258,'at Det'!E258,'vs NY'!E258,'vs StL'!E258,'vs GB'!E258,'at SF'!E258,'vs Min'!E258,'at Atl'!E258,'Gm 15'!E258,'Gm 16'!E258)</f>
        <v>0</v>
      </c>
      <c r="F258">
        <f>+'at Pit'!F258+'at GB'!F258+'at Min'!F258+'vs Bal'!F258+'vs Det'!F258+'at Cle'!F258+'vs LA'!F258+'at Det'!F258+'vs NY'!F258+'vs StL'!F258+'vs GB'!F258+'at SF'!F258+'vs Min'!F258+'at Atl'!F258+'Gm 15'!F258+'Gm 16'!F258</f>
        <v>0</v>
      </c>
      <c r="G258">
        <f>+'at Pit'!G258+'at GB'!G258+'at Min'!G258+'vs Bal'!G258+'vs Det'!G258+'at Cle'!G258+'vs LA'!G258+'at Det'!G258+'vs NY'!G258+'vs StL'!G258+'vs GB'!G258+'at SF'!G258+'vs Min'!G258+'at Atl'!G258+'Gm 15'!G258+'Gm 16'!G258</f>
        <v>0</v>
      </c>
    </row>
    <row r="259" spans="3:7" ht="12">
      <c r="C259">
        <f>+'at Pit'!C259+'at GB'!C259+'at Min'!C259+'vs Bal'!C259+'vs Det'!C259+'at Cle'!C259+'vs LA'!C259+'at Det'!C259+'vs NY'!C259+'vs StL'!C259+'vs GB'!C259+'at SF'!C259+'vs Min'!C259+'at Atl'!C259+'Gm 15'!C259+'Gm 16'!C259</f>
        <v>0</v>
      </c>
      <c r="D259">
        <f>+'at Pit'!D259+'at GB'!D259+'at Min'!D259+'vs Bal'!D259+'vs Det'!D259+'at Cle'!D259+'vs LA'!D259+'at Det'!D259+'vs NY'!D259+'vs StL'!D259+'vs GB'!D259+'at SF'!D259+'vs Min'!D259+'at Atl'!D259+'Gm 15'!D259+'Gm 16'!D259</f>
        <v>0</v>
      </c>
      <c r="E259">
        <f>MAX('at Pit'!E259,'at GB'!E259,'at Min'!E259,'vs Bal'!E259,'vs Det'!E259,'at Cle'!E259,'vs LA'!E259,'at Det'!E259,'vs NY'!E259,'vs StL'!E259,'vs GB'!E259,'at SF'!E259,'vs Min'!E259,'at Atl'!E259,'Gm 15'!E259,'Gm 16'!E259)</f>
        <v>0</v>
      </c>
      <c r="F259">
        <f>+'at Pit'!F259+'at GB'!F259+'at Min'!F259+'vs Bal'!F259+'vs Det'!F259+'at Cle'!F259+'vs LA'!F259+'at Det'!F259+'vs NY'!F259+'vs StL'!F259+'vs GB'!F259+'at SF'!F259+'vs Min'!F259+'at Atl'!F259+'Gm 15'!F259+'Gm 16'!F259</f>
        <v>0</v>
      </c>
      <c r="G259">
        <f>+'at Pit'!G259+'at GB'!G259+'at Min'!G259+'vs Bal'!G259+'vs Det'!G259+'at Cle'!G259+'vs LA'!G259+'at Det'!G259+'vs NY'!G259+'vs StL'!G259+'vs GB'!G259+'at SF'!G259+'vs Min'!G259+'at Atl'!G259+'Gm 15'!G259+'Gm 16'!G259</f>
        <v>0</v>
      </c>
    </row>
    <row r="260" spans="3:7" ht="12">
      <c r="C260">
        <f>+'at Pit'!C260+'at GB'!C260+'at Min'!C260+'vs Bal'!C260+'vs Det'!C260+'at Cle'!C260+'vs LA'!C260+'at Det'!C260+'vs NY'!C260+'vs StL'!C260+'vs GB'!C260+'at SF'!C260+'vs Min'!C260+'at Atl'!C260+'Gm 15'!C260+'Gm 16'!C260</f>
        <v>0</v>
      </c>
      <c r="D260">
        <f>+'at Pit'!D260+'at GB'!D260+'at Min'!D260+'vs Bal'!D260+'vs Det'!D260+'at Cle'!D260+'vs LA'!D260+'at Det'!D260+'vs NY'!D260+'vs StL'!D260+'vs GB'!D260+'at SF'!D260+'vs Min'!D260+'at Atl'!D260+'Gm 15'!D260+'Gm 16'!D260</f>
        <v>0</v>
      </c>
      <c r="E260">
        <f>MAX('at Pit'!E260,'at GB'!E260,'at Min'!E260,'vs Bal'!E260,'vs Det'!E260,'at Cle'!E260,'vs LA'!E260,'at Det'!E260,'vs NY'!E260,'vs StL'!E260,'vs GB'!E260,'at SF'!E260,'vs Min'!E260,'at Atl'!E260,'Gm 15'!E260,'Gm 16'!E260)</f>
        <v>0</v>
      </c>
      <c r="F260">
        <f>+'at Pit'!F260+'at GB'!F260+'at Min'!F260+'vs Bal'!F260+'vs Det'!F260+'at Cle'!F260+'vs LA'!F260+'at Det'!F260+'vs NY'!F260+'vs StL'!F260+'vs GB'!F260+'at SF'!F260+'vs Min'!F260+'at Atl'!F260+'Gm 15'!F260+'Gm 16'!F260</f>
        <v>0</v>
      </c>
      <c r="G260">
        <f>+'at Pit'!G260+'at GB'!G260+'at Min'!G260+'vs Bal'!G260+'vs Det'!G260+'at Cle'!G260+'vs LA'!G260+'at Det'!G260+'vs NY'!G260+'vs StL'!G260+'vs GB'!G260+'at SF'!G260+'vs Min'!G260+'at Atl'!G260+'Gm 15'!G260+'Gm 16'!G260</f>
        <v>0</v>
      </c>
    </row>
    <row r="261" spans="3:7" ht="12">
      <c r="C261">
        <f>+'at Pit'!C261+'at GB'!C261+'at Min'!C261+'vs Bal'!C261+'vs Det'!C261+'at Cle'!C261+'vs LA'!C261+'at Det'!C261+'vs NY'!C261+'vs StL'!C261+'vs GB'!C261+'at SF'!C261+'vs Min'!C261+'at Atl'!C261+'Gm 15'!C261+'Gm 16'!C261</f>
        <v>0</v>
      </c>
      <c r="D261">
        <f>+'at Pit'!D261+'at GB'!D261+'at Min'!D261+'vs Bal'!D261+'vs Det'!D261+'at Cle'!D261+'vs LA'!D261+'at Det'!D261+'vs NY'!D261+'vs StL'!D261+'vs GB'!D261+'at SF'!D261+'vs Min'!D261+'at Atl'!D261+'Gm 15'!D261+'Gm 16'!D261</f>
        <v>0</v>
      </c>
      <c r="E261">
        <f>MAX('at Pit'!E261,'at GB'!E261,'at Min'!E261,'vs Bal'!E261,'vs Det'!E261,'at Cle'!E261,'vs LA'!E261,'at Det'!E261,'vs NY'!E261,'vs StL'!E261,'vs GB'!E261,'at SF'!E261,'vs Min'!E261,'at Atl'!E261,'Gm 15'!E261,'Gm 16'!E261)</f>
        <v>0</v>
      </c>
      <c r="F261">
        <f>+'at Pit'!F261+'at GB'!F261+'at Min'!F261+'vs Bal'!F261+'vs Det'!F261+'at Cle'!F261+'vs LA'!F261+'at Det'!F261+'vs NY'!F261+'vs StL'!F261+'vs GB'!F261+'at SF'!F261+'vs Min'!F261+'at Atl'!F261+'Gm 15'!F261+'Gm 16'!F261</f>
        <v>0</v>
      </c>
      <c r="G261">
        <f>+'at Pit'!G261+'at GB'!G261+'at Min'!G261+'vs Bal'!G261+'vs Det'!G261+'at Cle'!G261+'vs LA'!G261+'at Det'!G261+'vs NY'!G261+'vs StL'!G261+'vs GB'!G261+'at SF'!G261+'vs Min'!G261+'at Atl'!G261+'Gm 15'!G261+'Gm 16'!G261</f>
        <v>0</v>
      </c>
    </row>
    <row r="262" spans="3:7" ht="12">
      <c r="C262">
        <f>+'at Pit'!C262+'at GB'!C262+'at Min'!C262+'vs Bal'!C262+'vs Det'!C262+'at Cle'!C262+'vs LA'!C262+'at Det'!C262+'vs NY'!C262+'vs StL'!C262+'vs GB'!C262+'at SF'!C262+'vs Min'!C262+'at Atl'!C262+'Gm 15'!C262+'Gm 16'!C262</f>
        <v>0</v>
      </c>
      <c r="D262">
        <f>+'at Pit'!D262+'at GB'!D262+'at Min'!D262+'vs Bal'!D262+'vs Det'!D262+'at Cle'!D262+'vs LA'!D262+'at Det'!D262+'vs NY'!D262+'vs StL'!D262+'vs GB'!D262+'at SF'!D262+'vs Min'!D262+'at Atl'!D262+'Gm 15'!D262+'Gm 16'!D262</f>
        <v>0</v>
      </c>
      <c r="E262">
        <f>MAX('at Pit'!E262,'at GB'!E262,'at Min'!E262,'vs Bal'!E262,'vs Det'!E262,'at Cle'!E262,'vs LA'!E262,'at Det'!E262,'vs NY'!E262,'vs StL'!E262,'vs GB'!E262,'at SF'!E262,'vs Min'!E262,'at Atl'!E262,'Gm 15'!E262,'Gm 16'!E262)</f>
        <v>0</v>
      </c>
      <c r="F262">
        <f>+'at Pit'!F262+'at GB'!F262+'at Min'!F262+'vs Bal'!F262+'vs Det'!F262+'at Cle'!F262+'vs LA'!F262+'at Det'!F262+'vs NY'!F262+'vs StL'!F262+'vs GB'!F262+'at SF'!F262+'vs Min'!F262+'at Atl'!F262+'Gm 15'!F262+'Gm 16'!F262</f>
        <v>0</v>
      </c>
      <c r="G262">
        <f>+'at Pit'!G262+'at GB'!G262+'at Min'!G262+'vs Bal'!G262+'vs Det'!G262+'at Cle'!G262+'vs LA'!G262+'at Det'!G262+'vs NY'!G262+'vs StL'!G262+'vs GB'!G262+'at SF'!G262+'vs Min'!G262+'at Atl'!G262+'Gm 15'!G262+'Gm 16'!G262</f>
        <v>0</v>
      </c>
    </row>
    <row r="263" spans="3:7" ht="12">
      <c r="C263">
        <f>+'at Pit'!C263+'at GB'!C263+'at Min'!C263+'vs Bal'!C263+'vs Det'!C263+'at Cle'!C263+'vs LA'!C263+'at Det'!C263+'vs NY'!C263+'vs StL'!C263+'vs GB'!C263+'at SF'!C263+'vs Min'!C263+'at Atl'!C263+'Gm 15'!C263+'Gm 16'!C263</f>
        <v>0</v>
      </c>
      <c r="D263">
        <f>+'at Pit'!D263+'at GB'!D263+'at Min'!D263+'vs Bal'!D263+'vs Det'!D263+'at Cle'!D263+'vs LA'!D263+'at Det'!D263+'vs NY'!D263+'vs StL'!D263+'vs GB'!D263+'at SF'!D263+'vs Min'!D263+'at Atl'!D263+'Gm 15'!D263+'Gm 16'!D263</f>
        <v>0</v>
      </c>
      <c r="E263">
        <f>MAX('at Pit'!E263,'at GB'!E263,'at Min'!E263,'vs Bal'!E263,'vs Det'!E263,'at Cle'!E263,'vs LA'!E263,'at Det'!E263,'vs NY'!E263,'vs StL'!E263,'vs GB'!E263,'at SF'!E263,'vs Min'!E263,'at Atl'!E263,'Gm 15'!E263,'Gm 16'!E263)</f>
        <v>0</v>
      </c>
      <c r="F263">
        <f>+'at Pit'!F263+'at GB'!F263+'at Min'!F263+'vs Bal'!F263+'vs Det'!F263+'at Cle'!F263+'vs LA'!F263+'at Det'!F263+'vs NY'!F263+'vs StL'!F263+'vs GB'!F263+'at SF'!F263+'vs Min'!F263+'at Atl'!F263+'Gm 15'!F263+'Gm 16'!F263</f>
        <v>0</v>
      </c>
      <c r="G263">
        <f>+'at Pit'!G263+'at GB'!G263+'at Min'!G263+'vs Bal'!G263+'vs Det'!G263+'at Cle'!G263+'vs LA'!G263+'at Det'!G263+'vs NY'!G263+'vs StL'!G263+'vs GB'!G263+'at SF'!G263+'vs Min'!G263+'at Atl'!G263+'Gm 15'!G263+'Gm 16'!G263</f>
        <v>0</v>
      </c>
    </row>
    <row r="264" spans="3:7" ht="12">
      <c r="C264">
        <f>+'at Pit'!C264+'at GB'!C264+'at Min'!C264+'vs Bal'!C264+'vs Det'!C264+'at Cle'!C264+'vs LA'!C264+'at Det'!C264+'vs NY'!C264+'vs StL'!C264+'vs GB'!C264+'at SF'!C264+'vs Min'!C264+'at Atl'!C264+'Gm 15'!C264+'Gm 16'!C264</f>
        <v>0</v>
      </c>
      <c r="D264">
        <f>+'at Pit'!D264+'at GB'!D264+'at Min'!D264+'vs Bal'!D264+'vs Det'!D264+'at Cle'!D264+'vs LA'!D264+'at Det'!D264+'vs NY'!D264+'vs StL'!D264+'vs GB'!D264+'at SF'!D264+'vs Min'!D264+'at Atl'!D264+'Gm 15'!D264+'Gm 16'!D264</f>
        <v>0</v>
      </c>
      <c r="E264">
        <f>MAX('at Pit'!E264,'at GB'!E264,'at Min'!E264,'vs Bal'!E264,'vs Det'!E264,'at Cle'!E264,'vs LA'!E264,'at Det'!E264,'vs NY'!E264,'vs StL'!E264,'vs GB'!E264,'at SF'!E264,'vs Min'!E264,'at Atl'!E264,'Gm 15'!E264,'Gm 16'!E264)</f>
        <v>0</v>
      </c>
      <c r="F264">
        <f>+'at Pit'!F264+'at GB'!F264+'at Min'!F264+'vs Bal'!F264+'vs Det'!F264+'at Cle'!F264+'vs LA'!F264+'at Det'!F264+'vs NY'!F264+'vs StL'!F264+'vs GB'!F264+'at SF'!F264+'vs Min'!F264+'at Atl'!F264+'Gm 15'!F264+'Gm 16'!F264</f>
        <v>0</v>
      </c>
      <c r="G264">
        <f>+'at Pit'!G264+'at GB'!G264+'at Min'!G264+'vs Bal'!G264+'vs Det'!G264+'at Cle'!G264+'vs LA'!G264+'at Det'!G264+'vs NY'!G264+'vs StL'!G264+'vs GB'!G264+'at SF'!G264+'vs Min'!G264+'at Atl'!G264+'Gm 15'!G264+'Gm 16'!G264</f>
        <v>0</v>
      </c>
    </row>
    <row r="265" spans="3:7" ht="12">
      <c r="C265">
        <f>+'at Pit'!C265+'at GB'!C265+'at Min'!C265+'vs Bal'!C265+'vs Det'!C265+'at Cle'!C265+'vs LA'!C265+'at Det'!C265+'vs NY'!C265+'vs StL'!C265+'vs GB'!C265+'at SF'!C265+'vs Min'!C265+'at Atl'!C265+'Gm 15'!C265+'Gm 16'!C265</f>
        <v>0</v>
      </c>
      <c r="D265">
        <f>+'at Pit'!D265+'at GB'!D265+'at Min'!D265+'vs Bal'!D265+'vs Det'!D265+'at Cle'!D265+'vs LA'!D265+'at Det'!D265+'vs NY'!D265+'vs StL'!D265+'vs GB'!D265+'at SF'!D265+'vs Min'!D265+'at Atl'!D265+'Gm 15'!D265+'Gm 16'!D265</f>
        <v>0</v>
      </c>
      <c r="E265">
        <f>MAX('at Pit'!E265,'at GB'!E265,'at Min'!E265,'vs Bal'!E265,'vs Det'!E265,'at Cle'!E265,'vs LA'!E265,'at Det'!E265,'vs NY'!E265,'vs StL'!E265,'vs GB'!E265,'at SF'!E265,'vs Min'!E265,'at Atl'!E265,'Gm 15'!E265,'Gm 16'!E265)</f>
        <v>0</v>
      </c>
      <c r="F265">
        <f>+'at Pit'!F265+'at GB'!F265+'at Min'!F265+'vs Bal'!F265+'vs Det'!F265+'at Cle'!F265+'vs LA'!F265+'at Det'!F265+'vs NY'!F265+'vs StL'!F265+'vs GB'!F265+'at SF'!F265+'vs Min'!F265+'at Atl'!F265+'Gm 15'!F265+'Gm 16'!F265</f>
        <v>0</v>
      </c>
      <c r="G265">
        <f>+'at Pit'!G265+'at GB'!G265+'at Min'!G265+'vs Bal'!G265+'vs Det'!G265+'at Cle'!G265+'vs LA'!G265+'at Det'!G265+'vs NY'!G265+'vs StL'!G265+'vs GB'!G265+'at SF'!G265+'vs Min'!G265+'at Atl'!G265+'Gm 15'!G265+'Gm 16'!G265</f>
        <v>0</v>
      </c>
    </row>
    <row r="266" spans="3:7" ht="12">
      <c r="C266">
        <f>+'at Pit'!C266+'at GB'!C266+'at Min'!C266+'vs Bal'!C266+'vs Det'!C266+'at Cle'!C266+'vs LA'!C266+'at Det'!C266+'vs NY'!C266+'vs StL'!C266+'vs GB'!C266+'at SF'!C266+'vs Min'!C266+'at Atl'!C266+'Gm 15'!C266+'Gm 16'!C266</f>
        <v>0</v>
      </c>
      <c r="D266">
        <f>+'at Pit'!D266+'at GB'!D266+'at Min'!D266+'vs Bal'!D266+'vs Det'!D266+'at Cle'!D266+'vs LA'!D266+'at Det'!D266+'vs NY'!D266+'vs StL'!D266+'vs GB'!D266+'at SF'!D266+'vs Min'!D266+'at Atl'!D266+'Gm 15'!D266+'Gm 16'!D266</f>
        <v>0</v>
      </c>
      <c r="E266">
        <f>MAX('at Pit'!E266,'at GB'!E266,'at Min'!E266,'vs Bal'!E266,'vs Det'!E266,'at Cle'!E266,'vs LA'!E266,'at Det'!E266,'vs NY'!E266,'vs StL'!E266,'vs GB'!E266,'at SF'!E266,'vs Min'!E266,'at Atl'!E266,'Gm 15'!E266,'Gm 16'!E266)</f>
        <v>0</v>
      </c>
      <c r="F266">
        <f>+'at Pit'!F266+'at GB'!F266+'at Min'!F266+'vs Bal'!F266+'vs Det'!F266+'at Cle'!F266+'vs LA'!F266+'at Det'!F266+'vs NY'!F266+'vs StL'!F266+'vs GB'!F266+'at SF'!F266+'vs Min'!F266+'at Atl'!F266+'Gm 15'!F266+'Gm 16'!F266</f>
        <v>0</v>
      </c>
      <c r="G266">
        <f>+'at Pit'!G266+'at GB'!G266+'at Min'!G266+'vs Bal'!G266+'vs Det'!G266+'at Cle'!G266+'vs LA'!G266+'at Det'!G266+'vs NY'!G266+'vs StL'!G266+'vs GB'!G266+'at SF'!G266+'vs Min'!G266+'at Atl'!G266+'Gm 15'!G266+'Gm 16'!G266</f>
        <v>0</v>
      </c>
    </row>
  </sheetData>
  <sheetProtection/>
  <mergeCells count="5">
    <mergeCell ref="L160:M160"/>
    <mergeCell ref="N160:O160"/>
    <mergeCell ref="P160:Q160"/>
    <mergeCell ref="R160:S160"/>
    <mergeCell ref="T160:U160"/>
  </mergeCell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53"/>
  <sheetViews>
    <sheetView zoomScale="125" zoomScaleNormal="125" workbookViewId="0" topLeftCell="A1">
      <selection activeCell="A122" sqref="A122:G124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Chicago Bears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31</v>
      </c>
      <c r="H6" s="1" t="s">
        <v>29</v>
      </c>
      <c r="M6" s="2">
        <v>8</v>
      </c>
    </row>
    <row r="7" spans="1:13" ht="12">
      <c r="A7" s="16" t="s">
        <v>95</v>
      </c>
      <c r="D7" s="2">
        <v>10</v>
      </c>
      <c r="H7" s="16" t="s">
        <v>95</v>
      </c>
      <c r="M7" s="2">
        <v>2</v>
      </c>
    </row>
    <row r="8" spans="1:13" ht="12">
      <c r="A8" s="16" t="s">
        <v>96</v>
      </c>
      <c r="D8" s="2">
        <v>15</v>
      </c>
      <c r="H8" s="16" t="s">
        <v>96</v>
      </c>
      <c r="M8" s="2">
        <v>4</v>
      </c>
    </row>
    <row r="9" spans="1:13" ht="12">
      <c r="A9" s="16" t="s">
        <v>97</v>
      </c>
      <c r="D9" s="2">
        <v>6</v>
      </c>
      <c r="H9" s="16" t="s">
        <v>97</v>
      </c>
      <c r="M9" s="2">
        <v>2</v>
      </c>
    </row>
    <row r="10" spans="1:14" ht="12">
      <c r="A10" s="18" t="s">
        <v>108</v>
      </c>
      <c r="C10">
        <v>8</v>
      </c>
      <c r="D10" s="2">
        <v>13</v>
      </c>
      <c r="E10" s="19">
        <f>+C10/D10</f>
        <v>0.6153846153846154</v>
      </c>
      <c r="H10" s="18" t="s">
        <v>108</v>
      </c>
      <c r="L10">
        <v>1</v>
      </c>
      <c r="M10" s="2">
        <v>9</v>
      </c>
      <c r="N10" s="19">
        <f>+L10/M10</f>
        <v>0.1111111111111111</v>
      </c>
    </row>
    <row r="11" spans="1:14" ht="12">
      <c r="A11" s="18" t="s">
        <v>119</v>
      </c>
      <c r="C11">
        <v>1</v>
      </c>
      <c r="D11" s="2">
        <v>1</v>
      </c>
      <c r="E11" s="19"/>
      <c r="H11" s="18" t="s">
        <v>119</v>
      </c>
      <c r="L11">
        <v>0</v>
      </c>
      <c r="M11" s="2">
        <v>0</v>
      </c>
      <c r="N11" s="19"/>
    </row>
    <row r="13" spans="1:23" ht="12">
      <c r="A13" t="s">
        <v>1</v>
      </c>
      <c r="D13" s="2">
        <f>19+5+8+3+6+3+1</f>
        <v>45</v>
      </c>
      <c r="H13" t="s">
        <v>1</v>
      </c>
      <c r="M13" s="2">
        <f>5+5+3+1+2</f>
        <v>16</v>
      </c>
      <c r="V13">
        <f>+D13</f>
        <v>45</v>
      </c>
      <c r="W13">
        <f>+M13</f>
        <v>16</v>
      </c>
    </row>
    <row r="14" spans="1:23" ht="12">
      <c r="A14" t="s">
        <v>2</v>
      </c>
      <c r="D14" s="2">
        <f>95+2+45+13-2+20+24</f>
        <v>197</v>
      </c>
      <c r="H14" t="s">
        <v>2</v>
      </c>
      <c r="M14" s="2">
        <f>11+12+1+12+8</f>
        <v>44</v>
      </c>
      <c r="P14" s="13"/>
      <c r="U14" s="13"/>
      <c r="V14">
        <f>+D18</f>
        <v>20</v>
      </c>
      <c r="W14">
        <f>+M18</f>
        <v>10</v>
      </c>
    </row>
    <row r="15" spans="1:23" ht="12">
      <c r="A15" s="1" t="s">
        <v>3</v>
      </c>
      <c r="D15" s="8">
        <f>+D14/D13</f>
        <v>4.377777777777778</v>
      </c>
      <c r="H15" s="1" t="s">
        <v>3</v>
      </c>
      <c r="M15" s="8">
        <f>+M14/M13</f>
        <v>2.75</v>
      </c>
      <c r="V15">
        <f>+(D17-D18)/2</f>
        <v>3</v>
      </c>
      <c r="W15">
        <f>+(M17-M18)/2</f>
        <v>7.5</v>
      </c>
    </row>
    <row r="16" spans="22:23" ht="12">
      <c r="V16">
        <f>+D40/2</f>
        <v>0.5</v>
      </c>
      <c r="W16">
        <f>+M40/2</f>
        <v>3.5</v>
      </c>
    </row>
    <row r="17" spans="1:23" ht="12">
      <c r="A17" t="s">
        <v>4</v>
      </c>
      <c r="D17" s="2">
        <v>26</v>
      </c>
      <c r="H17" t="s">
        <v>4</v>
      </c>
      <c r="M17" s="2">
        <v>25</v>
      </c>
      <c r="V17">
        <f>+D44/2</f>
        <v>3</v>
      </c>
      <c r="W17">
        <f>+M44/2</f>
        <v>0.5</v>
      </c>
    </row>
    <row r="18" spans="1:23" ht="12">
      <c r="A18" t="s">
        <v>5</v>
      </c>
      <c r="D18" s="2">
        <v>20</v>
      </c>
      <c r="H18" t="s">
        <v>5</v>
      </c>
      <c r="M18" s="2">
        <v>10</v>
      </c>
      <c r="V18">
        <f>+D50/2</f>
        <v>0.5</v>
      </c>
      <c r="W18">
        <f>+M50/2</f>
        <v>4</v>
      </c>
    </row>
    <row r="19" spans="1:13" ht="12">
      <c r="A19" t="s">
        <v>6</v>
      </c>
      <c r="D19" s="8">
        <f>+D18/D17*100</f>
        <v>76.92307692307693</v>
      </c>
      <c r="H19" t="s">
        <v>6</v>
      </c>
      <c r="M19" s="8">
        <f>+M18/M17*100</f>
        <v>40</v>
      </c>
    </row>
    <row r="20" spans="1:24" ht="12">
      <c r="A20" t="s">
        <v>7</v>
      </c>
      <c r="D20" s="2">
        <f>124+95</f>
        <v>219</v>
      </c>
      <c r="H20" t="s">
        <v>7</v>
      </c>
      <c r="M20" s="2">
        <f>55+56</f>
        <v>111</v>
      </c>
      <c r="V20">
        <f>SUM(V13:V18)</f>
        <v>72</v>
      </c>
      <c r="W20">
        <f>SUM(W13:W18)</f>
        <v>41.5</v>
      </c>
      <c r="X20">
        <f>+W20+V20</f>
        <v>113.5</v>
      </c>
    </row>
    <row r="21" spans="1:23" ht="12">
      <c r="A21" t="s">
        <v>8</v>
      </c>
      <c r="D21" s="2">
        <v>1</v>
      </c>
      <c r="H21" t="s">
        <v>8</v>
      </c>
      <c r="M21" s="2">
        <v>3</v>
      </c>
      <c r="V21">
        <f>+V20/X20</f>
        <v>0.6343612334801763</v>
      </c>
      <c r="W21">
        <f>+W20/X20</f>
        <v>0.3656387665198238</v>
      </c>
    </row>
    <row r="22" spans="1:23" ht="12">
      <c r="A22" t="s">
        <v>9</v>
      </c>
      <c r="D22" s="2">
        <v>0</v>
      </c>
      <c r="H22" t="s">
        <v>9</v>
      </c>
      <c r="M22" s="2">
        <f>5+9+7</f>
        <v>21</v>
      </c>
      <c r="V22">
        <f>+V21*60</f>
        <v>38.06167400881058</v>
      </c>
      <c r="W22">
        <f>+W21*60</f>
        <v>21.938325991189426</v>
      </c>
    </row>
    <row r="23" spans="1:23" ht="12">
      <c r="A23" t="s">
        <v>10</v>
      </c>
      <c r="D23">
        <f>+D20-D22</f>
        <v>219</v>
      </c>
      <c r="H23" t="s">
        <v>10</v>
      </c>
      <c r="M23">
        <f>+M20-M22</f>
        <v>90</v>
      </c>
      <c r="V23">
        <f>+V22-INT(V22)</f>
        <v>0.06167400881057716</v>
      </c>
      <c r="W23">
        <f>+W22-INT(W22)</f>
        <v>0.9383259911894264</v>
      </c>
    </row>
    <row r="24" spans="1:23" ht="12">
      <c r="A24" t="s">
        <v>11</v>
      </c>
      <c r="D24" s="7">
        <f>+D23/(D17+D21)</f>
        <v>8.11111111111111</v>
      </c>
      <c r="H24" t="s">
        <v>11</v>
      </c>
      <c r="M24" s="7">
        <f>+M23/(M17+M21)</f>
        <v>3.2142857142857144</v>
      </c>
      <c r="V24">
        <f>+V23*60</f>
        <v>3.70044052863463</v>
      </c>
      <c r="W24">
        <f>+W23*60</f>
        <v>56.29955947136558</v>
      </c>
    </row>
    <row r="25" spans="1:23" ht="12">
      <c r="A25" t="s">
        <v>12</v>
      </c>
      <c r="D25" s="7">
        <f>+D20/D18</f>
        <v>10.95</v>
      </c>
      <c r="H25" t="s">
        <v>12</v>
      </c>
      <c r="M25" s="7">
        <f>+M20/M18</f>
        <v>11.1</v>
      </c>
      <c r="Q25" s="11"/>
      <c r="U25">
        <v>0</v>
      </c>
      <c r="V25" s="11">
        <f>ROUND(V24,0)</f>
        <v>4</v>
      </c>
      <c r="W25">
        <f>ROUND(W24,0)</f>
        <v>56</v>
      </c>
    </row>
    <row r="26" spans="22:23" ht="12">
      <c r="V26">
        <f>INT(V22)</f>
        <v>38</v>
      </c>
      <c r="W26">
        <f>INT(W22)</f>
        <v>21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416</v>
      </c>
      <c r="H28" t="s">
        <v>14</v>
      </c>
      <c r="M28">
        <f>+M23+M14</f>
        <v>134</v>
      </c>
      <c r="Q28" s="14"/>
      <c r="R28" s="9"/>
      <c r="V28" s="14" t="str">
        <f>+V26&amp;V27&amp;V25</f>
        <v>38:4</v>
      </c>
      <c r="W28" s="9" t="str">
        <f>+W26&amp;W27&amp;W25</f>
        <v>21:56</v>
      </c>
    </row>
    <row r="29" spans="1:23" ht="12">
      <c r="A29" t="s">
        <v>15</v>
      </c>
      <c r="D29" s="7">
        <f>+D14/D28*100</f>
        <v>47.355769230769226</v>
      </c>
      <c r="H29" t="s">
        <v>15</v>
      </c>
      <c r="M29" s="7">
        <f>+M14/M28*100</f>
        <v>32.83582089552239</v>
      </c>
      <c r="Q29" s="9"/>
      <c r="R29" s="9"/>
      <c r="V29" s="9" t="str">
        <f>IF(V25&lt;10,+V26&amp;V27&amp;$U$25&amp;V25,+V26&amp;V27&amp;V25)</f>
        <v>38:04</v>
      </c>
      <c r="W29" s="9" t="str">
        <f>IF(W25&lt;10,+W26&amp;W27&amp;$U$25&amp;W25,+W26&amp;W27&amp;W25)</f>
        <v>21:56</v>
      </c>
    </row>
    <row r="30" spans="1:16" ht="12">
      <c r="A30" s="1" t="s">
        <v>90</v>
      </c>
      <c r="D30" s="7">
        <f>+D23/D28*100</f>
        <v>52.644230769230774</v>
      </c>
      <c r="H30" s="1" t="s">
        <v>90</v>
      </c>
      <c r="M30" s="7">
        <f>+M23/M28*100</f>
        <v>67.16417910447761</v>
      </c>
      <c r="P30" s="13"/>
    </row>
    <row r="32" spans="1:13" ht="12">
      <c r="A32" t="s">
        <v>16</v>
      </c>
      <c r="D32">
        <f>+D13+D17+D21</f>
        <v>72</v>
      </c>
      <c r="H32" t="s">
        <v>16</v>
      </c>
      <c r="M32">
        <f>+M13+M17+M21</f>
        <v>44</v>
      </c>
    </row>
    <row r="33" spans="1:14" ht="12">
      <c r="A33" t="s">
        <v>17</v>
      </c>
      <c r="C33" s="7"/>
      <c r="D33" s="8">
        <f>+D28/D32</f>
        <v>5.777777777777778</v>
      </c>
      <c r="F33" s="7"/>
      <c r="G33" s="7"/>
      <c r="H33" s="7" t="s">
        <v>17</v>
      </c>
      <c r="I33" s="7"/>
      <c r="J33" s="7"/>
      <c r="K33" s="7"/>
      <c r="M33" s="8">
        <f>+M28/M32</f>
        <v>3.0454545454545454</v>
      </c>
      <c r="N33" s="7"/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0</v>
      </c>
      <c r="H36" t="s">
        <v>19</v>
      </c>
      <c r="M36" s="2">
        <v>2</v>
      </c>
    </row>
    <row r="37" spans="1:13" ht="12">
      <c r="A37" t="s">
        <v>20</v>
      </c>
      <c r="D37" s="2">
        <v>0</v>
      </c>
      <c r="H37" t="s">
        <v>20</v>
      </c>
      <c r="M37" s="2">
        <v>3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1</v>
      </c>
      <c r="H40" t="s">
        <v>22</v>
      </c>
      <c r="M40" s="2">
        <v>7</v>
      </c>
    </row>
    <row r="41" spans="1:13" ht="12">
      <c r="A41" t="s">
        <v>23</v>
      </c>
      <c r="D41" s="2">
        <v>41</v>
      </c>
      <c r="H41" t="s">
        <v>23</v>
      </c>
      <c r="M41" s="2">
        <f>41+40+48+42+42+41+52</f>
        <v>306</v>
      </c>
    </row>
    <row r="42" spans="1:14" ht="12">
      <c r="A42" t="s">
        <v>24</v>
      </c>
      <c r="C42" s="7"/>
      <c r="D42" s="8">
        <f>+D41/D40</f>
        <v>41</v>
      </c>
      <c r="F42" s="7"/>
      <c r="G42" s="7"/>
      <c r="H42" s="7" t="s">
        <v>24</v>
      </c>
      <c r="I42" s="7"/>
      <c r="J42" s="7"/>
      <c r="K42" s="7"/>
      <c r="M42" s="8">
        <f>+M41/M40</f>
        <v>43.714285714285715</v>
      </c>
      <c r="N42" s="7"/>
    </row>
    <row r="44" spans="1:13" ht="12">
      <c r="A44" t="s">
        <v>25</v>
      </c>
      <c r="D44" s="2">
        <v>6</v>
      </c>
      <c r="H44" t="s">
        <v>25</v>
      </c>
      <c r="M44" s="2">
        <v>1</v>
      </c>
    </row>
    <row r="45" spans="1:13" ht="12">
      <c r="A45" t="s">
        <v>26</v>
      </c>
      <c r="D45" s="2">
        <f>20-1+4+4+66+7</f>
        <v>100</v>
      </c>
      <c r="H45" t="s">
        <v>26</v>
      </c>
      <c r="M45" s="2">
        <v>0</v>
      </c>
    </row>
    <row r="46" spans="1:13" ht="12">
      <c r="A46" t="s">
        <v>27</v>
      </c>
      <c r="D46" s="8">
        <f>+D45/D44</f>
        <v>16.666666666666668</v>
      </c>
      <c r="H46" t="s">
        <v>27</v>
      </c>
      <c r="M46" s="8">
        <f>+M45/M44</f>
        <v>0</v>
      </c>
    </row>
    <row r="47" spans="1:13" ht="12">
      <c r="A47" s="18" t="s">
        <v>131</v>
      </c>
      <c r="D47" s="2">
        <v>1</v>
      </c>
      <c r="H47" s="18" t="s">
        <v>131</v>
      </c>
      <c r="M47" s="2">
        <v>0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1</v>
      </c>
      <c r="H50" t="s">
        <v>30</v>
      </c>
      <c r="M50" s="2">
        <v>8</v>
      </c>
    </row>
    <row r="51" spans="1:13" ht="12">
      <c r="A51" t="s">
        <v>26</v>
      </c>
      <c r="D51" s="2">
        <v>50</v>
      </c>
      <c r="H51" t="s">
        <v>26</v>
      </c>
      <c r="M51" s="2">
        <f>25+19+23+10+5+12+15+5</f>
        <v>114</v>
      </c>
    </row>
    <row r="52" spans="1:13" ht="12">
      <c r="A52" t="s">
        <v>27</v>
      </c>
      <c r="D52" s="8">
        <f>+D51/D50</f>
        <v>50</v>
      </c>
      <c r="H52" t="s">
        <v>27</v>
      </c>
      <c r="M52" s="8">
        <f>+M51/M50</f>
        <v>14.25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8</v>
      </c>
      <c r="G55" t="str">
        <f>IF(D55-D56=M50,"ok","err")</f>
        <v>ok</v>
      </c>
      <c r="H55" t="s">
        <v>127</v>
      </c>
      <c r="K55" s="2"/>
      <c r="M55" s="2">
        <v>1</v>
      </c>
      <c r="P55" s="2"/>
    </row>
    <row r="56" spans="1:16" ht="12">
      <c r="A56" t="s">
        <v>128</v>
      </c>
      <c r="D56" s="2">
        <v>0</v>
      </c>
      <c r="H56" t="s">
        <v>128</v>
      </c>
      <c r="K56" s="2"/>
      <c r="M56" s="2">
        <v>0</v>
      </c>
      <c r="P56" s="2"/>
    </row>
    <row r="57" spans="1:13" ht="12">
      <c r="A57" t="s">
        <v>129</v>
      </c>
      <c r="D57">
        <f>+D56/D55</f>
        <v>0</v>
      </c>
      <c r="H57" t="s">
        <v>129</v>
      </c>
      <c r="M57">
        <f>+M56/M55</f>
        <v>0</v>
      </c>
    </row>
    <row r="59" spans="1:13" ht="12">
      <c r="A59" t="s">
        <v>31</v>
      </c>
      <c r="D59" s="2">
        <v>11</v>
      </c>
      <c r="H59" t="s">
        <v>31</v>
      </c>
      <c r="M59" s="2">
        <v>9</v>
      </c>
    </row>
    <row r="60" spans="1:13" ht="12">
      <c r="A60" t="s">
        <v>32</v>
      </c>
      <c r="D60" s="2">
        <v>95</v>
      </c>
      <c r="H60" t="s">
        <v>32</v>
      </c>
      <c r="M60" s="2">
        <v>85</v>
      </c>
    </row>
    <row r="62" spans="1:13" ht="12">
      <c r="A62" t="s">
        <v>33</v>
      </c>
      <c r="D62" s="2">
        <v>1</v>
      </c>
      <c r="H62" t="s">
        <v>33</v>
      </c>
      <c r="M62" s="2">
        <v>0</v>
      </c>
    </row>
    <row r="63" spans="1:13" ht="12">
      <c r="A63" t="s">
        <v>34</v>
      </c>
      <c r="D63" s="2">
        <v>0</v>
      </c>
      <c r="H63" t="s">
        <v>34</v>
      </c>
      <c r="M63" s="2">
        <v>0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0</v>
      </c>
      <c r="H65" t="s">
        <v>36</v>
      </c>
      <c r="M65" s="2">
        <v>1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40</v>
      </c>
      <c r="E68" t="str">
        <f>IF(B68=B69*6+B75*2+B76*3+B73,"ok","ERR")</f>
        <v>ok</v>
      </c>
      <c r="H68" t="s">
        <v>38</v>
      </c>
      <c r="M68" s="2">
        <v>0</v>
      </c>
      <c r="P68" t="str">
        <f>IF(M68=M69*6+M75*2+M76*3+M73,"ok","ERR")</f>
        <v>ok</v>
      </c>
    </row>
    <row r="69" spans="1:13" ht="12">
      <c r="A69" t="s">
        <v>39</v>
      </c>
      <c r="D69" s="2">
        <v>5</v>
      </c>
      <c r="H69" t="s">
        <v>39</v>
      </c>
      <c r="M69" s="2">
        <v>0</v>
      </c>
    </row>
    <row r="70" spans="1:13" ht="12">
      <c r="A70" t="s">
        <v>40</v>
      </c>
      <c r="D70" s="2">
        <v>3</v>
      </c>
      <c r="H70" t="s">
        <v>40</v>
      </c>
      <c r="M70" s="2">
        <v>0</v>
      </c>
    </row>
    <row r="71" spans="1:13" ht="12">
      <c r="A71" t="s">
        <v>41</v>
      </c>
      <c r="D71" s="2">
        <v>2</v>
      </c>
      <c r="H71" t="s">
        <v>41</v>
      </c>
      <c r="M71" s="2">
        <v>0</v>
      </c>
    </row>
    <row r="72" spans="1:13" ht="12">
      <c r="A72" t="s">
        <v>42</v>
      </c>
      <c r="D72" s="2">
        <v>0</v>
      </c>
      <c r="H72" t="s">
        <v>42</v>
      </c>
      <c r="M72" s="2">
        <v>0</v>
      </c>
    </row>
    <row r="73" spans="1:13" ht="12">
      <c r="A73" t="s">
        <v>43</v>
      </c>
      <c r="D73" s="2">
        <v>4</v>
      </c>
      <c r="H73" t="s">
        <v>43</v>
      </c>
      <c r="M73" s="2">
        <v>0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2</v>
      </c>
      <c r="H76" t="s">
        <v>45</v>
      </c>
      <c r="M76" s="2">
        <v>0</v>
      </c>
    </row>
    <row r="77" spans="1:13" ht="12">
      <c r="A77" t="s">
        <v>46</v>
      </c>
      <c r="D77" s="2">
        <v>2</v>
      </c>
      <c r="H77" t="s">
        <v>46</v>
      </c>
      <c r="M77" s="2">
        <v>0</v>
      </c>
    </row>
    <row r="78" spans="1:13" ht="12">
      <c r="A78" t="s">
        <v>47</v>
      </c>
      <c r="D78" s="8">
        <f>+D76/D77*100</f>
        <v>100</v>
      </c>
      <c r="E78" s="7"/>
      <c r="F78" s="7"/>
      <c r="G78" s="7"/>
      <c r="H78" s="7" t="s">
        <v>47</v>
      </c>
      <c r="I78" s="7"/>
      <c r="J78" s="7"/>
      <c r="K78" s="7"/>
      <c r="L78" s="7"/>
      <c r="M78" s="8" t="e">
        <f>+M76/M77*100</f>
        <v>#DIV/0!</v>
      </c>
    </row>
    <row r="79" spans="1:13" ht="12">
      <c r="A79" t="s">
        <v>93</v>
      </c>
      <c r="D79" s="10" t="str">
        <f>IF(V25&lt;10,V29,V28)</f>
        <v>38:04</v>
      </c>
      <c r="E79" s="8"/>
      <c r="F79" s="8"/>
      <c r="H79" t="s">
        <v>93</v>
      </c>
      <c r="M79" s="10">
        <f>IF(AE25&lt;10,AE29,AE28)</f>
        <v>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8" ht="12">
      <c r="A84" t="s">
        <v>134</v>
      </c>
      <c r="C84">
        <v>8</v>
      </c>
      <c r="D84">
        <v>45</v>
      </c>
      <c r="E84" s="12">
        <f>+D84/C84</f>
        <v>5.625</v>
      </c>
      <c r="F84">
        <v>13</v>
      </c>
      <c r="G84">
        <v>0</v>
      </c>
      <c r="H84">
        <v>0</v>
      </c>
    </row>
    <row r="85" spans="1:8" ht="12">
      <c r="A85" t="s">
        <v>135</v>
      </c>
      <c r="C85">
        <v>3</v>
      </c>
      <c r="D85">
        <v>20</v>
      </c>
      <c r="E85" s="12">
        <f>+D85/C85</f>
        <v>6.666666666666667</v>
      </c>
      <c r="F85">
        <v>10</v>
      </c>
      <c r="G85">
        <v>0</v>
      </c>
      <c r="H85">
        <v>0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8" ht="12">
      <c r="A87" t="s">
        <v>137</v>
      </c>
      <c r="C87">
        <v>1</v>
      </c>
      <c r="D87">
        <v>24</v>
      </c>
      <c r="E87" s="12">
        <f t="shared" si="0"/>
        <v>24</v>
      </c>
      <c r="F87">
        <v>24</v>
      </c>
      <c r="G87">
        <v>0</v>
      </c>
      <c r="H87">
        <v>0</v>
      </c>
    </row>
    <row r="88" spans="1:8" ht="12">
      <c r="A88" t="s">
        <v>138</v>
      </c>
      <c r="C88">
        <v>3</v>
      </c>
      <c r="D88">
        <v>13</v>
      </c>
      <c r="E88" s="12">
        <f t="shared" si="0"/>
        <v>4.333333333333333</v>
      </c>
      <c r="F88">
        <v>8</v>
      </c>
      <c r="G88">
        <v>0</v>
      </c>
      <c r="H88">
        <v>0</v>
      </c>
    </row>
    <row r="89" spans="1:8" ht="12">
      <c r="A89" t="s">
        <v>139</v>
      </c>
      <c r="C89">
        <v>6</v>
      </c>
      <c r="D89">
        <v>-2</v>
      </c>
      <c r="E89" s="12">
        <f t="shared" si="0"/>
        <v>-0.3333333333333333</v>
      </c>
      <c r="F89">
        <v>5</v>
      </c>
      <c r="G89">
        <v>0</v>
      </c>
      <c r="H89">
        <v>1</v>
      </c>
    </row>
    <row r="90" spans="1:5" ht="12">
      <c r="A90" t="s">
        <v>140</v>
      </c>
      <c r="E90" s="12" t="e">
        <f t="shared" si="0"/>
        <v>#DIV/0!</v>
      </c>
    </row>
    <row r="91" spans="1:8" ht="12">
      <c r="A91" t="s">
        <v>141</v>
      </c>
      <c r="C91">
        <v>5</v>
      </c>
      <c r="D91">
        <v>2</v>
      </c>
      <c r="E91" s="12">
        <f t="shared" si="0"/>
        <v>0.4</v>
      </c>
      <c r="F91">
        <v>5</v>
      </c>
      <c r="G91">
        <v>0</v>
      </c>
      <c r="H91">
        <v>0</v>
      </c>
    </row>
    <row r="92" spans="1:5" ht="12">
      <c r="A92" t="s">
        <v>142</v>
      </c>
      <c r="E92" s="12" t="e">
        <f t="shared" si="0"/>
        <v>#DIV/0!</v>
      </c>
    </row>
    <row r="93" spans="1:8" ht="12">
      <c r="A93" t="s">
        <v>143</v>
      </c>
      <c r="C93">
        <v>19</v>
      </c>
      <c r="D93">
        <v>95</v>
      </c>
      <c r="E93" s="12">
        <f>+D93/C93</f>
        <v>5</v>
      </c>
      <c r="F93">
        <v>20</v>
      </c>
      <c r="G93">
        <v>3</v>
      </c>
      <c r="H93">
        <v>0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8" ht="12">
      <c r="A101" t="s">
        <v>134</v>
      </c>
      <c r="C101">
        <v>5</v>
      </c>
      <c r="D101">
        <v>77</v>
      </c>
      <c r="E101" s="12">
        <f aca="true" t="shared" si="1" ref="E101:E112">+D101/C101</f>
        <v>15.4</v>
      </c>
      <c r="F101">
        <v>27</v>
      </c>
      <c r="G101">
        <v>0</v>
      </c>
      <c r="H101">
        <v>0</v>
      </c>
    </row>
    <row r="102" spans="1:8" ht="12">
      <c r="A102" t="s">
        <v>144</v>
      </c>
      <c r="C102">
        <v>3</v>
      </c>
      <c r="D102">
        <v>25</v>
      </c>
      <c r="E102" s="12">
        <f t="shared" si="1"/>
        <v>8.333333333333334</v>
      </c>
      <c r="F102">
        <v>10</v>
      </c>
      <c r="G102">
        <v>0</v>
      </c>
      <c r="H102">
        <v>0</v>
      </c>
    </row>
    <row r="103" spans="1:8" ht="12">
      <c r="A103" t="s">
        <v>136</v>
      </c>
      <c r="C103">
        <v>4</v>
      </c>
      <c r="D103">
        <v>58</v>
      </c>
      <c r="E103" s="12">
        <f t="shared" si="1"/>
        <v>14.5</v>
      </c>
      <c r="F103">
        <v>26</v>
      </c>
      <c r="G103">
        <v>2</v>
      </c>
      <c r="H103">
        <v>0</v>
      </c>
    </row>
    <row r="104" spans="1:5" ht="12">
      <c r="A104" t="s">
        <v>145</v>
      </c>
      <c r="E104" s="12" t="e">
        <f t="shared" si="1"/>
        <v>#DIV/0!</v>
      </c>
    </row>
    <row r="105" spans="1:5" ht="12">
      <c r="A105" t="s">
        <v>137</v>
      </c>
      <c r="E105" s="12" t="e">
        <f t="shared" si="1"/>
        <v>#DIV/0!</v>
      </c>
    </row>
    <row r="106" spans="1:8" ht="12">
      <c r="A106" t="s">
        <v>138</v>
      </c>
      <c r="C106">
        <v>1</v>
      </c>
      <c r="D106">
        <v>-2</v>
      </c>
      <c r="E106" s="12">
        <f t="shared" si="1"/>
        <v>-2</v>
      </c>
      <c r="F106">
        <v>-2</v>
      </c>
      <c r="G106">
        <v>0</v>
      </c>
      <c r="H106">
        <v>0</v>
      </c>
    </row>
    <row r="107" spans="1:5" ht="12">
      <c r="A107" t="s">
        <v>139</v>
      </c>
      <c r="E107" s="12" t="e">
        <f t="shared" si="1"/>
        <v>#DIV/0!</v>
      </c>
    </row>
    <row r="108" spans="1:8" ht="12">
      <c r="A108" t="s">
        <v>140</v>
      </c>
      <c r="C108">
        <v>3</v>
      </c>
      <c r="D108">
        <v>26</v>
      </c>
      <c r="E108" s="12">
        <f t="shared" si="1"/>
        <v>8.666666666666666</v>
      </c>
      <c r="F108">
        <v>18</v>
      </c>
      <c r="G108">
        <v>0</v>
      </c>
      <c r="H108">
        <v>0</v>
      </c>
    </row>
    <row r="109" spans="1:8" ht="12">
      <c r="A109" t="s">
        <v>141</v>
      </c>
      <c r="C109">
        <v>2</v>
      </c>
      <c r="D109">
        <v>23</v>
      </c>
      <c r="E109" s="12">
        <f t="shared" si="1"/>
        <v>11.5</v>
      </c>
      <c r="F109">
        <v>13</v>
      </c>
      <c r="G109">
        <v>0</v>
      </c>
      <c r="H109">
        <v>0</v>
      </c>
    </row>
    <row r="110" spans="1:8" ht="12">
      <c r="A110" t="s">
        <v>143</v>
      </c>
      <c r="C110">
        <v>2</v>
      </c>
      <c r="D110">
        <v>12</v>
      </c>
      <c r="E110" s="12">
        <f t="shared" si="1"/>
        <v>6</v>
      </c>
      <c r="F110">
        <v>7</v>
      </c>
      <c r="G110">
        <v>0</v>
      </c>
      <c r="H110">
        <v>0</v>
      </c>
    </row>
    <row r="111" spans="1:5" ht="12">
      <c r="A111" t="s">
        <v>146</v>
      </c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133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C122">
        <v>7</v>
      </c>
      <c r="D122">
        <v>5</v>
      </c>
      <c r="E122" s="12">
        <f t="shared" si="2"/>
        <v>71.42857142857143</v>
      </c>
      <c r="F122">
        <v>95</v>
      </c>
      <c r="G122">
        <v>1</v>
      </c>
      <c r="H122">
        <v>27</v>
      </c>
      <c r="I122">
        <v>0</v>
      </c>
      <c r="J122" s="8">
        <f t="shared" si="3"/>
        <v>14.285714285714285</v>
      </c>
      <c r="K122" s="12">
        <f t="shared" si="4"/>
        <v>0</v>
      </c>
      <c r="L122" s="12">
        <f t="shared" si="5"/>
        <v>13.571428571428571</v>
      </c>
      <c r="M122" s="12">
        <f t="shared" si="6"/>
        <v>153.27380952380952</v>
      </c>
      <c r="N122">
        <v>0</v>
      </c>
      <c r="O122">
        <v>1</v>
      </c>
      <c r="R122">
        <f t="shared" si="7"/>
        <v>2.0714285714285716</v>
      </c>
      <c r="S122" s="2">
        <f t="shared" si="8"/>
        <v>2.0714285714285716</v>
      </c>
      <c r="T122" s="6">
        <f t="shared" si="9"/>
        <v>2.642857142857143</v>
      </c>
      <c r="U122" s="2">
        <f t="shared" si="10"/>
        <v>2.375</v>
      </c>
      <c r="V122">
        <f t="shared" si="11"/>
        <v>2.8571428571428568</v>
      </c>
      <c r="W122" s="2">
        <f t="shared" si="12"/>
        <v>2.375</v>
      </c>
      <c r="X122">
        <f t="shared" si="13"/>
        <v>2.375</v>
      </c>
      <c r="Y122" s="2">
        <f t="shared" si="14"/>
        <v>2.375</v>
      </c>
    </row>
    <row r="123" spans="1:25" ht="12">
      <c r="A123" t="s">
        <v>147</v>
      </c>
      <c r="E123" s="12" t="e">
        <f t="shared" si="2"/>
        <v>#DIV/0!</v>
      </c>
      <c r="J123" s="8" t="e">
        <f t="shared" si="3"/>
        <v>#DIV/0!</v>
      </c>
      <c r="K123" s="12" t="e">
        <f t="shared" si="4"/>
        <v>#DIV/0!</v>
      </c>
      <c r="L123" s="12" t="e">
        <f t="shared" si="5"/>
        <v>#DIV/0!</v>
      </c>
      <c r="M123" s="12" t="e">
        <f t="shared" si="6"/>
        <v>#DIV/0!</v>
      </c>
      <c r="R123" t="e">
        <f t="shared" si="7"/>
        <v>#DIV/0!</v>
      </c>
      <c r="S123" s="2" t="e">
        <f t="shared" si="8"/>
        <v>#DIV/0!</v>
      </c>
      <c r="T123" s="6" t="e">
        <f t="shared" si="9"/>
        <v>#DIV/0!</v>
      </c>
      <c r="U123" s="2" t="e">
        <f t="shared" si="10"/>
        <v>#DIV/0!</v>
      </c>
      <c r="V123" t="e">
        <f t="shared" si="11"/>
        <v>#DIV/0!</v>
      </c>
      <c r="W123" s="2" t="e">
        <f t="shared" si="12"/>
        <v>#DIV/0!</v>
      </c>
      <c r="X123" t="e">
        <f t="shared" si="13"/>
        <v>#DIV/0!</v>
      </c>
      <c r="Y123" s="2" t="e">
        <f t="shared" si="14"/>
        <v>#DIV/0!</v>
      </c>
    </row>
    <row r="124" spans="1:25" ht="12">
      <c r="A124" t="s">
        <v>142</v>
      </c>
      <c r="C124">
        <v>19</v>
      </c>
      <c r="D124">
        <v>15</v>
      </c>
      <c r="E124" s="12">
        <f t="shared" si="2"/>
        <v>78.94736842105263</v>
      </c>
      <c r="F124">
        <v>124</v>
      </c>
      <c r="G124">
        <v>1</v>
      </c>
      <c r="H124">
        <v>17</v>
      </c>
      <c r="I124">
        <v>0</v>
      </c>
      <c r="J124" s="8">
        <f t="shared" si="3"/>
        <v>5.263157894736842</v>
      </c>
      <c r="K124" s="12">
        <f t="shared" si="4"/>
        <v>0</v>
      </c>
      <c r="L124" s="12">
        <f t="shared" si="5"/>
        <v>6.526315789473684</v>
      </c>
      <c r="M124" s="12">
        <f t="shared" si="6"/>
        <v>111.40350877192982</v>
      </c>
      <c r="N124">
        <v>0</v>
      </c>
      <c r="O124">
        <v>0</v>
      </c>
      <c r="R124">
        <f t="shared" si="7"/>
        <v>2.4473684210526314</v>
      </c>
      <c r="S124" s="2">
        <f t="shared" si="8"/>
        <v>2.375</v>
      </c>
      <c r="T124" s="6">
        <f t="shared" si="9"/>
        <v>0.881578947368421</v>
      </c>
      <c r="U124" s="2">
        <f t="shared" si="10"/>
        <v>0.881578947368421</v>
      </c>
      <c r="V124">
        <f t="shared" si="11"/>
        <v>1.0526315789473684</v>
      </c>
      <c r="W124" s="2">
        <f t="shared" si="12"/>
        <v>1.0526315789473684</v>
      </c>
      <c r="X124">
        <f t="shared" si="13"/>
        <v>2.375</v>
      </c>
      <c r="Y124" s="2">
        <f t="shared" si="14"/>
        <v>2.375</v>
      </c>
    </row>
    <row r="125" spans="1:25" ht="12">
      <c r="A125" t="s">
        <v>143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5:25" ht="12"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8" spans="1:9" ht="12">
      <c r="A128" s="2" t="s">
        <v>71</v>
      </c>
      <c r="C128" s="3" t="s">
        <v>72</v>
      </c>
      <c r="D128" s="3" t="s">
        <v>73</v>
      </c>
      <c r="E128" s="3" t="s">
        <v>74</v>
      </c>
      <c r="F128" s="3" t="s">
        <v>53</v>
      </c>
      <c r="G128" s="3" t="s">
        <v>64</v>
      </c>
      <c r="H128" s="3" t="s">
        <v>55</v>
      </c>
      <c r="I128" s="3" t="s">
        <v>84</v>
      </c>
    </row>
    <row r="129" spans="1:6" ht="12">
      <c r="A129" t="s">
        <v>148</v>
      </c>
      <c r="F129" s="12" t="e">
        <f aca="true" t="shared" si="15" ref="F129:F134">+E129/C129</f>
        <v>#DIV/0!</v>
      </c>
    </row>
    <row r="130" spans="1:7" ht="12">
      <c r="A130" t="s">
        <v>136</v>
      </c>
      <c r="C130">
        <v>2</v>
      </c>
      <c r="D130">
        <v>1</v>
      </c>
      <c r="E130">
        <v>73</v>
      </c>
      <c r="F130" s="12">
        <f t="shared" si="15"/>
        <v>36.5</v>
      </c>
      <c r="G130">
        <v>66</v>
      </c>
    </row>
    <row r="131" spans="1:7" ht="12">
      <c r="A131" t="s">
        <v>140</v>
      </c>
      <c r="C131">
        <v>2</v>
      </c>
      <c r="E131">
        <v>19</v>
      </c>
      <c r="F131" s="12">
        <f t="shared" si="15"/>
        <v>9.5</v>
      </c>
      <c r="G131">
        <v>20</v>
      </c>
    </row>
    <row r="132" spans="1:7" ht="12">
      <c r="A132" t="s">
        <v>143</v>
      </c>
      <c r="C132">
        <v>2</v>
      </c>
      <c r="E132">
        <v>8</v>
      </c>
      <c r="F132" s="12">
        <f t="shared" si="15"/>
        <v>4</v>
      </c>
      <c r="G132">
        <v>4</v>
      </c>
    </row>
    <row r="133" ht="12">
      <c r="F133" s="12" t="e">
        <f t="shared" si="15"/>
        <v>#DIV/0!</v>
      </c>
    </row>
    <row r="134" ht="12">
      <c r="F134" s="12" t="e">
        <f t="shared" si="15"/>
        <v>#DIV/0!</v>
      </c>
    </row>
    <row r="138" spans="1:8" ht="12">
      <c r="A138" s="2" t="s">
        <v>30</v>
      </c>
      <c r="C138" s="3" t="s">
        <v>72</v>
      </c>
      <c r="D138" s="3" t="s">
        <v>74</v>
      </c>
      <c r="E138" s="3" t="s">
        <v>53</v>
      </c>
      <c r="F138" s="3" t="s">
        <v>64</v>
      </c>
      <c r="G138" s="3" t="s">
        <v>55</v>
      </c>
      <c r="H138" s="3" t="s">
        <v>84</v>
      </c>
    </row>
    <row r="139" spans="1:5" ht="12">
      <c r="A139" t="s">
        <v>149</v>
      </c>
      <c r="E139" s="12" t="e">
        <f aca="true" t="shared" si="16" ref="E139:E144">+D139/C139</f>
        <v>#DIV/0!</v>
      </c>
    </row>
    <row r="140" spans="1:5" ht="12">
      <c r="A140" t="s">
        <v>148</v>
      </c>
      <c r="E140" s="12" t="e">
        <f t="shared" si="16"/>
        <v>#DIV/0!</v>
      </c>
    </row>
    <row r="141" spans="1:5" ht="12">
      <c r="A141" t="s">
        <v>136</v>
      </c>
      <c r="E141" s="12" t="e">
        <f t="shared" si="16"/>
        <v>#DIV/0!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151</v>
      </c>
      <c r="E143" s="12" t="e">
        <f t="shared" si="16"/>
        <v>#DIV/0!</v>
      </c>
    </row>
    <row r="144" spans="1:5" ht="12">
      <c r="A144" t="s">
        <v>152</v>
      </c>
      <c r="E144" s="12" t="e">
        <f t="shared" si="16"/>
        <v>#DIV/0!</v>
      </c>
    </row>
    <row r="145" spans="1:5" ht="12">
      <c r="A145" t="s">
        <v>138</v>
      </c>
      <c r="E145" s="12" t="e">
        <f aca="true" t="shared" si="17" ref="E145:E151">+D145/C145</f>
        <v>#DIV/0!</v>
      </c>
    </row>
    <row r="146" spans="1:6" ht="12">
      <c r="A146" t="s">
        <v>143</v>
      </c>
      <c r="C146">
        <v>1</v>
      </c>
      <c r="D146">
        <v>50</v>
      </c>
      <c r="E146" s="12">
        <f t="shared" si="17"/>
        <v>50</v>
      </c>
      <c r="F146">
        <v>50</v>
      </c>
    </row>
    <row r="147" spans="1:5" ht="12">
      <c r="A147" t="s">
        <v>146</v>
      </c>
      <c r="E147" s="12" t="e">
        <f t="shared" si="17"/>
        <v>#DIV/0!</v>
      </c>
    </row>
    <row r="148" spans="1:5" ht="12">
      <c r="A148" t="s">
        <v>153</v>
      </c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3" spans="1:8" ht="12">
      <c r="A153" s="2" t="s">
        <v>75</v>
      </c>
      <c r="C153" s="3" t="s">
        <v>72</v>
      </c>
      <c r="D153" s="3" t="s">
        <v>74</v>
      </c>
      <c r="E153" s="3" t="s">
        <v>53</v>
      </c>
      <c r="F153" s="3" t="s">
        <v>64</v>
      </c>
      <c r="G153" s="3" t="s">
        <v>76</v>
      </c>
      <c r="H153" s="3" t="s">
        <v>84</v>
      </c>
    </row>
    <row r="154" spans="1:6" ht="12">
      <c r="A154" t="s">
        <v>154</v>
      </c>
      <c r="C154">
        <v>1</v>
      </c>
      <c r="D154">
        <v>41</v>
      </c>
      <c r="E154" s="12"/>
      <c r="F154">
        <v>41</v>
      </c>
    </row>
    <row r="160" spans="9:21" ht="12">
      <c r="I160" s="5" t="s">
        <v>67</v>
      </c>
      <c r="L160" s="32" t="s">
        <v>99</v>
      </c>
      <c r="M160" s="32"/>
      <c r="N160" s="32" t="s">
        <v>100</v>
      </c>
      <c r="O160" s="32"/>
      <c r="P160" s="32" t="s">
        <v>101</v>
      </c>
      <c r="Q160" s="32"/>
      <c r="R160" s="32" t="s">
        <v>102</v>
      </c>
      <c r="S160" s="32"/>
      <c r="T160" s="32" t="s">
        <v>103</v>
      </c>
      <c r="U160" s="32"/>
    </row>
    <row r="161" spans="1:21" ht="12">
      <c r="A161" s="4" t="s">
        <v>83</v>
      </c>
      <c r="C161" s="3" t="s">
        <v>77</v>
      </c>
      <c r="D161" s="3" t="s">
        <v>78</v>
      </c>
      <c r="E161" s="3" t="s">
        <v>79</v>
      </c>
      <c r="F161" s="3" t="s">
        <v>80</v>
      </c>
      <c r="G161" s="3" t="s">
        <v>81</v>
      </c>
      <c r="H161" s="3" t="s">
        <v>82</v>
      </c>
      <c r="I161" s="3" t="s">
        <v>86</v>
      </c>
      <c r="J161" s="3" t="s">
        <v>64</v>
      </c>
      <c r="L161" s="3" t="s">
        <v>81</v>
      </c>
      <c r="M161" s="3" t="s">
        <v>82</v>
      </c>
      <c r="N161" s="3" t="s">
        <v>81</v>
      </c>
      <c r="O161" s="3" t="s">
        <v>82</v>
      </c>
      <c r="P161" s="3" t="s">
        <v>81</v>
      </c>
      <c r="Q161" s="3" t="s">
        <v>82</v>
      </c>
      <c r="R161" s="3" t="s">
        <v>81</v>
      </c>
      <c r="S161" s="3" t="s">
        <v>82</v>
      </c>
      <c r="T161" s="3" t="s">
        <v>81</v>
      </c>
      <c r="U161" s="3" t="s">
        <v>82</v>
      </c>
    </row>
    <row r="162" spans="1:15" ht="12">
      <c r="A162" t="s">
        <v>155</v>
      </c>
      <c r="C162">
        <v>8</v>
      </c>
      <c r="E162">
        <v>5</v>
      </c>
      <c r="F162">
        <v>4</v>
      </c>
      <c r="G162">
        <v>2</v>
      </c>
      <c r="H162">
        <v>2</v>
      </c>
      <c r="I162" s="12">
        <f aca="true" t="shared" si="18" ref="I162:I169">+H162/G162*100</f>
        <v>100</v>
      </c>
      <c r="J162">
        <v>26</v>
      </c>
      <c r="L162">
        <v>1</v>
      </c>
      <c r="M162">
        <v>1</v>
      </c>
      <c r="N162">
        <v>1</v>
      </c>
      <c r="O162">
        <v>1</v>
      </c>
    </row>
    <row r="163" spans="1:9" ht="12">
      <c r="A163" t="s">
        <v>154</v>
      </c>
      <c r="I163" s="12" t="e">
        <f t="shared" si="18"/>
        <v>#DIV/0!</v>
      </c>
    </row>
    <row r="164" ht="12">
      <c r="I164" s="12" t="e">
        <f t="shared" si="18"/>
        <v>#DIV/0!</v>
      </c>
    </row>
    <row r="165" ht="12">
      <c r="I165" s="12" t="e">
        <f t="shared" si="18"/>
        <v>#DIV/0!</v>
      </c>
    </row>
    <row r="166" ht="12">
      <c r="I166" s="12" t="e">
        <f t="shared" si="18"/>
        <v>#DIV/0!</v>
      </c>
    </row>
    <row r="167" ht="12"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2" spans="1:8" ht="12">
      <c r="A172" s="2" t="s">
        <v>85</v>
      </c>
      <c r="C172" s="3" t="s">
        <v>72</v>
      </c>
      <c r="D172" s="3" t="s">
        <v>74</v>
      </c>
      <c r="E172" s="3" t="s">
        <v>53</v>
      </c>
      <c r="F172" s="3" t="s">
        <v>64</v>
      </c>
      <c r="G172" s="3" t="s">
        <v>55</v>
      </c>
      <c r="H172" s="3" t="s">
        <v>84</v>
      </c>
    </row>
    <row r="173" spans="1:5" ht="12">
      <c r="A173" t="s">
        <v>156</v>
      </c>
      <c r="E173" s="12" t="e">
        <f>+D173/C173</f>
        <v>#DIV/0!</v>
      </c>
    </row>
    <row r="174" spans="1:5" ht="12">
      <c r="A174" t="s">
        <v>149</v>
      </c>
      <c r="E174" s="12" t="e">
        <f aca="true" t="shared" si="19" ref="E174:E180">+D174/C174</f>
        <v>#DIV/0!</v>
      </c>
    </row>
    <row r="175" spans="1:5" ht="12">
      <c r="A175" t="s">
        <v>157</v>
      </c>
      <c r="E175" s="12" t="e">
        <f t="shared" si="19"/>
        <v>#DIV/0!</v>
      </c>
    </row>
    <row r="176" spans="1:5" ht="12">
      <c r="A176" t="s">
        <v>158</v>
      </c>
      <c r="E176" s="12" t="e">
        <f t="shared" si="19"/>
        <v>#DIV/0!</v>
      </c>
    </row>
    <row r="177" spans="1:6" ht="12">
      <c r="A177" t="s">
        <v>159</v>
      </c>
      <c r="C177">
        <v>1</v>
      </c>
      <c r="D177">
        <v>3</v>
      </c>
      <c r="E177" s="12">
        <f t="shared" si="19"/>
        <v>3</v>
      </c>
      <c r="F177">
        <v>3</v>
      </c>
    </row>
    <row r="178" spans="1:5" ht="12">
      <c r="A178" t="s">
        <v>160</v>
      </c>
      <c r="E178" s="12" t="e">
        <f t="shared" si="19"/>
        <v>#DIV/0!</v>
      </c>
    </row>
    <row r="179" spans="1:6" ht="12">
      <c r="A179" t="s">
        <v>161</v>
      </c>
      <c r="C179">
        <v>1</v>
      </c>
      <c r="D179">
        <v>0</v>
      </c>
      <c r="E179" s="12">
        <f t="shared" si="19"/>
        <v>0</v>
      </c>
      <c r="F179">
        <v>0</v>
      </c>
    </row>
    <row r="180" spans="1:5" ht="12">
      <c r="A180" t="s">
        <v>147</v>
      </c>
      <c r="E180" s="12" t="e">
        <f t="shared" si="19"/>
        <v>#DIV/0!</v>
      </c>
    </row>
    <row r="181" spans="1:5" ht="12">
      <c r="A181" t="s">
        <v>153</v>
      </c>
      <c r="E181" s="12" t="e">
        <f>+D181/C181</f>
        <v>#DIV/0!</v>
      </c>
    </row>
    <row r="182" spans="1:5" ht="12">
      <c r="A182" t="s">
        <v>162</v>
      </c>
      <c r="E182" s="12" t="e">
        <f>+D182/C182</f>
        <v>#DIV/0!</v>
      </c>
    </row>
    <row r="183" spans="1:5" ht="12">
      <c r="A183" s="1"/>
      <c r="E183" s="12" t="e">
        <f>+D183/C183</f>
        <v>#DIV/0!</v>
      </c>
    </row>
    <row r="184" spans="1:5" ht="12">
      <c r="A184" s="1"/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/>
    </row>
    <row r="187" spans="1:4" ht="12">
      <c r="A187" s="2" t="s">
        <v>98</v>
      </c>
      <c r="C187" s="3" t="s">
        <v>72</v>
      </c>
      <c r="D187" s="3" t="s">
        <v>74</v>
      </c>
    </row>
    <row r="188" spans="1:4" ht="12">
      <c r="A188" s="20" t="s">
        <v>156</v>
      </c>
      <c r="C188" s="3"/>
      <c r="D188" s="3"/>
    </row>
    <row r="189" spans="1:4" ht="12">
      <c r="A189" s="20" t="s">
        <v>157</v>
      </c>
      <c r="C189" s="3"/>
      <c r="D189" s="3"/>
    </row>
    <row r="190" spans="1:4" ht="12">
      <c r="A190" s="20" t="s">
        <v>158</v>
      </c>
      <c r="C190" s="3"/>
      <c r="D190" s="3"/>
    </row>
    <row r="191" spans="1:4" ht="12">
      <c r="A191" s="20" t="s">
        <v>159</v>
      </c>
      <c r="C191" s="3">
        <v>0.5</v>
      </c>
      <c r="D191" s="3">
        <v>3.5</v>
      </c>
    </row>
    <row r="192" spans="1:4" ht="12">
      <c r="A192" s="20" t="s">
        <v>163</v>
      </c>
      <c r="C192" s="3">
        <v>1</v>
      </c>
      <c r="D192" s="3">
        <v>5</v>
      </c>
    </row>
    <row r="193" spans="1:4" ht="12">
      <c r="A193" s="20" t="s">
        <v>164</v>
      </c>
      <c r="C193" s="3">
        <v>0.5</v>
      </c>
      <c r="D193" s="3">
        <v>3.5</v>
      </c>
    </row>
    <row r="194" spans="1:4" ht="12">
      <c r="A194" s="20" t="s">
        <v>161</v>
      </c>
      <c r="C194" s="3"/>
      <c r="D194" s="3"/>
    </row>
    <row r="195" spans="1:4" ht="12">
      <c r="A195" s="20" t="s">
        <v>165</v>
      </c>
      <c r="C195" s="3">
        <v>1</v>
      </c>
      <c r="D195" s="3">
        <v>9</v>
      </c>
    </row>
    <row r="196" spans="1:4" ht="12">
      <c r="A196" s="20" t="s">
        <v>147</v>
      </c>
      <c r="C196" s="3"/>
      <c r="D196" s="3"/>
    </row>
    <row r="197" spans="1:4" ht="12">
      <c r="A197" s="20" t="s">
        <v>166</v>
      </c>
      <c r="C197" s="3"/>
      <c r="D197" s="3"/>
    </row>
    <row r="198" spans="1:4" ht="12">
      <c r="A198" s="20"/>
      <c r="C198" s="3"/>
      <c r="D198" s="3"/>
    </row>
    <row r="199" spans="1:4" ht="12">
      <c r="A199" s="20"/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"/>
      <c r="C202" s="3"/>
      <c r="D202" s="3"/>
    </row>
    <row r="203" spans="1:4" ht="12">
      <c r="A203" s="2"/>
      <c r="C203" s="3"/>
      <c r="D203" s="3"/>
    </row>
    <row r="204" spans="1:4" ht="12">
      <c r="A204" s="2"/>
      <c r="C204" s="3"/>
      <c r="D204" s="3"/>
    </row>
    <row r="205" spans="1:7" ht="12">
      <c r="A205" s="2" t="s">
        <v>94</v>
      </c>
      <c r="C205" s="3" t="s">
        <v>72</v>
      </c>
      <c r="D205" s="3" t="s">
        <v>74</v>
      </c>
      <c r="E205" s="3" t="s">
        <v>64</v>
      </c>
      <c r="F205" s="3" t="s">
        <v>55</v>
      </c>
      <c r="G205" s="5" t="s">
        <v>84</v>
      </c>
    </row>
    <row r="206" ht="12">
      <c r="A206" t="s">
        <v>167</v>
      </c>
    </row>
    <row r="207" ht="12">
      <c r="A207" t="s">
        <v>156</v>
      </c>
    </row>
    <row r="208" ht="12">
      <c r="A208" t="s">
        <v>149</v>
      </c>
    </row>
    <row r="209" ht="12">
      <c r="A209" t="s">
        <v>157</v>
      </c>
    </row>
    <row r="210" ht="12">
      <c r="A210" t="s">
        <v>133</v>
      </c>
    </row>
    <row r="211" ht="12">
      <c r="A211" t="s">
        <v>134</v>
      </c>
    </row>
    <row r="212" ht="12">
      <c r="A212" t="s">
        <v>158</v>
      </c>
    </row>
    <row r="213" ht="12">
      <c r="A213" t="s">
        <v>168</v>
      </c>
    </row>
    <row r="214" ht="12">
      <c r="A214" t="s">
        <v>135</v>
      </c>
    </row>
    <row r="215" ht="12">
      <c r="A215" t="s">
        <v>159</v>
      </c>
    </row>
    <row r="216" ht="12">
      <c r="A216" t="s">
        <v>169</v>
      </c>
    </row>
    <row r="217" ht="12">
      <c r="A217" t="s">
        <v>144</v>
      </c>
    </row>
    <row r="218" ht="12">
      <c r="A218" t="s">
        <v>148</v>
      </c>
    </row>
    <row r="219" ht="12">
      <c r="A219" t="s">
        <v>163</v>
      </c>
    </row>
    <row r="220" ht="12">
      <c r="A220" t="s">
        <v>160</v>
      </c>
    </row>
    <row r="221" ht="12">
      <c r="A221" t="s">
        <v>136</v>
      </c>
    </row>
    <row r="222" ht="12">
      <c r="A222" t="s">
        <v>170</v>
      </c>
    </row>
    <row r="223" ht="12">
      <c r="A223" t="s">
        <v>154</v>
      </c>
    </row>
    <row r="224" ht="12">
      <c r="A224" t="s">
        <v>150</v>
      </c>
    </row>
    <row r="225" ht="12">
      <c r="A225" t="s">
        <v>171</v>
      </c>
    </row>
    <row r="226" ht="12">
      <c r="A226" t="s">
        <v>164</v>
      </c>
    </row>
    <row r="227" ht="12">
      <c r="A227" t="s">
        <v>145</v>
      </c>
    </row>
    <row r="228" ht="12">
      <c r="A228" t="s">
        <v>137</v>
      </c>
    </row>
    <row r="229" ht="12">
      <c r="A229" t="s">
        <v>151</v>
      </c>
    </row>
    <row r="230" ht="12">
      <c r="A230" t="s">
        <v>152</v>
      </c>
    </row>
    <row r="231" ht="12">
      <c r="A231" t="s">
        <v>138</v>
      </c>
    </row>
    <row r="232" ht="12">
      <c r="A232" t="s">
        <v>139</v>
      </c>
    </row>
    <row r="233" ht="12">
      <c r="A233" t="s">
        <v>161</v>
      </c>
    </row>
    <row r="234" ht="12">
      <c r="A234" t="s">
        <v>172</v>
      </c>
    </row>
    <row r="235" ht="12">
      <c r="A235" t="s">
        <v>140</v>
      </c>
    </row>
    <row r="236" ht="12">
      <c r="A236" t="s">
        <v>165</v>
      </c>
    </row>
    <row r="237" ht="12">
      <c r="A237" t="s">
        <v>155</v>
      </c>
    </row>
    <row r="238" ht="12">
      <c r="A238" t="s">
        <v>147</v>
      </c>
    </row>
    <row r="239" ht="12">
      <c r="A239" t="s">
        <v>173</v>
      </c>
    </row>
    <row r="240" ht="12">
      <c r="A240" t="s">
        <v>141</v>
      </c>
    </row>
    <row r="241" ht="12">
      <c r="A241" t="s">
        <v>174</v>
      </c>
    </row>
    <row r="242" ht="12">
      <c r="A242" t="s">
        <v>166</v>
      </c>
    </row>
    <row r="243" ht="12">
      <c r="A243" t="s">
        <v>175</v>
      </c>
    </row>
    <row r="244" ht="12">
      <c r="A244" t="s">
        <v>176</v>
      </c>
    </row>
    <row r="245" ht="12">
      <c r="A245" t="s">
        <v>142</v>
      </c>
    </row>
    <row r="246" ht="12">
      <c r="A246" t="s">
        <v>177</v>
      </c>
    </row>
    <row r="247" ht="12">
      <c r="A247" t="s">
        <v>143</v>
      </c>
    </row>
    <row r="248" ht="12">
      <c r="A248" t="s">
        <v>178</v>
      </c>
    </row>
    <row r="249" ht="12">
      <c r="A249" t="s">
        <v>179</v>
      </c>
    </row>
    <row r="250" ht="12">
      <c r="A250" t="s">
        <v>146</v>
      </c>
    </row>
    <row r="251" ht="12">
      <c r="A251" t="s">
        <v>153</v>
      </c>
    </row>
    <row r="252" ht="12">
      <c r="A252" t="s">
        <v>162</v>
      </c>
    </row>
    <row r="253" ht="12">
      <c r="A253" t="s">
        <v>180</v>
      </c>
    </row>
  </sheetData>
  <sheetProtection/>
  <mergeCells count="5">
    <mergeCell ref="L160:M160"/>
    <mergeCell ref="N160:O160"/>
    <mergeCell ref="P160:Q160"/>
    <mergeCell ref="R160:S160"/>
    <mergeCell ref="T160:U160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53"/>
  <sheetViews>
    <sheetView zoomScale="125" zoomScaleNormal="125" workbookViewId="0" topLeftCell="A1">
      <selection activeCell="A122" sqref="A122:G122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Chicago Bears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17</v>
      </c>
      <c r="H6" s="1" t="s">
        <v>29</v>
      </c>
      <c r="M6" s="2">
        <v>14</v>
      </c>
    </row>
    <row r="7" spans="1:13" ht="12">
      <c r="A7" s="16" t="s">
        <v>95</v>
      </c>
      <c r="D7" s="2">
        <v>4</v>
      </c>
      <c r="H7" s="16" t="s">
        <v>95</v>
      </c>
      <c r="M7" s="2">
        <v>1</v>
      </c>
    </row>
    <row r="8" spans="1:13" ht="12">
      <c r="A8" s="16" t="s">
        <v>96</v>
      </c>
      <c r="D8" s="2">
        <v>10</v>
      </c>
      <c r="H8" s="16" t="s">
        <v>96</v>
      </c>
      <c r="M8" s="2">
        <v>11</v>
      </c>
    </row>
    <row r="9" spans="1:13" ht="12">
      <c r="A9" s="16" t="s">
        <v>97</v>
      </c>
      <c r="D9" s="2">
        <v>3</v>
      </c>
      <c r="H9" s="16" t="s">
        <v>97</v>
      </c>
      <c r="M9" s="2">
        <v>2</v>
      </c>
    </row>
    <row r="10" spans="1:14" ht="12">
      <c r="A10" s="18" t="s">
        <v>108</v>
      </c>
      <c r="C10">
        <v>8</v>
      </c>
      <c r="D10" s="2">
        <v>18</v>
      </c>
      <c r="E10" s="19">
        <f>+C10/D10</f>
        <v>0.4444444444444444</v>
      </c>
      <c r="H10" s="18" t="s">
        <v>108</v>
      </c>
      <c r="L10">
        <v>6</v>
      </c>
      <c r="M10" s="2">
        <v>12</v>
      </c>
      <c r="N10" s="19">
        <f>+L10/M10</f>
        <v>0.5</v>
      </c>
    </row>
    <row r="11" spans="1:14" ht="12">
      <c r="A11" s="18" t="s">
        <v>119</v>
      </c>
      <c r="C11">
        <v>0</v>
      </c>
      <c r="D11" s="2">
        <v>1</v>
      </c>
      <c r="E11" s="19"/>
      <c r="H11" s="18" t="s">
        <v>119</v>
      </c>
      <c r="L11">
        <v>0</v>
      </c>
      <c r="M11" s="2">
        <v>0</v>
      </c>
      <c r="N11" s="19"/>
    </row>
    <row r="13" spans="1:23" ht="12">
      <c r="A13" t="s">
        <v>1</v>
      </c>
      <c r="D13" s="2">
        <f>17+11+9+1+3+3</f>
        <v>44</v>
      </c>
      <c r="H13" t="s">
        <v>1</v>
      </c>
      <c r="M13" s="2">
        <f>13+5+1</f>
        <v>19</v>
      </c>
      <c r="V13">
        <f>+D13</f>
        <v>44</v>
      </c>
      <c r="W13">
        <f>+M13</f>
        <v>19</v>
      </c>
    </row>
    <row r="14" spans="1:23" ht="12">
      <c r="A14" t="s">
        <v>2</v>
      </c>
      <c r="D14" s="2">
        <f>42+64+20+4+1+6</f>
        <v>137</v>
      </c>
      <c r="H14" t="s">
        <v>2</v>
      </c>
      <c r="M14" s="2">
        <f>20+22+6</f>
        <v>48</v>
      </c>
      <c r="P14" s="13"/>
      <c r="U14" s="13"/>
      <c r="V14">
        <f>+D18</f>
        <v>13</v>
      </c>
      <c r="W14">
        <f>+M18</f>
        <v>15</v>
      </c>
    </row>
    <row r="15" spans="1:23" ht="12">
      <c r="A15" s="1" t="s">
        <v>3</v>
      </c>
      <c r="D15" s="8">
        <f>+D14/D13</f>
        <v>3.1136363636363638</v>
      </c>
      <c r="H15" s="1" t="s">
        <v>3</v>
      </c>
      <c r="M15" s="8">
        <f>+M14/M13</f>
        <v>2.526315789473684</v>
      </c>
      <c r="V15">
        <f>+(D17-D18)/2</f>
        <v>4.5</v>
      </c>
      <c r="W15">
        <f>+(M17-M18)/2</f>
        <v>5.5</v>
      </c>
    </row>
    <row r="16" spans="22:23" ht="12">
      <c r="V16">
        <f>+D40/2</f>
        <v>2.5</v>
      </c>
      <c r="W16">
        <f>+M40/2</f>
        <v>2.5</v>
      </c>
    </row>
    <row r="17" spans="1:23" ht="12">
      <c r="A17" t="s">
        <v>4</v>
      </c>
      <c r="D17" s="2">
        <v>22</v>
      </c>
      <c r="H17" t="s">
        <v>4</v>
      </c>
      <c r="M17" s="2">
        <v>26</v>
      </c>
      <c r="V17">
        <f>+D44/2</f>
        <v>1</v>
      </c>
      <c r="W17">
        <f>+M44/2</f>
        <v>0</v>
      </c>
    </row>
    <row r="18" spans="1:23" ht="12">
      <c r="A18" t="s">
        <v>5</v>
      </c>
      <c r="D18" s="2">
        <v>13</v>
      </c>
      <c r="H18" t="s">
        <v>5</v>
      </c>
      <c r="M18" s="2">
        <v>15</v>
      </c>
      <c r="V18">
        <f>+D50/2</f>
        <v>1.5</v>
      </c>
      <c r="W18">
        <f>+M50/2</f>
        <v>2.5</v>
      </c>
    </row>
    <row r="19" spans="1:13" ht="12">
      <c r="A19" t="s">
        <v>6</v>
      </c>
      <c r="D19" s="8">
        <f>+D18/D17*100</f>
        <v>59.09090909090909</v>
      </c>
      <c r="H19" t="s">
        <v>6</v>
      </c>
      <c r="M19" s="8">
        <f>+M18/M17*100</f>
        <v>57.692307692307686</v>
      </c>
    </row>
    <row r="20" spans="1:24" ht="12">
      <c r="A20" t="s">
        <v>7</v>
      </c>
      <c r="D20" s="2">
        <v>203</v>
      </c>
      <c r="H20" t="s">
        <v>7</v>
      </c>
      <c r="M20" s="2">
        <f>192+46</f>
        <v>238</v>
      </c>
      <c r="V20">
        <f>SUM(V13:V18)</f>
        <v>66.5</v>
      </c>
      <c r="W20">
        <f>SUM(W13:W18)</f>
        <v>44.5</v>
      </c>
      <c r="X20">
        <f>+W20+V20</f>
        <v>111</v>
      </c>
    </row>
    <row r="21" spans="1:23" ht="12">
      <c r="A21" t="s">
        <v>8</v>
      </c>
      <c r="D21" s="2">
        <v>0</v>
      </c>
      <c r="H21" t="s">
        <v>8</v>
      </c>
      <c r="M21" s="2">
        <v>5</v>
      </c>
      <c r="V21">
        <f>+V20/X20</f>
        <v>0.5990990990990991</v>
      </c>
      <c r="W21">
        <f>+W20/X20</f>
        <v>0.4009009009009009</v>
      </c>
    </row>
    <row r="22" spans="1:23" ht="12">
      <c r="A22" t="s">
        <v>9</v>
      </c>
      <c r="D22" s="2">
        <v>0</v>
      </c>
      <c r="H22" t="s">
        <v>9</v>
      </c>
      <c r="M22" s="2">
        <f>8+11+0+8+7</f>
        <v>34</v>
      </c>
      <c r="V22">
        <f>+V21*60</f>
        <v>35.945945945945944</v>
      </c>
      <c r="W22">
        <f>+W21*60</f>
        <v>24.054054054054056</v>
      </c>
    </row>
    <row r="23" spans="1:23" ht="12">
      <c r="A23" t="s">
        <v>10</v>
      </c>
      <c r="D23">
        <f>+D20-D22</f>
        <v>203</v>
      </c>
      <c r="H23" t="s">
        <v>10</v>
      </c>
      <c r="M23">
        <f>+M20-M22</f>
        <v>204</v>
      </c>
      <c r="V23">
        <f>+V22-INT(V22)</f>
        <v>0.9459459459459438</v>
      </c>
      <c r="W23">
        <f>+W22-INT(W22)</f>
        <v>0.054054054054056166</v>
      </c>
    </row>
    <row r="24" spans="1:23" ht="12">
      <c r="A24" t="s">
        <v>11</v>
      </c>
      <c r="D24" s="7">
        <f>+D23/(D17+D21)</f>
        <v>9.227272727272727</v>
      </c>
      <c r="H24" t="s">
        <v>11</v>
      </c>
      <c r="M24" s="7">
        <f>+M23/(M17+M21)</f>
        <v>6.580645161290323</v>
      </c>
      <c r="V24">
        <f>+V23*60</f>
        <v>56.75675675675663</v>
      </c>
      <c r="W24">
        <f>+W23*60</f>
        <v>3.24324324324337</v>
      </c>
    </row>
    <row r="25" spans="1:23" ht="12">
      <c r="A25" t="s">
        <v>12</v>
      </c>
      <c r="D25" s="7">
        <f>+D20/D18</f>
        <v>15.615384615384615</v>
      </c>
      <c r="H25" t="s">
        <v>12</v>
      </c>
      <c r="M25" s="7">
        <f>+M20/M18</f>
        <v>15.866666666666667</v>
      </c>
      <c r="Q25" s="11"/>
      <c r="U25">
        <v>0</v>
      </c>
      <c r="V25" s="11">
        <f>ROUND(V24,0)</f>
        <v>57</v>
      </c>
      <c r="W25">
        <f>ROUND(W24,0)</f>
        <v>3</v>
      </c>
    </row>
    <row r="26" spans="22:23" ht="12">
      <c r="V26">
        <f>INT(V22)</f>
        <v>35</v>
      </c>
      <c r="W26">
        <f>INT(W22)</f>
        <v>24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340</v>
      </c>
      <c r="H28" t="s">
        <v>14</v>
      </c>
      <c r="M28">
        <f>+M23+M14</f>
        <v>252</v>
      </c>
      <c r="Q28" s="14"/>
      <c r="R28" s="9"/>
      <c r="V28" s="14" t="str">
        <f>+V26&amp;V27&amp;V25</f>
        <v>35:57</v>
      </c>
      <c r="W28" s="9" t="str">
        <f>+W26&amp;W27&amp;W25</f>
        <v>24:3</v>
      </c>
    </row>
    <row r="29" spans="1:23" ht="12">
      <c r="A29" t="s">
        <v>15</v>
      </c>
      <c r="D29" s="7">
        <f>+D14/D28*100</f>
        <v>40.294117647058826</v>
      </c>
      <c r="H29" t="s">
        <v>15</v>
      </c>
      <c r="M29" s="7">
        <f>+M14/M28*100</f>
        <v>19.047619047619047</v>
      </c>
      <c r="Q29" s="9"/>
      <c r="R29" s="9"/>
      <c r="V29" s="9" t="str">
        <f>IF(V25&lt;10,+V26&amp;V27&amp;$U$25&amp;V25,+V26&amp;V27&amp;V25)</f>
        <v>35:57</v>
      </c>
      <c r="W29" s="9" t="str">
        <f>IF(W25&lt;10,+W26&amp;W27&amp;$U$25&amp;W25,+W26&amp;W27&amp;W25)</f>
        <v>24:03</v>
      </c>
    </row>
    <row r="30" spans="1:16" ht="12">
      <c r="A30" s="1" t="s">
        <v>90</v>
      </c>
      <c r="D30" s="7">
        <f>+D23/D28*100</f>
        <v>59.705882352941174</v>
      </c>
      <c r="H30" s="1" t="s">
        <v>90</v>
      </c>
      <c r="M30" s="7">
        <f>+M23/M28*100</f>
        <v>80.95238095238095</v>
      </c>
      <c r="P30" s="13"/>
    </row>
    <row r="32" spans="1:13" ht="12">
      <c r="A32" t="s">
        <v>16</v>
      </c>
      <c r="D32">
        <f>+D13+D17+D21</f>
        <v>66</v>
      </c>
      <c r="H32" t="s">
        <v>16</v>
      </c>
      <c r="M32">
        <f>+M13+M17+M21</f>
        <v>50</v>
      </c>
    </row>
    <row r="33" spans="1:14" ht="12">
      <c r="A33" t="s">
        <v>17</v>
      </c>
      <c r="C33" s="7"/>
      <c r="D33" s="8">
        <f>+D28/D32</f>
        <v>5.151515151515151</v>
      </c>
      <c r="F33" s="7"/>
      <c r="G33" s="7"/>
      <c r="H33" s="7" t="s">
        <v>17</v>
      </c>
      <c r="I33" s="7"/>
      <c r="J33" s="7"/>
      <c r="K33" s="7"/>
      <c r="M33" s="8">
        <f>+M28/M32</f>
        <v>5.04</v>
      </c>
      <c r="N33" s="7"/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0</v>
      </c>
      <c r="H36" t="s">
        <v>19</v>
      </c>
      <c r="M36" s="2">
        <v>3</v>
      </c>
    </row>
    <row r="37" spans="1:13" ht="12">
      <c r="A37" t="s">
        <v>20</v>
      </c>
      <c r="D37" s="2">
        <v>0</v>
      </c>
      <c r="H37" t="s">
        <v>20</v>
      </c>
      <c r="M37" s="2">
        <v>14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5</v>
      </c>
      <c r="H40" t="s">
        <v>22</v>
      </c>
      <c r="M40" s="2">
        <v>5</v>
      </c>
    </row>
    <row r="41" spans="1:13" ht="12">
      <c r="A41" t="s">
        <v>23</v>
      </c>
      <c r="D41" s="2">
        <f>55+26+54+40+37</f>
        <v>212</v>
      </c>
      <c r="H41" t="s">
        <v>23</v>
      </c>
      <c r="M41" s="2">
        <f>41+34+29+41+42</f>
        <v>187</v>
      </c>
    </row>
    <row r="42" spans="1:14" ht="12">
      <c r="A42" t="s">
        <v>24</v>
      </c>
      <c r="C42" s="7"/>
      <c r="D42" s="8">
        <f>+D41/D40</f>
        <v>42.4</v>
      </c>
      <c r="F42" s="7"/>
      <c r="G42" s="7"/>
      <c r="H42" s="7" t="s">
        <v>24</v>
      </c>
      <c r="I42" s="7"/>
      <c r="J42" s="7"/>
      <c r="K42" s="7"/>
      <c r="M42" s="8">
        <f>+M41/M40</f>
        <v>37.4</v>
      </c>
      <c r="N42" s="7"/>
    </row>
    <row r="44" spans="1:13" ht="12">
      <c r="A44" t="s">
        <v>25</v>
      </c>
      <c r="D44" s="2">
        <v>2</v>
      </c>
      <c r="H44" t="s">
        <v>25</v>
      </c>
      <c r="M44" s="2">
        <v>0</v>
      </c>
    </row>
    <row r="45" spans="1:13" ht="12">
      <c r="A45" t="s">
        <v>26</v>
      </c>
      <c r="D45" s="2">
        <v>5</v>
      </c>
      <c r="H45" t="s">
        <v>26</v>
      </c>
      <c r="M45" s="2">
        <v>0</v>
      </c>
    </row>
    <row r="46" spans="1:13" ht="12">
      <c r="A46" t="s">
        <v>27</v>
      </c>
      <c r="D46" s="8">
        <f>+D45/D44</f>
        <v>2.5</v>
      </c>
      <c r="H46" t="s">
        <v>27</v>
      </c>
      <c r="M46" s="8" t="e">
        <f>+M45/M44</f>
        <v>#DIV/0!</v>
      </c>
    </row>
    <row r="47" spans="1:13" ht="12">
      <c r="A47" s="18" t="s">
        <v>131</v>
      </c>
      <c r="D47" s="2">
        <v>3</v>
      </c>
      <c r="H47" s="18" t="s">
        <v>131</v>
      </c>
      <c r="M47" s="2">
        <v>2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3</v>
      </c>
      <c r="H50" t="s">
        <v>30</v>
      </c>
      <c r="M50" s="2">
        <v>5</v>
      </c>
    </row>
    <row r="51" spans="1:13" ht="12">
      <c r="A51" t="s">
        <v>26</v>
      </c>
      <c r="D51" s="2">
        <f>12+25+102</f>
        <v>139</v>
      </c>
      <c r="H51" t="s">
        <v>26</v>
      </c>
      <c r="M51" s="2">
        <f>24+32+22+28+30</f>
        <v>136</v>
      </c>
    </row>
    <row r="52" spans="1:13" ht="12">
      <c r="A52" t="s">
        <v>27</v>
      </c>
      <c r="D52" s="8">
        <f>+D51/D50</f>
        <v>46.333333333333336</v>
      </c>
      <c r="H52" t="s">
        <v>27</v>
      </c>
      <c r="M52" s="8">
        <f>+M51/M50</f>
        <v>27.2</v>
      </c>
    </row>
    <row r="53" spans="1:13" ht="12">
      <c r="A53" t="s">
        <v>28</v>
      </c>
      <c r="D53" s="2">
        <v>1</v>
      </c>
      <c r="H53" t="s">
        <v>28</v>
      </c>
      <c r="M53" s="2">
        <v>0</v>
      </c>
    </row>
    <row r="55" spans="1:16" ht="12">
      <c r="A55" t="s">
        <v>127</v>
      </c>
      <c r="D55" s="2">
        <v>6</v>
      </c>
      <c r="G55" t="str">
        <f>IF(D55-D56=M50,"ok","err")</f>
        <v>ok</v>
      </c>
      <c r="H55" t="s">
        <v>127</v>
      </c>
      <c r="K55" s="2"/>
      <c r="M55" s="2">
        <v>3</v>
      </c>
      <c r="P55" s="2"/>
    </row>
    <row r="56" spans="1:16" ht="12">
      <c r="A56" t="s">
        <v>128</v>
      </c>
      <c r="D56" s="2">
        <v>1</v>
      </c>
      <c r="H56" t="s">
        <v>128</v>
      </c>
      <c r="K56" s="2"/>
      <c r="M56" s="2">
        <v>0</v>
      </c>
      <c r="P56" s="2"/>
    </row>
    <row r="57" spans="1:13" ht="12">
      <c r="A57" t="s">
        <v>129</v>
      </c>
      <c r="D57">
        <f>+D56/D55</f>
        <v>0.16666666666666666</v>
      </c>
      <c r="H57" t="s">
        <v>129</v>
      </c>
      <c r="M57">
        <f>+M56/M55</f>
        <v>0</v>
      </c>
    </row>
    <row r="59" spans="1:13" ht="12">
      <c r="A59" t="s">
        <v>31</v>
      </c>
      <c r="D59" s="2">
        <v>9</v>
      </c>
      <c r="H59" t="s">
        <v>31</v>
      </c>
      <c r="M59" s="2">
        <v>5</v>
      </c>
    </row>
    <row r="60" spans="1:13" ht="12">
      <c r="A60" t="s">
        <v>32</v>
      </c>
      <c r="D60" s="2">
        <v>114</v>
      </c>
      <c r="H60" t="s">
        <v>32</v>
      </c>
      <c r="M60" s="2">
        <v>45</v>
      </c>
    </row>
    <row r="62" spans="1:13" ht="12">
      <c r="A62" t="s">
        <v>33</v>
      </c>
      <c r="D62" s="2">
        <v>1</v>
      </c>
      <c r="H62" t="s">
        <v>33</v>
      </c>
      <c r="M62" s="2">
        <v>1</v>
      </c>
    </row>
    <row r="63" spans="1:13" ht="12">
      <c r="A63" t="s">
        <v>34</v>
      </c>
      <c r="D63" s="2">
        <v>1</v>
      </c>
      <c r="H63" t="s">
        <v>34</v>
      </c>
      <c r="M63" s="2">
        <v>0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1</v>
      </c>
      <c r="H65" t="s">
        <v>36</v>
      </c>
      <c r="M65" s="2">
        <v>0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23</v>
      </c>
      <c r="E68" t="str">
        <f>IF(B68=B69*6+B75*2+B76*3+B73,"ok","ERR")</f>
        <v>ok</v>
      </c>
      <c r="H68" t="s">
        <v>38</v>
      </c>
      <c r="M68" s="2">
        <v>13</v>
      </c>
      <c r="P68" t="str">
        <f>IF(M68=M69*6+M75*2+M76*3+M73,"ok","ERR")</f>
        <v>ok</v>
      </c>
    </row>
    <row r="69" spans="1:13" ht="12">
      <c r="A69" t="s">
        <v>39</v>
      </c>
      <c r="D69" s="2">
        <v>2</v>
      </c>
      <c r="H69" t="s">
        <v>39</v>
      </c>
      <c r="M69" s="2">
        <v>1</v>
      </c>
    </row>
    <row r="70" spans="1:13" ht="12">
      <c r="A70" t="s">
        <v>40</v>
      </c>
      <c r="D70" s="2">
        <v>0</v>
      </c>
      <c r="H70" t="s">
        <v>40</v>
      </c>
      <c r="M70" s="2">
        <v>0</v>
      </c>
    </row>
    <row r="71" spans="1:13" ht="12">
      <c r="A71" t="s">
        <v>41</v>
      </c>
      <c r="D71" s="2">
        <v>1</v>
      </c>
      <c r="H71" t="s">
        <v>41</v>
      </c>
      <c r="M71" s="2">
        <v>1</v>
      </c>
    </row>
    <row r="72" spans="1:13" ht="12">
      <c r="A72" t="s">
        <v>42</v>
      </c>
      <c r="D72" s="2">
        <v>1</v>
      </c>
      <c r="H72" t="s">
        <v>42</v>
      </c>
      <c r="M72" s="2">
        <v>0</v>
      </c>
    </row>
    <row r="73" spans="1:13" ht="12">
      <c r="A73" t="s">
        <v>43</v>
      </c>
      <c r="D73" s="2">
        <v>2</v>
      </c>
      <c r="H73" t="s">
        <v>43</v>
      </c>
      <c r="M73" s="2">
        <v>1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3</v>
      </c>
      <c r="H76" t="s">
        <v>45</v>
      </c>
      <c r="M76" s="2">
        <v>2</v>
      </c>
    </row>
    <row r="77" spans="1:13" ht="12">
      <c r="A77" t="s">
        <v>46</v>
      </c>
      <c r="D77" s="2">
        <v>4</v>
      </c>
      <c r="H77" t="s">
        <v>46</v>
      </c>
      <c r="M77" s="2">
        <v>2</v>
      </c>
    </row>
    <row r="78" spans="1:13" ht="12">
      <c r="A78" t="s">
        <v>47</v>
      </c>
      <c r="D78" s="8">
        <f>+D76/D77*100</f>
        <v>75</v>
      </c>
      <c r="E78" s="7"/>
      <c r="F78" s="7"/>
      <c r="G78" s="7"/>
      <c r="H78" s="7" t="s">
        <v>47</v>
      </c>
      <c r="I78" s="7"/>
      <c r="J78" s="7"/>
      <c r="K78" s="7"/>
      <c r="L78" s="7"/>
      <c r="M78" s="8">
        <f>+M76/M77*100</f>
        <v>100</v>
      </c>
    </row>
    <row r="79" spans="1:13" ht="12">
      <c r="A79" t="s">
        <v>93</v>
      </c>
      <c r="D79" s="10" t="str">
        <f>IF(V25&lt;10,V29,V28)</f>
        <v>35:57</v>
      </c>
      <c r="E79" s="8"/>
      <c r="F79" s="8"/>
      <c r="H79" t="s">
        <v>93</v>
      </c>
      <c r="M79" s="10">
        <f>IF(AE25&lt;10,AE29,AE28)</f>
        <v>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8" ht="12">
      <c r="A84" t="s">
        <v>134</v>
      </c>
      <c r="C84">
        <v>9</v>
      </c>
      <c r="D84">
        <v>20</v>
      </c>
      <c r="E84" s="12">
        <f>+D84/C84</f>
        <v>2.2222222222222223</v>
      </c>
      <c r="F84">
        <v>7</v>
      </c>
      <c r="G84">
        <v>0</v>
      </c>
      <c r="H84">
        <v>0</v>
      </c>
    </row>
    <row r="85" spans="1:8" ht="12">
      <c r="A85" t="s">
        <v>135</v>
      </c>
      <c r="C85">
        <v>3</v>
      </c>
      <c r="D85">
        <v>6</v>
      </c>
      <c r="E85" s="12">
        <f>+D85/C85</f>
        <v>2</v>
      </c>
      <c r="F85">
        <v>3</v>
      </c>
      <c r="G85">
        <v>0</v>
      </c>
      <c r="H85">
        <v>0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5" ht="12">
      <c r="A87" t="s">
        <v>137</v>
      </c>
      <c r="E87" s="12" t="e">
        <f t="shared" si="0"/>
        <v>#DIV/0!</v>
      </c>
    </row>
    <row r="88" spans="1:8" ht="12">
      <c r="A88" t="s">
        <v>138</v>
      </c>
      <c r="C88">
        <v>1</v>
      </c>
      <c r="D88">
        <v>4</v>
      </c>
      <c r="E88" s="12">
        <f t="shared" si="0"/>
        <v>4</v>
      </c>
      <c r="F88">
        <v>4</v>
      </c>
      <c r="G88">
        <v>0</v>
      </c>
      <c r="H88">
        <v>0</v>
      </c>
    </row>
    <row r="89" spans="1:8" ht="12">
      <c r="A89" t="s">
        <v>139</v>
      </c>
      <c r="C89">
        <v>3</v>
      </c>
      <c r="D89">
        <v>1</v>
      </c>
      <c r="E89" s="12">
        <f t="shared" si="0"/>
        <v>0.3333333333333333</v>
      </c>
      <c r="F89">
        <v>2</v>
      </c>
      <c r="G89">
        <v>0</v>
      </c>
      <c r="H89">
        <v>0</v>
      </c>
    </row>
    <row r="90" spans="1:5" ht="12">
      <c r="A90" t="s">
        <v>140</v>
      </c>
      <c r="E90" s="12" t="e">
        <f t="shared" si="0"/>
        <v>#DIV/0!</v>
      </c>
    </row>
    <row r="91" spans="1:8" ht="12">
      <c r="A91" t="s">
        <v>141</v>
      </c>
      <c r="C91">
        <v>11</v>
      </c>
      <c r="D91">
        <v>64</v>
      </c>
      <c r="E91" s="12">
        <f t="shared" si="0"/>
        <v>5.818181818181818</v>
      </c>
      <c r="F91">
        <v>31</v>
      </c>
      <c r="G91">
        <v>0</v>
      </c>
      <c r="H91">
        <v>0</v>
      </c>
    </row>
    <row r="92" spans="1:5" ht="12">
      <c r="A92" t="s">
        <v>142</v>
      </c>
      <c r="E92" s="12" t="e">
        <f t="shared" si="0"/>
        <v>#DIV/0!</v>
      </c>
    </row>
    <row r="93" spans="1:8" ht="12">
      <c r="A93" t="s">
        <v>143</v>
      </c>
      <c r="C93">
        <v>17</v>
      </c>
      <c r="D93">
        <v>42</v>
      </c>
      <c r="E93" s="12">
        <f>+D93/C93</f>
        <v>2.4705882352941178</v>
      </c>
      <c r="F93">
        <v>9</v>
      </c>
      <c r="G93">
        <v>0</v>
      </c>
      <c r="H93">
        <v>0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8" ht="12">
      <c r="A101" t="s">
        <v>134</v>
      </c>
      <c r="C101">
        <v>1</v>
      </c>
      <c r="D101">
        <v>21</v>
      </c>
      <c r="E101" s="12">
        <f aca="true" t="shared" si="1" ref="E101:E112">+D101/C101</f>
        <v>21</v>
      </c>
      <c r="F101">
        <v>21</v>
      </c>
      <c r="G101">
        <v>0</v>
      </c>
      <c r="H101">
        <v>0</v>
      </c>
    </row>
    <row r="102" spans="1:8" ht="12">
      <c r="A102" t="s">
        <v>144</v>
      </c>
      <c r="C102">
        <v>2</v>
      </c>
      <c r="D102">
        <v>27</v>
      </c>
      <c r="E102" s="12">
        <f t="shared" si="1"/>
        <v>13.5</v>
      </c>
      <c r="F102">
        <v>19</v>
      </c>
      <c r="G102">
        <v>0</v>
      </c>
      <c r="H102">
        <v>0</v>
      </c>
    </row>
    <row r="103" spans="1:8" ht="12">
      <c r="A103" t="s">
        <v>136</v>
      </c>
      <c r="C103">
        <v>1</v>
      </c>
      <c r="D103">
        <v>18</v>
      </c>
      <c r="E103" s="12">
        <f t="shared" si="1"/>
        <v>18</v>
      </c>
      <c r="F103">
        <v>18</v>
      </c>
      <c r="G103">
        <v>0</v>
      </c>
      <c r="H103">
        <v>1</v>
      </c>
    </row>
    <row r="104" spans="1:5" ht="12">
      <c r="A104" t="s">
        <v>145</v>
      </c>
      <c r="E104" s="12" t="e">
        <f t="shared" si="1"/>
        <v>#DIV/0!</v>
      </c>
    </row>
    <row r="105" spans="1:8" ht="12">
      <c r="A105" t="s">
        <v>137</v>
      </c>
      <c r="C105">
        <v>2</v>
      </c>
      <c r="D105">
        <v>27</v>
      </c>
      <c r="E105" s="12">
        <f t="shared" si="1"/>
        <v>13.5</v>
      </c>
      <c r="F105">
        <v>20</v>
      </c>
      <c r="G105">
        <v>1</v>
      </c>
      <c r="H105">
        <v>0</v>
      </c>
    </row>
    <row r="106" spans="1:5" ht="12">
      <c r="A106" t="s">
        <v>138</v>
      </c>
      <c r="E106" s="12" t="e">
        <f t="shared" si="1"/>
        <v>#DIV/0!</v>
      </c>
    </row>
    <row r="107" spans="1:8" ht="12">
      <c r="A107" t="s">
        <v>139</v>
      </c>
      <c r="C107">
        <v>1</v>
      </c>
      <c r="D107">
        <v>22</v>
      </c>
      <c r="E107" s="12">
        <f t="shared" si="1"/>
        <v>22</v>
      </c>
      <c r="F107">
        <v>22</v>
      </c>
      <c r="G107">
        <v>0</v>
      </c>
      <c r="H107">
        <v>0</v>
      </c>
    </row>
    <row r="108" spans="1:8" ht="12">
      <c r="A108" t="s">
        <v>140</v>
      </c>
      <c r="C108">
        <v>2</v>
      </c>
      <c r="D108">
        <v>53</v>
      </c>
      <c r="E108" s="12">
        <f t="shared" si="1"/>
        <v>26.5</v>
      </c>
      <c r="F108">
        <v>31</v>
      </c>
      <c r="G108">
        <v>0</v>
      </c>
      <c r="H108">
        <v>0</v>
      </c>
    </row>
    <row r="109" spans="1:8" ht="12">
      <c r="A109" t="s">
        <v>141</v>
      </c>
      <c r="C109">
        <v>3</v>
      </c>
      <c r="D109">
        <v>10</v>
      </c>
      <c r="E109" s="12">
        <f t="shared" si="1"/>
        <v>3.3333333333333335</v>
      </c>
      <c r="F109">
        <v>8</v>
      </c>
      <c r="G109">
        <v>0</v>
      </c>
      <c r="H109">
        <v>0</v>
      </c>
    </row>
    <row r="110" spans="1:8" ht="12">
      <c r="A110" t="s">
        <v>143</v>
      </c>
      <c r="C110">
        <v>1</v>
      </c>
      <c r="D110">
        <v>25</v>
      </c>
      <c r="E110" s="12">
        <f t="shared" si="1"/>
        <v>25</v>
      </c>
      <c r="F110">
        <v>25</v>
      </c>
      <c r="G110">
        <v>0</v>
      </c>
      <c r="H110">
        <v>0</v>
      </c>
    </row>
    <row r="111" spans="1:5" ht="12">
      <c r="A111" t="s">
        <v>146</v>
      </c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133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C122">
        <v>22</v>
      </c>
      <c r="D122">
        <v>13</v>
      </c>
      <c r="E122" s="12">
        <f t="shared" si="2"/>
        <v>59.09090909090909</v>
      </c>
      <c r="F122">
        <v>203</v>
      </c>
      <c r="G122">
        <v>1</v>
      </c>
      <c r="H122">
        <v>31</v>
      </c>
      <c r="I122">
        <v>0</v>
      </c>
      <c r="J122" s="8">
        <f t="shared" si="3"/>
        <v>4.545454545454546</v>
      </c>
      <c r="K122" s="12">
        <f t="shared" si="4"/>
        <v>0</v>
      </c>
      <c r="L122" s="12">
        <f t="shared" si="5"/>
        <v>9.227272727272727</v>
      </c>
      <c r="M122" s="12">
        <f t="shared" si="6"/>
        <v>104.92424242424242</v>
      </c>
      <c r="N122">
        <v>0</v>
      </c>
      <c r="O122">
        <v>0</v>
      </c>
      <c r="R122">
        <f t="shared" si="7"/>
        <v>1.4545454545454546</v>
      </c>
      <c r="S122" s="2">
        <f t="shared" si="8"/>
        <v>1.4545454545454546</v>
      </c>
      <c r="T122" s="6">
        <f t="shared" si="9"/>
        <v>1.5568181818181817</v>
      </c>
      <c r="U122" s="2">
        <f t="shared" si="10"/>
        <v>1.5568181818181817</v>
      </c>
      <c r="V122">
        <f t="shared" si="11"/>
        <v>0.9090909090909092</v>
      </c>
      <c r="W122" s="2">
        <f t="shared" si="12"/>
        <v>0.9090909090909092</v>
      </c>
      <c r="X122">
        <f t="shared" si="13"/>
        <v>2.375</v>
      </c>
      <c r="Y122" s="2">
        <f t="shared" si="14"/>
        <v>2.375</v>
      </c>
    </row>
    <row r="123" spans="1:25" ht="12">
      <c r="A123" t="s">
        <v>147</v>
      </c>
      <c r="E123" s="12" t="e">
        <f t="shared" si="2"/>
        <v>#DIV/0!</v>
      </c>
      <c r="J123" s="8" t="e">
        <f t="shared" si="3"/>
        <v>#DIV/0!</v>
      </c>
      <c r="K123" s="12" t="e">
        <f t="shared" si="4"/>
        <v>#DIV/0!</v>
      </c>
      <c r="L123" s="12" t="e">
        <f t="shared" si="5"/>
        <v>#DIV/0!</v>
      </c>
      <c r="M123" s="12" t="e">
        <f t="shared" si="6"/>
        <v>#DIV/0!</v>
      </c>
      <c r="R123" t="e">
        <f t="shared" si="7"/>
        <v>#DIV/0!</v>
      </c>
      <c r="S123" s="2" t="e">
        <f t="shared" si="8"/>
        <v>#DIV/0!</v>
      </c>
      <c r="T123" s="6" t="e">
        <f t="shared" si="9"/>
        <v>#DIV/0!</v>
      </c>
      <c r="U123" s="2" t="e">
        <f t="shared" si="10"/>
        <v>#DIV/0!</v>
      </c>
      <c r="V123" t="e">
        <f t="shared" si="11"/>
        <v>#DIV/0!</v>
      </c>
      <c r="W123" s="2" t="e">
        <f t="shared" si="12"/>
        <v>#DIV/0!</v>
      </c>
      <c r="X123" t="e">
        <f t="shared" si="13"/>
        <v>#DIV/0!</v>
      </c>
      <c r="Y123" s="2" t="e">
        <f t="shared" si="14"/>
        <v>#DIV/0!</v>
      </c>
    </row>
    <row r="124" spans="1:25" ht="12">
      <c r="A124" t="s">
        <v>142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143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5:25" ht="12"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8" spans="1:9" ht="12">
      <c r="A128" s="2" t="s">
        <v>71</v>
      </c>
      <c r="C128" s="3" t="s">
        <v>72</v>
      </c>
      <c r="D128" s="3" t="s">
        <v>73</v>
      </c>
      <c r="E128" s="3" t="s">
        <v>74</v>
      </c>
      <c r="F128" s="3" t="s">
        <v>53</v>
      </c>
      <c r="G128" s="3" t="s">
        <v>64</v>
      </c>
      <c r="H128" s="3" t="s">
        <v>55</v>
      </c>
      <c r="I128" s="3" t="s">
        <v>84</v>
      </c>
    </row>
    <row r="129" spans="1:6" ht="12">
      <c r="A129" t="s">
        <v>148</v>
      </c>
      <c r="F129" s="12" t="e">
        <f aca="true" t="shared" si="15" ref="F129:F134">+E129/C129</f>
        <v>#DIV/0!</v>
      </c>
    </row>
    <row r="130" spans="1:7" ht="12">
      <c r="A130" t="s">
        <v>136</v>
      </c>
      <c r="C130">
        <v>2</v>
      </c>
      <c r="D130">
        <v>1</v>
      </c>
      <c r="E130">
        <v>5</v>
      </c>
      <c r="F130" s="12">
        <f t="shared" si="15"/>
        <v>2.5</v>
      </c>
      <c r="G130">
        <v>3</v>
      </c>
    </row>
    <row r="131" spans="1:6" ht="12">
      <c r="A131" t="s">
        <v>140</v>
      </c>
      <c r="F131" s="12" t="e">
        <f t="shared" si="15"/>
        <v>#DIV/0!</v>
      </c>
    </row>
    <row r="132" spans="1:6" ht="12">
      <c r="A132" t="s">
        <v>143</v>
      </c>
      <c r="D132">
        <v>2</v>
      </c>
      <c r="F132" s="12" t="e">
        <f t="shared" si="15"/>
        <v>#DIV/0!</v>
      </c>
    </row>
    <row r="133" ht="12">
      <c r="F133" s="12" t="e">
        <f t="shared" si="15"/>
        <v>#DIV/0!</v>
      </c>
    </row>
    <row r="134" ht="12">
      <c r="F134" s="12" t="e">
        <f t="shared" si="15"/>
        <v>#DIV/0!</v>
      </c>
    </row>
    <row r="138" spans="1:8" ht="12">
      <c r="A138" s="2" t="s">
        <v>30</v>
      </c>
      <c r="C138" s="3" t="s">
        <v>72</v>
      </c>
      <c r="D138" s="3" t="s">
        <v>74</v>
      </c>
      <c r="E138" s="3" t="s">
        <v>53</v>
      </c>
      <c r="F138" s="3" t="s">
        <v>64</v>
      </c>
      <c r="G138" s="3" t="s">
        <v>55</v>
      </c>
      <c r="H138" s="3" t="s">
        <v>84</v>
      </c>
    </row>
    <row r="139" spans="1:5" ht="12">
      <c r="A139" t="s">
        <v>149</v>
      </c>
      <c r="E139" s="12" t="e">
        <f aca="true" t="shared" si="16" ref="E139:E144">+D139/C139</f>
        <v>#DIV/0!</v>
      </c>
    </row>
    <row r="140" spans="1:5" ht="12">
      <c r="A140" t="s">
        <v>148</v>
      </c>
      <c r="E140" s="12" t="e">
        <f t="shared" si="16"/>
        <v>#DIV/0!</v>
      </c>
    </row>
    <row r="141" spans="1:5" ht="12">
      <c r="A141" t="s">
        <v>136</v>
      </c>
      <c r="E141" s="12" t="e">
        <f t="shared" si="16"/>
        <v>#DIV/0!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151</v>
      </c>
      <c r="E143" s="12" t="e">
        <f t="shared" si="16"/>
        <v>#DIV/0!</v>
      </c>
    </row>
    <row r="144" spans="1:5" ht="12">
      <c r="A144" t="s">
        <v>152</v>
      </c>
      <c r="E144" s="12" t="e">
        <f t="shared" si="16"/>
        <v>#DIV/0!</v>
      </c>
    </row>
    <row r="145" spans="1:5" ht="12">
      <c r="A145" t="s">
        <v>138</v>
      </c>
      <c r="E145" s="12" t="e">
        <f aca="true" t="shared" si="17" ref="E145:E151">+D145/C145</f>
        <v>#DIV/0!</v>
      </c>
    </row>
    <row r="146" spans="1:7" ht="12">
      <c r="A146" t="s">
        <v>143</v>
      </c>
      <c r="C146">
        <v>3</v>
      </c>
      <c r="D146">
        <f>12+25+102</f>
        <v>139</v>
      </c>
      <c r="E146" s="12">
        <f t="shared" si="17"/>
        <v>46.333333333333336</v>
      </c>
      <c r="F146">
        <v>102</v>
      </c>
      <c r="G146">
        <v>1</v>
      </c>
    </row>
    <row r="147" spans="1:5" ht="12">
      <c r="A147" t="s">
        <v>146</v>
      </c>
      <c r="E147" s="12" t="e">
        <f t="shared" si="17"/>
        <v>#DIV/0!</v>
      </c>
    </row>
    <row r="148" spans="1:5" ht="12">
      <c r="A148" t="s">
        <v>153</v>
      </c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3" spans="1:8" ht="12">
      <c r="A153" s="2" t="s">
        <v>75</v>
      </c>
      <c r="C153" s="3" t="s">
        <v>72</v>
      </c>
      <c r="D153" s="3" t="s">
        <v>74</v>
      </c>
      <c r="E153" s="3" t="s">
        <v>53</v>
      </c>
      <c r="F153" s="3" t="s">
        <v>64</v>
      </c>
      <c r="G153" s="3" t="s">
        <v>76</v>
      </c>
      <c r="H153" s="3" t="s">
        <v>84</v>
      </c>
    </row>
    <row r="154" spans="1:6" ht="12">
      <c r="A154" t="s">
        <v>154</v>
      </c>
      <c r="C154">
        <v>5</v>
      </c>
      <c r="D154">
        <f>55+26+54+40+37</f>
        <v>212</v>
      </c>
      <c r="E154" s="12"/>
      <c r="F154">
        <v>55</v>
      </c>
    </row>
    <row r="160" spans="9:21" ht="12">
      <c r="I160" s="5" t="s">
        <v>67</v>
      </c>
      <c r="L160" s="32" t="s">
        <v>99</v>
      </c>
      <c r="M160" s="32"/>
      <c r="N160" s="32" t="s">
        <v>100</v>
      </c>
      <c r="O160" s="32"/>
      <c r="P160" s="32" t="s">
        <v>101</v>
      </c>
      <c r="Q160" s="32"/>
      <c r="R160" s="32" t="s">
        <v>102</v>
      </c>
      <c r="S160" s="32"/>
      <c r="T160" s="32" t="s">
        <v>103</v>
      </c>
      <c r="U160" s="32"/>
    </row>
    <row r="161" spans="1:21" ht="12">
      <c r="A161" s="4" t="s">
        <v>83</v>
      </c>
      <c r="C161" s="3" t="s">
        <v>77</v>
      </c>
      <c r="D161" s="3" t="s">
        <v>78</v>
      </c>
      <c r="E161" s="3" t="s">
        <v>79</v>
      </c>
      <c r="F161" s="3" t="s">
        <v>80</v>
      </c>
      <c r="G161" s="3" t="s">
        <v>81</v>
      </c>
      <c r="H161" s="3" t="s">
        <v>82</v>
      </c>
      <c r="I161" s="3" t="s">
        <v>86</v>
      </c>
      <c r="J161" s="3" t="s">
        <v>64</v>
      </c>
      <c r="L161" s="3" t="s">
        <v>81</v>
      </c>
      <c r="M161" s="3" t="s">
        <v>82</v>
      </c>
      <c r="N161" s="3" t="s">
        <v>81</v>
      </c>
      <c r="O161" s="3" t="s">
        <v>82</v>
      </c>
      <c r="P161" s="3" t="s">
        <v>81</v>
      </c>
      <c r="Q161" s="3" t="s">
        <v>82</v>
      </c>
      <c r="R161" s="3" t="s">
        <v>81</v>
      </c>
      <c r="S161" s="3" t="s">
        <v>82</v>
      </c>
      <c r="T161" s="3" t="s">
        <v>81</v>
      </c>
      <c r="U161" s="3" t="s">
        <v>82</v>
      </c>
    </row>
    <row r="162" spans="1:19" ht="12">
      <c r="A162" t="s">
        <v>155</v>
      </c>
      <c r="C162">
        <v>6</v>
      </c>
      <c r="D162">
        <v>1</v>
      </c>
      <c r="E162">
        <v>2</v>
      </c>
      <c r="F162">
        <v>2</v>
      </c>
      <c r="G162">
        <v>4</v>
      </c>
      <c r="H162">
        <v>3</v>
      </c>
      <c r="I162" s="12">
        <f aca="true" t="shared" si="18" ref="I162:I169">+H162/G162*100</f>
        <v>75</v>
      </c>
      <c r="J162">
        <v>41</v>
      </c>
      <c r="L162">
        <v>1</v>
      </c>
      <c r="M162">
        <v>1</v>
      </c>
      <c r="P162">
        <v>1</v>
      </c>
      <c r="Q162">
        <v>1</v>
      </c>
      <c r="R162">
        <v>2</v>
      </c>
      <c r="S162">
        <v>1</v>
      </c>
    </row>
    <row r="163" spans="1:9" ht="12">
      <c r="A163" t="s">
        <v>154</v>
      </c>
      <c r="I163" s="12" t="e">
        <f t="shared" si="18"/>
        <v>#DIV/0!</v>
      </c>
    </row>
    <row r="164" ht="12">
      <c r="I164" s="12" t="e">
        <f t="shared" si="18"/>
        <v>#DIV/0!</v>
      </c>
    </row>
    <row r="165" ht="12">
      <c r="I165" s="12" t="e">
        <f t="shared" si="18"/>
        <v>#DIV/0!</v>
      </c>
    </row>
    <row r="166" ht="12">
      <c r="I166" s="12" t="e">
        <f t="shared" si="18"/>
        <v>#DIV/0!</v>
      </c>
    </row>
    <row r="167" ht="12"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2" spans="1:8" ht="12">
      <c r="A172" s="2" t="s">
        <v>85</v>
      </c>
      <c r="C172" s="3" t="s">
        <v>72</v>
      </c>
      <c r="D172" s="3" t="s">
        <v>74</v>
      </c>
      <c r="E172" s="3" t="s">
        <v>53</v>
      </c>
      <c r="F172" s="3" t="s">
        <v>64</v>
      </c>
      <c r="G172" s="3" t="s">
        <v>55</v>
      </c>
      <c r="H172" s="3" t="s">
        <v>84</v>
      </c>
    </row>
    <row r="173" spans="1:5" ht="12">
      <c r="A173" t="s">
        <v>156</v>
      </c>
      <c r="E173" s="12" t="e">
        <f>+D173/C173</f>
        <v>#DIV/0!</v>
      </c>
    </row>
    <row r="174" spans="1:5" ht="12">
      <c r="A174" t="s">
        <v>149</v>
      </c>
      <c r="E174" s="12" t="e">
        <f aca="true" t="shared" si="19" ref="E174:E180">+D174/C174</f>
        <v>#DIV/0!</v>
      </c>
    </row>
    <row r="175" spans="1:5" ht="12">
      <c r="A175" t="s">
        <v>157</v>
      </c>
      <c r="E175" s="12" t="e">
        <f t="shared" si="19"/>
        <v>#DIV/0!</v>
      </c>
    </row>
    <row r="176" spans="1:5" ht="12">
      <c r="A176" t="s">
        <v>158</v>
      </c>
      <c r="E176" s="12" t="e">
        <f t="shared" si="19"/>
        <v>#DIV/0!</v>
      </c>
    </row>
    <row r="177" spans="1:5" ht="12">
      <c r="A177" t="s">
        <v>159</v>
      </c>
      <c r="E177" s="12" t="e">
        <f t="shared" si="19"/>
        <v>#DIV/0!</v>
      </c>
    </row>
    <row r="178" spans="1:6" ht="12">
      <c r="A178" t="s">
        <v>160</v>
      </c>
      <c r="C178">
        <v>2</v>
      </c>
      <c r="D178">
        <v>1</v>
      </c>
      <c r="E178" s="12">
        <f t="shared" si="19"/>
        <v>0.5</v>
      </c>
      <c r="F178">
        <v>1</v>
      </c>
    </row>
    <row r="179" spans="1:5" ht="12">
      <c r="A179" t="s">
        <v>161</v>
      </c>
      <c r="E179" s="12" t="e">
        <f t="shared" si="19"/>
        <v>#DIV/0!</v>
      </c>
    </row>
    <row r="180" spans="1:5" ht="12">
      <c r="A180" t="s">
        <v>147</v>
      </c>
      <c r="E180" s="12" t="e">
        <f t="shared" si="19"/>
        <v>#DIV/0!</v>
      </c>
    </row>
    <row r="181" spans="1:5" ht="12">
      <c r="A181" t="s">
        <v>153</v>
      </c>
      <c r="E181" s="12" t="e">
        <f>+D181/C181</f>
        <v>#DIV/0!</v>
      </c>
    </row>
    <row r="182" spans="1:6" ht="12">
      <c r="A182" t="s">
        <v>162</v>
      </c>
      <c r="C182">
        <v>1</v>
      </c>
      <c r="D182">
        <v>13</v>
      </c>
      <c r="E182" s="12">
        <f>+D182/C182</f>
        <v>13</v>
      </c>
      <c r="F182">
        <v>13</v>
      </c>
    </row>
    <row r="183" spans="1:5" ht="12">
      <c r="A183" s="1"/>
      <c r="E183" s="12" t="e">
        <f>+D183/C183</f>
        <v>#DIV/0!</v>
      </c>
    </row>
    <row r="184" spans="1:5" ht="12">
      <c r="A184" s="1"/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/>
    </row>
    <row r="187" spans="1:4" ht="12">
      <c r="A187" s="2" t="s">
        <v>98</v>
      </c>
      <c r="C187" s="3" t="s">
        <v>72</v>
      </c>
      <c r="D187" s="3" t="s">
        <v>74</v>
      </c>
    </row>
    <row r="188" spans="1:4" ht="12">
      <c r="A188" s="20" t="s">
        <v>156</v>
      </c>
      <c r="C188" s="3">
        <v>0.5</v>
      </c>
      <c r="D188" s="3">
        <v>4</v>
      </c>
    </row>
    <row r="189" spans="1:4" ht="12">
      <c r="A189" s="20" t="s">
        <v>157</v>
      </c>
      <c r="C189" s="3">
        <v>1.5</v>
      </c>
      <c r="D189" s="3">
        <v>5.5</v>
      </c>
    </row>
    <row r="190" spans="1:4" ht="12">
      <c r="A190" s="20" t="s">
        <v>158</v>
      </c>
      <c r="C190" s="3"/>
      <c r="D190" s="3"/>
    </row>
    <row r="191" spans="1:4" ht="12">
      <c r="A191" s="20" t="s">
        <v>159</v>
      </c>
      <c r="C191" s="3"/>
      <c r="D191" s="3"/>
    </row>
    <row r="192" spans="1:4" ht="12">
      <c r="A192" s="20" t="s">
        <v>163</v>
      </c>
      <c r="C192" s="3">
        <v>1</v>
      </c>
      <c r="D192" s="3">
        <v>7.5</v>
      </c>
    </row>
    <row r="193" spans="1:4" ht="12">
      <c r="A193" s="20" t="s">
        <v>164</v>
      </c>
      <c r="C193" s="3"/>
      <c r="D193" s="3"/>
    </row>
    <row r="194" spans="1:4" ht="12">
      <c r="A194" s="20" t="s">
        <v>161</v>
      </c>
      <c r="C194" s="3"/>
      <c r="D194" s="3"/>
    </row>
    <row r="195" spans="1:4" ht="12">
      <c r="A195" s="20" t="s">
        <v>165</v>
      </c>
      <c r="C195" s="3">
        <v>2</v>
      </c>
      <c r="D195" s="3">
        <f>8+5.5+3.5</f>
        <v>17</v>
      </c>
    </row>
    <row r="196" spans="1:4" ht="12">
      <c r="A196" s="20" t="s">
        <v>147</v>
      </c>
      <c r="C196" s="3"/>
      <c r="D196" s="3"/>
    </row>
    <row r="197" spans="1:4" ht="12">
      <c r="A197" s="20" t="s">
        <v>166</v>
      </c>
      <c r="C197" s="3"/>
      <c r="D197" s="3"/>
    </row>
    <row r="198" spans="1:4" ht="12">
      <c r="A198" s="20"/>
      <c r="C198" s="3"/>
      <c r="D198" s="3"/>
    </row>
    <row r="199" spans="1:4" ht="12">
      <c r="A199" s="20"/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"/>
      <c r="C202" s="3"/>
      <c r="D202" s="3"/>
    </row>
    <row r="203" spans="1:4" ht="12">
      <c r="A203" s="2"/>
      <c r="C203" s="3"/>
      <c r="D203" s="3"/>
    </row>
    <row r="204" spans="1:4" ht="12">
      <c r="A204" s="2"/>
      <c r="C204" s="3"/>
      <c r="D204" s="3"/>
    </row>
    <row r="205" spans="1:7" ht="12">
      <c r="A205" s="2" t="s">
        <v>94</v>
      </c>
      <c r="C205" s="3" t="s">
        <v>72</v>
      </c>
      <c r="D205" s="3" t="s">
        <v>74</v>
      </c>
      <c r="E205" s="3" t="s">
        <v>64</v>
      </c>
      <c r="F205" s="3" t="s">
        <v>55</v>
      </c>
      <c r="G205" s="5" t="s">
        <v>84</v>
      </c>
    </row>
    <row r="206" ht="12">
      <c r="A206" t="s">
        <v>167</v>
      </c>
    </row>
    <row r="207" ht="12">
      <c r="A207" t="s">
        <v>156</v>
      </c>
    </row>
    <row r="208" ht="12">
      <c r="A208" t="s">
        <v>149</v>
      </c>
    </row>
    <row r="209" ht="12">
      <c r="A209" t="s">
        <v>157</v>
      </c>
    </row>
    <row r="210" ht="12">
      <c r="A210" t="s">
        <v>133</v>
      </c>
    </row>
    <row r="211" ht="12">
      <c r="A211" t="s">
        <v>134</v>
      </c>
    </row>
    <row r="212" ht="12">
      <c r="A212" t="s">
        <v>158</v>
      </c>
    </row>
    <row r="213" ht="12">
      <c r="A213" t="s">
        <v>168</v>
      </c>
    </row>
    <row r="214" ht="12">
      <c r="A214" t="s">
        <v>135</v>
      </c>
    </row>
    <row r="215" ht="12">
      <c r="A215" t="s">
        <v>159</v>
      </c>
    </row>
    <row r="216" ht="12">
      <c r="A216" t="s">
        <v>169</v>
      </c>
    </row>
    <row r="217" spans="1:3" ht="12">
      <c r="A217" t="s">
        <v>144</v>
      </c>
      <c r="C217">
        <v>1</v>
      </c>
    </row>
    <row r="218" ht="12">
      <c r="A218" t="s">
        <v>148</v>
      </c>
    </row>
    <row r="219" ht="12">
      <c r="A219" t="s">
        <v>163</v>
      </c>
    </row>
    <row r="220" ht="12">
      <c r="A220" t="s">
        <v>160</v>
      </c>
    </row>
    <row r="221" ht="12">
      <c r="A221" t="s">
        <v>136</v>
      </c>
    </row>
    <row r="222" ht="12">
      <c r="A222" t="s">
        <v>170</v>
      </c>
    </row>
    <row r="223" ht="12">
      <c r="A223" t="s">
        <v>154</v>
      </c>
    </row>
    <row r="224" ht="12">
      <c r="A224" t="s">
        <v>150</v>
      </c>
    </row>
    <row r="225" ht="12">
      <c r="A225" t="s">
        <v>171</v>
      </c>
    </row>
    <row r="226" ht="12">
      <c r="A226" t="s">
        <v>164</v>
      </c>
    </row>
    <row r="227" ht="12">
      <c r="A227" t="s">
        <v>145</v>
      </c>
    </row>
    <row r="228" ht="12">
      <c r="A228" t="s">
        <v>137</v>
      </c>
    </row>
    <row r="229" ht="12">
      <c r="A229" t="s">
        <v>151</v>
      </c>
    </row>
    <row r="230" ht="12">
      <c r="A230" t="s">
        <v>152</v>
      </c>
    </row>
    <row r="231" ht="12">
      <c r="A231" t="s">
        <v>138</v>
      </c>
    </row>
    <row r="232" ht="12">
      <c r="A232" t="s">
        <v>139</v>
      </c>
    </row>
    <row r="233" ht="12">
      <c r="A233" t="s">
        <v>161</v>
      </c>
    </row>
    <row r="234" ht="12">
      <c r="A234" t="s">
        <v>172</v>
      </c>
    </row>
    <row r="235" ht="12">
      <c r="A235" t="s">
        <v>140</v>
      </c>
    </row>
    <row r="236" spans="1:3" ht="12">
      <c r="A236" t="s">
        <v>165</v>
      </c>
      <c r="C236">
        <v>1</v>
      </c>
    </row>
    <row r="237" ht="12">
      <c r="A237" t="s">
        <v>155</v>
      </c>
    </row>
    <row r="238" ht="12">
      <c r="A238" t="s">
        <v>147</v>
      </c>
    </row>
    <row r="239" ht="12">
      <c r="A239" t="s">
        <v>173</v>
      </c>
    </row>
    <row r="240" ht="12">
      <c r="A240" t="s">
        <v>141</v>
      </c>
    </row>
    <row r="241" ht="12">
      <c r="A241" t="s">
        <v>174</v>
      </c>
    </row>
    <row r="242" ht="12">
      <c r="A242" t="s">
        <v>166</v>
      </c>
    </row>
    <row r="243" ht="12">
      <c r="A243" t="s">
        <v>175</v>
      </c>
    </row>
    <row r="244" ht="12">
      <c r="A244" t="s">
        <v>176</v>
      </c>
    </row>
    <row r="245" ht="12">
      <c r="A245" t="s">
        <v>142</v>
      </c>
    </row>
    <row r="246" ht="12">
      <c r="A246" t="s">
        <v>177</v>
      </c>
    </row>
    <row r="247" ht="12">
      <c r="A247" t="s">
        <v>143</v>
      </c>
    </row>
    <row r="248" ht="12">
      <c r="A248" t="s">
        <v>178</v>
      </c>
    </row>
    <row r="249" ht="12">
      <c r="A249" t="s">
        <v>179</v>
      </c>
    </row>
    <row r="250" ht="12">
      <c r="A250" t="s">
        <v>146</v>
      </c>
    </row>
    <row r="251" ht="12">
      <c r="A251" t="s">
        <v>153</v>
      </c>
    </row>
    <row r="252" ht="12">
      <c r="A252" t="s">
        <v>162</v>
      </c>
    </row>
    <row r="253" ht="12">
      <c r="A253" t="s">
        <v>180</v>
      </c>
    </row>
  </sheetData>
  <sheetProtection/>
  <mergeCells count="5">
    <mergeCell ref="L160:M160"/>
    <mergeCell ref="N160:O160"/>
    <mergeCell ref="P160:Q160"/>
    <mergeCell ref="R160:S160"/>
    <mergeCell ref="T160:U160"/>
  </mergeCells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53"/>
  <sheetViews>
    <sheetView zoomScale="125" zoomScaleNormal="125" workbookViewId="0" topLeftCell="A1">
      <selection activeCell="A122" sqref="A122:G125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Chicago Bears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13</v>
      </c>
      <c r="H6" s="1" t="s">
        <v>29</v>
      </c>
      <c r="M6" s="2">
        <v>14</v>
      </c>
    </row>
    <row r="7" spans="1:13" ht="12">
      <c r="A7" s="16" t="s">
        <v>95</v>
      </c>
      <c r="D7" s="2">
        <v>5</v>
      </c>
      <c r="H7" s="16" t="s">
        <v>95</v>
      </c>
      <c r="M7" s="2">
        <v>3</v>
      </c>
    </row>
    <row r="8" spans="1:13" ht="12">
      <c r="A8" s="16" t="s">
        <v>96</v>
      </c>
      <c r="D8" s="2">
        <v>8</v>
      </c>
      <c r="H8" s="16" t="s">
        <v>96</v>
      </c>
      <c r="M8" s="2">
        <v>9</v>
      </c>
    </row>
    <row r="9" spans="1:13" ht="12">
      <c r="A9" s="16" t="s">
        <v>97</v>
      </c>
      <c r="D9" s="2">
        <v>0</v>
      </c>
      <c r="H9" s="16" t="s">
        <v>97</v>
      </c>
      <c r="M9" s="2">
        <v>2</v>
      </c>
    </row>
    <row r="10" spans="1:14" ht="12">
      <c r="A10" s="18" t="s">
        <v>108</v>
      </c>
      <c r="C10">
        <v>4</v>
      </c>
      <c r="D10" s="2">
        <v>11</v>
      </c>
      <c r="E10" s="19">
        <f>+C10/D10</f>
        <v>0.36363636363636365</v>
      </c>
      <c r="H10" s="18" t="s">
        <v>108</v>
      </c>
      <c r="L10">
        <v>2</v>
      </c>
      <c r="M10" s="2">
        <v>6</v>
      </c>
      <c r="N10" s="19">
        <f>+L10/M10</f>
        <v>0.3333333333333333</v>
      </c>
    </row>
    <row r="11" spans="1:14" ht="12">
      <c r="A11" s="18" t="s">
        <v>119</v>
      </c>
      <c r="C11">
        <v>0</v>
      </c>
      <c r="D11" s="2">
        <v>0</v>
      </c>
      <c r="E11" s="19"/>
      <c r="H11" s="18" t="s">
        <v>119</v>
      </c>
      <c r="L11">
        <v>0</v>
      </c>
      <c r="M11" s="2">
        <v>0</v>
      </c>
      <c r="N11" s="19"/>
    </row>
    <row r="13" spans="1:23" ht="12">
      <c r="A13" t="s">
        <v>1</v>
      </c>
      <c r="D13" s="2">
        <f>19+6+4+1+2+5</f>
        <v>37</v>
      </c>
      <c r="H13" t="s">
        <v>1</v>
      </c>
      <c r="M13" s="2">
        <f>16+8+3+2+2+1</f>
        <v>32</v>
      </c>
      <c r="V13">
        <f>+D13</f>
        <v>37</v>
      </c>
      <c r="W13">
        <f>+M13</f>
        <v>32</v>
      </c>
    </row>
    <row r="14" spans="1:23" ht="12">
      <c r="A14" t="s">
        <v>2</v>
      </c>
      <c r="D14" s="2">
        <f>76+5+16+3+7+39</f>
        <v>146</v>
      </c>
      <c r="H14" t="s">
        <v>2</v>
      </c>
      <c r="M14" s="2">
        <f>34+41+2+1+15+14</f>
        <v>107</v>
      </c>
      <c r="P14" s="13"/>
      <c r="U14" s="13"/>
      <c r="V14">
        <f>+D18</f>
        <v>8</v>
      </c>
      <c r="W14">
        <f>+M18</f>
        <v>10</v>
      </c>
    </row>
    <row r="15" spans="1:23" ht="12">
      <c r="A15" s="1" t="s">
        <v>3</v>
      </c>
      <c r="D15" s="8">
        <f>+D14/D13</f>
        <v>3.945945945945946</v>
      </c>
      <c r="H15" s="1" t="s">
        <v>3</v>
      </c>
      <c r="M15" s="8">
        <f>+M14/M13</f>
        <v>3.34375</v>
      </c>
      <c r="V15">
        <f>+(D17-D18)/2</f>
        <v>5</v>
      </c>
      <c r="W15">
        <f>+(M17-M18)/2</f>
        <v>4.5</v>
      </c>
    </row>
    <row r="16" spans="22:23" ht="12">
      <c r="V16">
        <f>+D40/2</f>
        <v>3</v>
      </c>
      <c r="W16">
        <f>+M40/2</f>
        <v>1.5</v>
      </c>
    </row>
    <row r="17" spans="1:23" ht="12">
      <c r="A17" t="s">
        <v>4</v>
      </c>
      <c r="D17" s="2">
        <v>18</v>
      </c>
      <c r="H17" t="s">
        <v>4</v>
      </c>
      <c r="M17" s="2">
        <v>19</v>
      </c>
      <c r="V17">
        <f>+D44/2</f>
        <v>0</v>
      </c>
      <c r="W17">
        <f>+M44/2</f>
        <v>2</v>
      </c>
    </row>
    <row r="18" spans="1:23" ht="12">
      <c r="A18" t="s">
        <v>5</v>
      </c>
      <c r="D18" s="2">
        <v>8</v>
      </c>
      <c r="H18" t="s">
        <v>5</v>
      </c>
      <c r="M18" s="2">
        <v>10</v>
      </c>
      <c r="V18">
        <f>+D50/2</f>
        <v>1</v>
      </c>
      <c r="W18">
        <f>+M50/2</f>
        <v>2</v>
      </c>
    </row>
    <row r="19" spans="1:13" ht="12">
      <c r="A19" t="s">
        <v>6</v>
      </c>
      <c r="D19" s="8">
        <f>+D18/D17*100</f>
        <v>44.44444444444444</v>
      </c>
      <c r="H19" t="s">
        <v>6</v>
      </c>
      <c r="M19" s="8">
        <f>+M18/M17*100</f>
        <v>52.63157894736842</v>
      </c>
    </row>
    <row r="20" spans="1:24" ht="12">
      <c r="A20" t="s">
        <v>7</v>
      </c>
      <c r="D20" s="2">
        <v>116</v>
      </c>
      <c r="H20" t="s">
        <v>7</v>
      </c>
      <c r="M20" s="2">
        <v>140</v>
      </c>
      <c r="V20">
        <f>SUM(V13:V18)</f>
        <v>54</v>
      </c>
      <c r="W20">
        <f>SUM(W13:W18)</f>
        <v>52</v>
      </c>
      <c r="X20">
        <f>+W20+V20</f>
        <v>106</v>
      </c>
    </row>
    <row r="21" spans="1:23" ht="12">
      <c r="A21" t="s">
        <v>8</v>
      </c>
      <c r="D21" s="2">
        <v>4</v>
      </c>
      <c r="H21" t="s">
        <v>8</v>
      </c>
      <c r="M21" s="2">
        <v>1</v>
      </c>
      <c r="V21">
        <f>+V20/X20</f>
        <v>0.5094339622641509</v>
      </c>
      <c r="W21">
        <f>+W20/X20</f>
        <v>0.49056603773584906</v>
      </c>
    </row>
    <row r="22" spans="1:23" ht="12">
      <c r="A22" t="s">
        <v>9</v>
      </c>
      <c r="D22" s="2">
        <f>7+8+7+18</f>
        <v>40</v>
      </c>
      <c r="H22" t="s">
        <v>9</v>
      </c>
      <c r="M22" s="2">
        <v>11</v>
      </c>
      <c r="V22">
        <f>+V21*60</f>
        <v>30.566037735849058</v>
      </c>
      <c r="W22">
        <f>+W21*60</f>
        <v>29.433962264150942</v>
      </c>
    </row>
    <row r="23" spans="1:23" ht="12">
      <c r="A23" t="s">
        <v>10</v>
      </c>
      <c r="D23">
        <f>+D20-D22</f>
        <v>76</v>
      </c>
      <c r="H23" t="s">
        <v>10</v>
      </c>
      <c r="M23">
        <f>+M20-M22</f>
        <v>129</v>
      </c>
      <c r="V23">
        <f>+V22-INT(V22)</f>
        <v>0.5660377358490578</v>
      </c>
      <c r="W23">
        <f>+W22-INT(W22)</f>
        <v>0.4339622641509422</v>
      </c>
    </row>
    <row r="24" spans="1:23" ht="12">
      <c r="A24" t="s">
        <v>11</v>
      </c>
      <c r="D24" s="7">
        <f>+D23/(D17+D21)</f>
        <v>3.4545454545454546</v>
      </c>
      <c r="H24" t="s">
        <v>11</v>
      </c>
      <c r="M24" s="7">
        <f>+M23/(M17+M21)</f>
        <v>6.45</v>
      </c>
      <c r="V24">
        <f>+V23*60</f>
        <v>33.96226415094347</v>
      </c>
      <c r="W24">
        <f>+W23*60</f>
        <v>26.03773584905653</v>
      </c>
    </row>
    <row r="25" spans="1:23" ht="12">
      <c r="A25" t="s">
        <v>12</v>
      </c>
      <c r="D25" s="7">
        <f>+D20/D18</f>
        <v>14.5</v>
      </c>
      <c r="H25" t="s">
        <v>12</v>
      </c>
      <c r="M25" s="7">
        <f>+M20/M18</f>
        <v>14</v>
      </c>
      <c r="Q25" s="11"/>
      <c r="U25">
        <v>0</v>
      </c>
      <c r="V25" s="11">
        <f>ROUND(V24,0)</f>
        <v>34</v>
      </c>
      <c r="W25">
        <f>ROUND(W24,0)</f>
        <v>26</v>
      </c>
    </row>
    <row r="26" spans="22:23" ht="12">
      <c r="V26">
        <f>INT(V22)</f>
        <v>30</v>
      </c>
      <c r="W26">
        <f>INT(W22)</f>
        <v>29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222</v>
      </c>
      <c r="H28" t="s">
        <v>14</v>
      </c>
      <c r="M28">
        <f>+M23+M14</f>
        <v>236</v>
      </c>
      <c r="Q28" s="14"/>
      <c r="R28" s="9"/>
      <c r="V28" s="14" t="str">
        <f>+V26&amp;V27&amp;V25</f>
        <v>30:34</v>
      </c>
      <c r="W28" s="9" t="str">
        <f>+W26&amp;W27&amp;W25</f>
        <v>29:26</v>
      </c>
    </row>
    <row r="29" spans="1:23" ht="12">
      <c r="A29" t="s">
        <v>15</v>
      </c>
      <c r="D29" s="7">
        <f>+D14/D28*100</f>
        <v>65.76576576576578</v>
      </c>
      <c r="H29" t="s">
        <v>15</v>
      </c>
      <c r="M29" s="7">
        <f>+M14/M28*100</f>
        <v>45.33898305084746</v>
      </c>
      <c r="Q29" s="9"/>
      <c r="R29" s="9"/>
      <c r="V29" s="9" t="str">
        <f>IF(V25&lt;10,+V26&amp;V27&amp;$U$25&amp;V25,+V26&amp;V27&amp;V25)</f>
        <v>30:34</v>
      </c>
      <c r="W29" s="9" t="str">
        <f>IF(W25&lt;10,+W26&amp;W27&amp;$U$25&amp;W25,+W26&amp;W27&amp;W25)</f>
        <v>29:26</v>
      </c>
    </row>
    <row r="30" spans="1:16" ht="12">
      <c r="A30" s="1" t="s">
        <v>90</v>
      </c>
      <c r="D30" s="7">
        <f>+D23/D28*100</f>
        <v>34.234234234234236</v>
      </c>
      <c r="H30" s="1" t="s">
        <v>90</v>
      </c>
      <c r="M30" s="7">
        <f>+M23/M28*100</f>
        <v>54.66101694915254</v>
      </c>
      <c r="P30" s="13"/>
    </row>
    <row r="32" spans="1:13" ht="12">
      <c r="A32" t="s">
        <v>16</v>
      </c>
      <c r="D32">
        <f>+D13+D17+D21</f>
        <v>59</v>
      </c>
      <c r="H32" t="s">
        <v>16</v>
      </c>
      <c r="M32">
        <f>+M13+M17+M21</f>
        <v>52</v>
      </c>
    </row>
    <row r="33" spans="1:14" ht="12">
      <c r="A33" t="s">
        <v>17</v>
      </c>
      <c r="C33" s="7"/>
      <c r="D33" s="8">
        <f>+D28/D32</f>
        <v>3.76271186440678</v>
      </c>
      <c r="F33" s="7"/>
      <c r="G33" s="7"/>
      <c r="H33" s="7" t="s">
        <v>17</v>
      </c>
      <c r="I33" s="7"/>
      <c r="J33" s="7"/>
      <c r="K33" s="7"/>
      <c r="M33" s="8">
        <f>+M28/M32</f>
        <v>4.538461538461538</v>
      </c>
      <c r="N33" s="7"/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1</v>
      </c>
      <c r="H36" t="s">
        <v>19</v>
      </c>
      <c r="M36" s="2">
        <v>4</v>
      </c>
    </row>
    <row r="37" spans="1:13" ht="12">
      <c r="A37" t="s">
        <v>20</v>
      </c>
      <c r="D37" s="2">
        <v>0</v>
      </c>
      <c r="H37" t="s">
        <v>20</v>
      </c>
      <c r="M37" s="2">
        <f>0+26+3+27</f>
        <v>56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6</v>
      </c>
      <c r="H40" t="s">
        <v>22</v>
      </c>
      <c r="M40" s="2">
        <v>3</v>
      </c>
    </row>
    <row r="41" spans="1:13" ht="12">
      <c r="A41" t="s">
        <v>23</v>
      </c>
      <c r="D41" s="2">
        <f>31+48+32+52+42+37</f>
        <v>242</v>
      </c>
      <c r="H41" t="s">
        <v>23</v>
      </c>
      <c r="M41" s="2">
        <f>45+31+40</f>
        <v>116</v>
      </c>
    </row>
    <row r="42" spans="1:14" ht="12">
      <c r="A42" t="s">
        <v>24</v>
      </c>
      <c r="C42" s="7"/>
      <c r="D42" s="8">
        <f>+D41/D40</f>
        <v>40.333333333333336</v>
      </c>
      <c r="F42" s="7"/>
      <c r="G42" s="7"/>
      <c r="H42" s="7" t="s">
        <v>24</v>
      </c>
      <c r="I42" s="7"/>
      <c r="J42" s="7"/>
      <c r="K42" s="7"/>
      <c r="M42" s="8">
        <f>+M41/M40</f>
        <v>38.666666666666664</v>
      </c>
      <c r="N42" s="7"/>
    </row>
    <row r="44" spans="1:13" ht="12">
      <c r="A44" t="s">
        <v>25</v>
      </c>
      <c r="D44" s="2">
        <v>0</v>
      </c>
      <c r="H44" t="s">
        <v>25</v>
      </c>
      <c r="M44" s="2">
        <v>4</v>
      </c>
    </row>
    <row r="45" spans="1:13" ht="12">
      <c r="A45" t="s">
        <v>26</v>
      </c>
      <c r="D45" s="2">
        <v>0</v>
      </c>
      <c r="H45" t="s">
        <v>26</v>
      </c>
      <c r="M45" s="2">
        <f>0+2-3+0</f>
        <v>-1</v>
      </c>
    </row>
    <row r="46" spans="1:13" ht="12">
      <c r="A46" t="s">
        <v>27</v>
      </c>
      <c r="D46" s="8" t="e">
        <f>+D45/D44</f>
        <v>#DIV/0!</v>
      </c>
      <c r="H46" t="s">
        <v>27</v>
      </c>
      <c r="M46" s="8">
        <f>+M45/M44</f>
        <v>-0.25</v>
      </c>
    </row>
    <row r="47" spans="1:13" ht="12">
      <c r="A47" s="18" t="s">
        <v>131</v>
      </c>
      <c r="D47" s="2">
        <v>3</v>
      </c>
      <c r="H47" s="18" t="s">
        <v>131</v>
      </c>
      <c r="M47" s="2">
        <v>1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2</v>
      </c>
      <c r="H50" t="s">
        <v>30</v>
      </c>
      <c r="M50" s="2">
        <v>4</v>
      </c>
    </row>
    <row r="51" spans="1:13" ht="12">
      <c r="A51" t="s">
        <v>26</v>
      </c>
      <c r="D51" s="2">
        <v>37</v>
      </c>
      <c r="H51" t="s">
        <v>26</v>
      </c>
      <c r="M51" s="2">
        <f>60+102+24+0</f>
        <v>186</v>
      </c>
    </row>
    <row r="52" spans="1:13" ht="12">
      <c r="A52" t="s">
        <v>27</v>
      </c>
      <c r="D52" s="8">
        <f>+D51/D50</f>
        <v>18.5</v>
      </c>
      <c r="H52" t="s">
        <v>27</v>
      </c>
      <c r="M52" s="8">
        <f>+M51/M50</f>
        <v>46.5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4</v>
      </c>
      <c r="G55" t="str">
        <f>IF(D55-D56=M50,"ok","err")</f>
        <v>ok</v>
      </c>
      <c r="H55" t="s">
        <v>127</v>
      </c>
      <c r="K55" s="2"/>
      <c r="M55" s="2">
        <v>3</v>
      </c>
      <c r="P55" s="2"/>
    </row>
    <row r="56" spans="1:16" ht="12">
      <c r="A56" t="s">
        <v>128</v>
      </c>
      <c r="D56" s="2">
        <v>0</v>
      </c>
      <c r="H56" t="s">
        <v>128</v>
      </c>
      <c r="K56" s="2"/>
      <c r="M56" s="2">
        <v>1</v>
      </c>
      <c r="P56" s="2"/>
    </row>
    <row r="57" spans="1:13" ht="12">
      <c r="A57" t="s">
        <v>129</v>
      </c>
      <c r="D57">
        <f>+D56/D55</f>
        <v>0</v>
      </c>
      <c r="H57" t="s">
        <v>129</v>
      </c>
      <c r="M57">
        <f>+M56/M55</f>
        <v>0.3333333333333333</v>
      </c>
    </row>
    <row r="59" spans="1:13" ht="12">
      <c r="A59" t="s">
        <v>31</v>
      </c>
      <c r="D59" s="2">
        <v>6</v>
      </c>
      <c r="H59" t="s">
        <v>31</v>
      </c>
      <c r="M59" s="2">
        <v>5</v>
      </c>
    </row>
    <row r="60" spans="1:13" ht="12">
      <c r="A60" t="s">
        <v>32</v>
      </c>
      <c r="D60" s="2">
        <v>61</v>
      </c>
      <c r="H60" t="s">
        <v>32</v>
      </c>
      <c r="M60" s="2">
        <v>46</v>
      </c>
    </row>
    <row r="62" spans="1:13" ht="12">
      <c r="A62" t="s">
        <v>33</v>
      </c>
      <c r="D62" s="2">
        <v>3</v>
      </c>
      <c r="H62" t="s">
        <v>33</v>
      </c>
      <c r="M62" s="2">
        <v>3</v>
      </c>
    </row>
    <row r="63" spans="1:13" ht="12">
      <c r="A63" t="s">
        <v>34</v>
      </c>
      <c r="D63" s="2">
        <v>1</v>
      </c>
      <c r="H63" t="s">
        <v>34</v>
      </c>
      <c r="M63" s="2">
        <v>0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3</v>
      </c>
      <c r="H65" t="s">
        <v>36</v>
      </c>
      <c r="M65" s="2">
        <v>2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16</v>
      </c>
      <c r="E68" t="str">
        <f>IF(B68=B69*6+B75*2+B76*3+B73,"ok","ERR")</f>
        <v>ok</v>
      </c>
      <c r="H68" t="s">
        <v>38</v>
      </c>
      <c r="M68" s="2">
        <v>14</v>
      </c>
      <c r="P68" t="str">
        <f>IF(M68=M69*6+M75*2+M76*3+M73,"ok","ERR")</f>
        <v>ok</v>
      </c>
    </row>
    <row r="69" spans="1:13" ht="12">
      <c r="A69" t="s">
        <v>39</v>
      </c>
      <c r="D69" s="2">
        <v>1</v>
      </c>
      <c r="H69" t="s">
        <v>39</v>
      </c>
      <c r="M69" s="2">
        <v>2</v>
      </c>
    </row>
    <row r="70" spans="1:13" ht="12">
      <c r="A70" t="s">
        <v>40</v>
      </c>
      <c r="D70" s="2">
        <v>0</v>
      </c>
      <c r="H70" t="s">
        <v>40</v>
      </c>
      <c r="M70" s="2">
        <v>0</v>
      </c>
    </row>
    <row r="71" spans="1:13" ht="12">
      <c r="A71" t="s">
        <v>41</v>
      </c>
      <c r="D71" s="2">
        <v>1</v>
      </c>
      <c r="H71" t="s">
        <v>41</v>
      </c>
      <c r="M71" s="2">
        <v>1</v>
      </c>
    </row>
    <row r="72" spans="1:13" ht="12">
      <c r="A72" t="s">
        <v>42</v>
      </c>
      <c r="D72" s="2">
        <v>0</v>
      </c>
      <c r="H72" t="s">
        <v>42</v>
      </c>
      <c r="M72" s="2">
        <v>1</v>
      </c>
    </row>
    <row r="73" spans="1:13" ht="12">
      <c r="A73" t="s">
        <v>43</v>
      </c>
      <c r="D73" s="2">
        <v>1</v>
      </c>
      <c r="H73" t="s">
        <v>43</v>
      </c>
      <c r="M73" s="2">
        <v>2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3</v>
      </c>
      <c r="H76" t="s">
        <v>45</v>
      </c>
      <c r="M76" s="2">
        <v>0</v>
      </c>
    </row>
    <row r="77" spans="1:13" ht="12">
      <c r="A77" t="s">
        <v>46</v>
      </c>
      <c r="D77" s="2">
        <v>4</v>
      </c>
      <c r="H77" t="s">
        <v>46</v>
      </c>
      <c r="M77" s="2">
        <v>1</v>
      </c>
    </row>
    <row r="78" spans="1:13" ht="12">
      <c r="A78" t="s">
        <v>47</v>
      </c>
      <c r="D78" s="8">
        <f>+D76/D77*100</f>
        <v>75</v>
      </c>
      <c r="E78" s="7"/>
      <c r="F78" s="7"/>
      <c r="G78" s="7"/>
      <c r="H78" s="7" t="s">
        <v>47</v>
      </c>
      <c r="I78" s="7"/>
      <c r="J78" s="7"/>
      <c r="K78" s="7"/>
      <c r="L78" s="7"/>
      <c r="M78" s="8">
        <f>+M76/M77*100</f>
        <v>0</v>
      </c>
    </row>
    <row r="79" spans="1:13" ht="12">
      <c r="A79" t="s">
        <v>93</v>
      </c>
      <c r="D79" s="10" t="str">
        <f>IF(V25&lt;10,V29,V28)</f>
        <v>30:34</v>
      </c>
      <c r="E79" s="8"/>
      <c r="F79" s="8"/>
      <c r="H79" t="s">
        <v>93</v>
      </c>
      <c r="M79" s="10">
        <f>IF(AE25&lt;10,AE29,AE28)</f>
        <v>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8" ht="12">
      <c r="A84" t="s">
        <v>134</v>
      </c>
      <c r="C84">
        <v>4</v>
      </c>
      <c r="D84">
        <v>16</v>
      </c>
      <c r="E84" s="12">
        <f>+D84/C84</f>
        <v>4</v>
      </c>
      <c r="F84">
        <v>8</v>
      </c>
      <c r="G84">
        <v>0</v>
      </c>
      <c r="H84">
        <v>0</v>
      </c>
    </row>
    <row r="85" spans="1:8" ht="12">
      <c r="A85" t="s">
        <v>135</v>
      </c>
      <c r="C85">
        <v>5</v>
      </c>
      <c r="D85">
        <v>39</v>
      </c>
      <c r="E85" s="12">
        <f>+D85/C85</f>
        <v>7.8</v>
      </c>
      <c r="F85">
        <v>23</v>
      </c>
      <c r="G85">
        <v>0</v>
      </c>
      <c r="H85">
        <v>1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5" ht="12">
      <c r="A87" t="s">
        <v>137</v>
      </c>
      <c r="E87" s="12" t="e">
        <f t="shared" si="0"/>
        <v>#DIV/0!</v>
      </c>
    </row>
    <row r="88" spans="1:8" ht="12">
      <c r="A88" t="s">
        <v>138</v>
      </c>
      <c r="C88">
        <v>1</v>
      </c>
      <c r="D88">
        <v>3</v>
      </c>
      <c r="E88" s="12">
        <f t="shared" si="0"/>
        <v>3</v>
      </c>
      <c r="F88">
        <v>3</v>
      </c>
      <c r="G88">
        <v>0</v>
      </c>
      <c r="H88">
        <v>0</v>
      </c>
    </row>
    <row r="89" spans="1:8" ht="12">
      <c r="A89" t="s">
        <v>139</v>
      </c>
      <c r="C89">
        <v>2</v>
      </c>
      <c r="D89">
        <v>7</v>
      </c>
      <c r="E89" s="12">
        <f t="shared" si="0"/>
        <v>3.5</v>
      </c>
      <c r="F89">
        <v>5</v>
      </c>
      <c r="G89">
        <v>0</v>
      </c>
      <c r="H89">
        <v>1</v>
      </c>
    </row>
    <row r="90" spans="1:5" ht="12">
      <c r="A90" t="s">
        <v>140</v>
      </c>
      <c r="E90" s="12" t="e">
        <f t="shared" si="0"/>
        <v>#DIV/0!</v>
      </c>
    </row>
    <row r="91" spans="1:8" ht="12">
      <c r="A91" t="s">
        <v>141</v>
      </c>
      <c r="C91">
        <v>6</v>
      </c>
      <c r="D91">
        <v>5</v>
      </c>
      <c r="E91" s="12">
        <f t="shared" si="0"/>
        <v>0.8333333333333334</v>
      </c>
      <c r="F91">
        <v>5</v>
      </c>
      <c r="G91">
        <v>0</v>
      </c>
      <c r="H91">
        <v>0</v>
      </c>
    </row>
    <row r="92" spans="1:5" ht="12">
      <c r="A92" t="s">
        <v>142</v>
      </c>
      <c r="E92" s="12" t="e">
        <f t="shared" si="0"/>
        <v>#DIV/0!</v>
      </c>
    </row>
    <row r="93" spans="1:8" ht="12">
      <c r="A93" t="s">
        <v>143</v>
      </c>
      <c r="C93">
        <v>19</v>
      </c>
      <c r="D93">
        <v>76</v>
      </c>
      <c r="E93" s="12">
        <f>+D93/C93</f>
        <v>4</v>
      </c>
      <c r="F93">
        <v>15</v>
      </c>
      <c r="G93">
        <v>0</v>
      </c>
      <c r="H93">
        <v>0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8" ht="12">
      <c r="A101" t="s">
        <v>134</v>
      </c>
      <c r="C101">
        <v>3</v>
      </c>
      <c r="D101">
        <v>38</v>
      </c>
      <c r="E101" s="12">
        <f aca="true" t="shared" si="1" ref="E101:E112">+D101/C101</f>
        <v>12.666666666666666</v>
      </c>
      <c r="F101">
        <v>28</v>
      </c>
      <c r="G101">
        <v>1</v>
      </c>
      <c r="H101">
        <v>0</v>
      </c>
    </row>
    <row r="102" spans="1:8" ht="12">
      <c r="A102" t="s">
        <v>144</v>
      </c>
      <c r="C102">
        <v>1</v>
      </c>
      <c r="D102">
        <v>4</v>
      </c>
      <c r="E102" s="12">
        <f t="shared" si="1"/>
        <v>4</v>
      </c>
      <c r="F102">
        <v>4</v>
      </c>
      <c r="G102">
        <v>0</v>
      </c>
      <c r="H102">
        <v>0</v>
      </c>
    </row>
    <row r="103" spans="1:8" ht="12">
      <c r="A103" t="s">
        <v>136</v>
      </c>
      <c r="C103">
        <v>1</v>
      </c>
      <c r="D103">
        <v>31</v>
      </c>
      <c r="E103" s="12">
        <f t="shared" si="1"/>
        <v>31</v>
      </c>
      <c r="F103">
        <v>31</v>
      </c>
      <c r="G103">
        <v>0</v>
      </c>
      <c r="H103">
        <v>0</v>
      </c>
    </row>
    <row r="104" spans="1:5" ht="12">
      <c r="A104" t="s">
        <v>145</v>
      </c>
      <c r="E104" s="12" t="e">
        <f t="shared" si="1"/>
        <v>#DIV/0!</v>
      </c>
    </row>
    <row r="105" spans="1:5" ht="12">
      <c r="A105" t="s">
        <v>137</v>
      </c>
      <c r="E105" s="12" t="e">
        <f t="shared" si="1"/>
        <v>#DIV/0!</v>
      </c>
    </row>
    <row r="106" spans="1:5" ht="12">
      <c r="A106" t="s">
        <v>138</v>
      </c>
      <c r="E106" s="12" t="e">
        <f t="shared" si="1"/>
        <v>#DIV/0!</v>
      </c>
    </row>
    <row r="107" spans="1:5" ht="12">
      <c r="A107" t="s">
        <v>139</v>
      </c>
      <c r="E107" s="12" t="e">
        <f t="shared" si="1"/>
        <v>#DIV/0!</v>
      </c>
    </row>
    <row r="108" spans="1:8" ht="12">
      <c r="A108" t="s">
        <v>140</v>
      </c>
      <c r="C108">
        <v>1</v>
      </c>
      <c r="D108">
        <v>20</v>
      </c>
      <c r="E108" s="12">
        <f t="shared" si="1"/>
        <v>20</v>
      </c>
      <c r="F108">
        <v>20</v>
      </c>
      <c r="G108">
        <v>0</v>
      </c>
      <c r="H108">
        <v>0</v>
      </c>
    </row>
    <row r="109" spans="1:8" ht="12">
      <c r="A109" t="s">
        <v>141</v>
      </c>
      <c r="C109">
        <v>1</v>
      </c>
      <c r="D109">
        <v>12</v>
      </c>
      <c r="E109" s="12">
        <f t="shared" si="1"/>
        <v>12</v>
      </c>
      <c r="F109">
        <v>12</v>
      </c>
      <c r="G109">
        <v>0</v>
      </c>
      <c r="H109">
        <v>0</v>
      </c>
    </row>
    <row r="110" spans="1:8" ht="12">
      <c r="A110" t="s">
        <v>143</v>
      </c>
      <c r="C110">
        <v>1</v>
      </c>
      <c r="D110">
        <v>11</v>
      </c>
      <c r="E110" s="12">
        <f t="shared" si="1"/>
        <v>11</v>
      </c>
      <c r="F110">
        <v>11</v>
      </c>
      <c r="G110">
        <v>0</v>
      </c>
      <c r="H110">
        <v>0</v>
      </c>
    </row>
    <row r="111" spans="1:5" ht="12">
      <c r="A111" t="s">
        <v>146</v>
      </c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133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C122">
        <v>17</v>
      </c>
      <c r="D122">
        <v>8</v>
      </c>
      <c r="E122" s="12">
        <f t="shared" si="2"/>
        <v>47.05882352941176</v>
      </c>
      <c r="F122">
        <v>116</v>
      </c>
      <c r="G122">
        <v>1</v>
      </c>
      <c r="H122">
        <v>31</v>
      </c>
      <c r="I122">
        <v>1</v>
      </c>
      <c r="J122" s="8">
        <f t="shared" si="3"/>
        <v>5.88235294117647</v>
      </c>
      <c r="K122" s="12">
        <f t="shared" si="4"/>
        <v>5.88235294117647</v>
      </c>
      <c r="L122" s="12">
        <f t="shared" si="5"/>
        <v>6.823529411764706</v>
      </c>
      <c r="M122" s="12">
        <f t="shared" si="6"/>
        <v>64.82843137254902</v>
      </c>
      <c r="N122">
        <v>1</v>
      </c>
      <c r="O122">
        <v>4</v>
      </c>
      <c r="R122">
        <f t="shared" si="7"/>
        <v>0.8529411764705881</v>
      </c>
      <c r="S122" s="2">
        <f t="shared" si="8"/>
        <v>0.8529411764705881</v>
      </c>
      <c r="T122" s="6">
        <f t="shared" si="9"/>
        <v>0.9558823529411764</v>
      </c>
      <c r="U122" s="2">
        <f t="shared" si="10"/>
        <v>0.9558823529411764</v>
      </c>
      <c r="V122">
        <f t="shared" si="11"/>
        <v>1.176470588235294</v>
      </c>
      <c r="W122" s="2">
        <f t="shared" si="12"/>
        <v>1.176470588235294</v>
      </c>
      <c r="X122">
        <f t="shared" si="13"/>
        <v>0.9044117647058825</v>
      </c>
      <c r="Y122" s="2">
        <f t="shared" si="14"/>
        <v>0.9044117647058825</v>
      </c>
    </row>
    <row r="123" spans="1:25" ht="12">
      <c r="A123" t="s">
        <v>147</v>
      </c>
      <c r="E123" s="12" t="e">
        <f t="shared" si="2"/>
        <v>#DIV/0!</v>
      </c>
      <c r="J123" s="8" t="e">
        <f t="shared" si="3"/>
        <v>#DIV/0!</v>
      </c>
      <c r="K123" s="12" t="e">
        <f t="shared" si="4"/>
        <v>#DIV/0!</v>
      </c>
      <c r="L123" s="12" t="e">
        <f t="shared" si="5"/>
        <v>#DIV/0!</v>
      </c>
      <c r="M123" s="12" t="e">
        <f t="shared" si="6"/>
        <v>#DIV/0!</v>
      </c>
      <c r="R123" t="e">
        <f t="shared" si="7"/>
        <v>#DIV/0!</v>
      </c>
      <c r="S123" s="2" t="e">
        <f t="shared" si="8"/>
        <v>#DIV/0!</v>
      </c>
      <c r="T123" s="6" t="e">
        <f t="shared" si="9"/>
        <v>#DIV/0!</v>
      </c>
      <c r="U123" s="2" t="e">
        <f t="shared" si="10"/>
        <v>#DIV/0!</v>
      </c>
      <c r="V123" t="e">
        <f t="shared" si="11"/>
        <v>#DIV/0!</v>
      </c>
      <c r="W123" s="2" t="e">
        <f t="shared" si="12"/>
        <v>#DIV/0!</v>
      </c>
      <c r="X123" t="e">
        <f t="shared" si="13"/>
        <v>#DIV/0!</v>
      </c>
      <c r="Y123" s="2" t="e">
        <f t="shared" si="14"/>
        <v>#DIV/0!</v>
      </c>
    </row>
    <row r="124" spans="1:25" ht="12">
      <c r="A124" t="s">
        <v>142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143</v>
      </c>
      <c r="C125">
        <v>1</v>
      </c>
      <c r="D125">
        <v>0</v>
      </c>
      <c r="E125" s="12">
        <f t="shared" si="2"/>
        <v>0</v>
      </c>
      <c r="F125">
        <v>0</v>
      </c>
      <c r="G125">
        <v>0</v>
      </c>
      <c r="H125">
        <v>0</v>
      </c>
      <c r="I125">
        <v>0</v>
      </c>
      <c r="J125" s="8">
        <f t="shared" si="3"/>
        <v>0</v>
      </c>
      <c r="K125" s="12">
        <f t="shared" si="4"/>
        <v>0</v>
      </c>
      <c r="L125" s="12">
        <f t="shared" si="5"/>
        <v>0</v>
      </c>
      <c r="M125" s="12">
        <f t="shared" si="6"/>
        <v>39.583333333333336</v>
      </c>
      <c r="N125">
        <v>0</v>
      </c>
      <c r="O125">
        <v>0</v>
      </c>
      <c r="R125">
        <f t="shared" si="7"/>
        <v>-1.5</v>
      </c>
      <c r="S125" s="2">
        <f t="shared" si="8"/>
        <v>0</v>
      </c>
      <c r="T125" s="6">
        <f t="shared" si="9"/>
        <v>-0.75</v>
      </c>
      <c r="U125" s="2">
        <f t="shared" si="10"/>
        <v>0</v>
      </c>
      <c r="V125">
        <f t="shared" si="11"/>
        <v>0</v>
      </c>
      <c r="W125" s="2">
        <f t="shared" si="12"/>
        <v>0</v>
      </c>
      <c r="X125">
        <f t="shared" si="13"/>
        <v>2.375</v>
      </c>
      <c r="Y125" s="2">
        <f t="shared" si="14"/>
        <v>2.375</v>
      </c>
    </row>
    <row r="126" spans="5:25" ht="12"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8" spans="1:9" ht="12">
      <c r="A128" s="2" t="s">
        <v>71</v>
      </c>
      <c r="C128" s="3" t="s">
        <v>72</v>
      </c>
      <c r="D128" s="3" t="s">
        <v>73</v>
      </c>
      <c r="E128" s="3" t="s">
        <v>74</v>
      </c>
      <c r="F128" s="3" t="s">
        <v>53</v>
      </c>
      <c r="G128" s="3" t="s">
        <v>64</v>
      </c>
      <c r="H128" s="3" t="s">
        <v>55</v>
      </c>
      <c r="I128" s="3" t="s">
        <v>84</v>
      </c>
    </row>
    <row r="129" spans="1:6" ht="12">
      <c r="A129" t="s">
        <v>148</v>
      </c>
      <c r="F129" s="12" t="e">
        <f aca="true" t="shared" si="15" ref="F129:F134">+E129/C129</f>
        <v>#DIV/0!</v>
      </c>
    </row>
    <row r="130" spans="1:6" ht="12">
      <c r="A130" t="s">
        <v>136</v>
      </c>
      <c r="D130">
        <v>2</v>
      </c>
      <c r="F130" s="12" t="e">
        <f t="shared" si="15"/>
        <v>#DIV/0!</v>
      </c>
    </row>
    <row r="131" spans="1:6" ht="12">
      <c r="A131" t="s">
        <v>140</v>
      </c>
      <c r="F131" s="12" t="e">
        <f t="shared" si="15"/>
        <v>#DIV/0!</v>
      </c>
    </row>
    <row r="132" spans="1:6" ht="12">
      <c r="A132" t="s">
        <v>143</v>
      </c>
      <c r="D132">
        <v>1</v>
      </c>
      <c r="F132" s="12" t="e">
        <f t="shared" si="15"/>
        <v>#DIV/0!</v>
      </c>
    </row>
    <row r="133" ht="12">
      <c r="F133" s="12" t="e">
        <f t="shared" si="15"/>
        <v>#DIV/0!</v>
      </c>
    </row>
    <row r="134" ht="12">
      <c r="F134" s="12" t="e">
        <f t="shared" si="15"/>
        <v>#DIV/0!</v>
      </c>
    </row>
    <row r="138" spans="1:8" ht="12">
      <c r="A138" s="2" t="s">
        <v>30</v>
      </c>
      <c r="C138" s="3" t="s">
        <v>72</v>
      </c>
      <c r="D138" s="3" t="s">
        <v>74</v>
      </c>
      <c r="E138" s="3" t="s">
        <v>53</v>
      </c>
      <c r="F138" s="3" t="s">
        <v>64</v>
      </c>
      <c r="G138" s="3" t="s">
        <v>55</v>
      </c>
      <c r="H138" s="3" t="s">
        <v>84</v>
      </c>
    </row>
    <row r="139" spans="1:6" ht="12">
      <c r="A139" t="s">
        <v>149</v>
      </c>
      <c r="C139">
        <v>1</v>
      </c>
      <c r="D139">
        <v>19</v>
      </c>
      <c r="E139" s="12">
        <f aca="true" t="shared" si="16" ref="E139:E144">+D139/C139</f>
        <v>19</v>
      </c>
      <c r="F139">
        <v>19</v>
      </c>
    </row>
    <row r="140" spans="1:5" ht="12">
      <c r="A140" t="s">
        <v>148</v>
      </c>
      <c r="E140" s="12" t="e">
        <f t="shared" si="16"/>
        <v>#DIV/0!</v>
      </c>
    </row>
    <row r="141" spans="1:5" ht="12">
      <c r="A141" t="s">
        <v>136</v>
      </c>
      <c r="E141" s="12" t="e">
        <f t="shared" si="16"/>
        <v>#DIV/0!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151</v>
      </c>
      <c r="E143" s="12" t="e">
        <f t="shared" si="16"/>
        <v>#DIV/0!</v>
      </c>
    </row>
    <row r="144" spans="1:5" ht="12">
      <c r="A144" t="s">
        <v>152</v>
      </c>
      <c r="E144" s="12" t="e">
        <f t="shared" si="16"/>
        <v>#DIV/0!</v>
      </c>
    </row>
    <row r="145" spans="1:5" ht="12">
      <c r="A145" t="s">
        <v>138</v>
      </c>
      <c r="E145" s="12" t="e">
        <f aca="true" t="shared" si="17" ref="E145:E151">+D145/C145</f>
        <v>#DIV/0!</v>
      </c>
    </row>
    <row r="146" spans="1:6" ht="12">
      <c r="A146" t="s">
        <v>143</v>
      </c>
      <c r="C146">
        <v>1</v>
      </c>
      <c r="D146">
        <v>18</v>
      </c>
      <c r="E146" s="12">
        <f t="shared" si="17"/>
        <v>18</v>
      </c>
      <c r="F146">
        <v>18</v>
      </c>
    </row>
    <row r="147" spans="1:5" ht="12">
      <c r="A147" t="s">
        <v>146</v>
      </c>
      <c r="E147" s="12" t="e">
        <f t="shared" si="17"/>
        <v>#DIV/0!</v>
      </c>
    </row>
    <row r="148" spans="1:5" ht="12">
      <c r="A148" t="s">
        <v>153</v>
      </c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3" spans="1:8" ht="12">
      <c r="A153" s="2" t="s">
        <v>75</v>
      </c>
      <c r="C153" s="3" t="s">
        <v>72</v>
      </c>
      <c r="D153" s="3" t="s">
        <v>74</v>
      </c>
      <c r="E153" s="3" t="s">
        <v>53</v>
      </c>
      <c r="F153" s="3" t="s">
        <v>64</v>
      </c>
      <c r="G153" s="3" t="s">
        <v>76</v>
      </c>
      <c r="H153" s="3" t="s">
        <v>84</v>
      </c>
    </row>
    <row r="154" spans="1:6" ht="12">
      <c r="A154" t="s">
        <v>154</v>
      </c>
      <c r="C154">
        <v>6</v>
      </c>
      <c r="D154">
        <f>31+48+32+52+42+37</f>
        <v>242</v>
      </c>
      <c r="E154" s="12"/>
      <c r="F154">
        <v>52</v>
      </c>
    </row>
    <row r="160" spans="9:21" ht="12">
      <c r="I160" s="5" t="s">
        <v>67</v>
      </c>
      <c r="L160" s="32" t="s">
        <v>99</v>
      </c>
      <c r="M160" s="32"/>
      <c r="N160" s="32" t="s">
        <v>100</v>
      </c>
      <c r="O160" s="32"/>
      <c r="P160" s="32" t="s">
        <v>101</v>
      </c>
      <c r="Q160" s="32"/>
      <c r="R160" s="32" t="s">
        <v>102</v>
      </c>
      <c r="S160" s="32"/>
      <c r="T160" s="32" t="s">
        <v>103</v>
      </c>
      <c r="U160" s="32"/>
    </row>
    <row r="161" spans="1:21" ht="12">
      <c r="A161" s="4" t="s">
        <v>83</v>
      </c>
      <c r="C161" s="3" t="s">
        <v>77</v>
      </c>
      <c r="D161" s="3" t="s">
        <v>78</v>
      </c>
      <c r="E161" s="3" t="s">
        <v>79</v>
      </c>
      <c r="F161" s="3" t="s">
        <v>80</v>
      </c>
      <c r="G161" s="3" t="s">
        <v>81</v>
      </c>
      <c r="H161" s="3" t="s">
        <v>82</v>
      </c>
      <c r="I161" s="3" t="s">
        <v>86</v>
      </c>
      <c r="J161" s="3" t="s">
        <v>64</v>
      </c>
      <c r="L161" s="3" t="s">
        <v>81</v>
      </c>
      <c r="M161" s="3" t="s">
        <v>82</v>
      </c>
      <c r="N161" s="3" t="s">
        <v>81</v>
      </c>
      <c r="O161" s="3" t="s">
        <v>82</v>
      </c>
      <c r="P161" s="3" t="s">
        <v>81</v>
      </c>
      <c r="Q161" s="3" t="s">
        <v>82</v>
      </c>
      <c r="R161" s="3" t="s">
        <v>81</v>
      </c>
      <c r="S161" s="3" t="s">
        <v>82</v>
      </c>
      <c r="T161" s="3" t="s">
        <v>81</v>
      </c>
      <c r="U161" s="3" t="s">
        <v>82</v>
      </c>
    </row>
    <row r="162" spans="1:19" ht="12">
      <c r="A162" t="s">
        <v>155</v>
      </c>
      <c r="C162">
        <v>4</v>
      </c>
      <c r="E162">
        <v>1</v>
      </c>
      <c r="F162">
        <v>1</v>
      </c>
      <c r="G162">
        <v>4</v>
      </c>
      <c r="H162">
        <v>3</v>
      </c>
      <c r="I162" s="12">
        <f aca="true" t="shared" si="18" ref="I162:I169">+H162/G162*100</f>
        <v>75</v>
      </c>
      <c r="J162">
        <v>41</v>
      </c>
      <c r="L162">
        <v>1</v>
      </c>
      <c r="M162">
        <v>1</v>
      </c>
      <c r="N162">
        <v>1</v>
      </c>
      <c r="R162">
        <v>2</v>
      </c>
      <c r="S162">
        <v>2</v>
      </c>
    </row>
    <row r="163" spans="1:9" ht="12">
      <c r="A163" t="s">
        <v>154</v>
      </c>
      <c r="I163" s="12" t="e">
        <f t="shared" si="18"/>
        <v>#DIV/0!</v>
      </c>
    </row>
    <row r="164" ht="12">
      <c r="I164" s="12" t="e">
        <f t="shared" si="18"/>
        <v>#DIV/0!</v>
      </c>
    </row>
    <row r="165" ht="12">
      <c r="I165" s="12" t="e">
        <f t="shared" si="18"/>
        <v>#DIV/0!</v>
      </c>
    </row>
    <row r="166" ht="12">
      <c r="I166" s="12" t="e">
        <f t="shared" si="18"/>
        <v>#DIV/0!</v>
      </c>
    </row>
    <row r="167" ht="12"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2" spans="1:8" ht="12">
      <c r="A172" s="2" t="s">
        <v>85</v>
      </c>
      <c r="C172" s="3" t="s">
        <v>72</v>
      </c>
      <c r="D172" s="3" t="s">
        <v>74</v>
      </c>
      <c r="E172" s="3" t="s">
        <v>53</v>
      </c>
      <c r="F172" s="3" t="s">
        <v>64</v>
      </c>
      <c r="G172" s="3" t="s">
        <v>55</v>
      </c>
      <c r="H172" s="3" t="s">
        <v>84</v>
      </c>
    </row>
    <row r="173" spans="1:5" ht="12">
      <c r="A173" t="s">
        <v>156</v>
      </c>
      <c r="E173" s="12" t="e">
        <f>+D173/C173</f>
        <v>#DIV/0!</v>
      </c>
    </row>
    <row r="174" spans="1:5" ht="12">
      <c r="A174" t="s">
        <v>149</v>
      </c>
      <c r="E174" s="12" t="e">
        <f aca="true" t="shared" si="19" ref="E174:E180">+D174/C174</f>
        <v>#DIV/0!</v>
      </c>
    </row>
    <row r="175" spans="1:5" ht="12">
      <c r="A175" t="s">
        <v>157</v>
      </c>
      <c r="E175" s="12" t="e">
        <f t="shared" si="19"/>
        <v>#DIV/0!</v>
      </c>
    </row>
    <row r="176" spans="1:6" ht="12">
      <c r="A176" t="s">
        <v>158</v>
      </c>
      <c r="C176">
        <v>1</v>
      </c>
      <c r="D176">
        <v>26</v>
      </c>
      <c r="E176" s="12">
        <f t="shared" si="19"/>
        <v>26</v>
      </c>
      <c r="F176">
        <v>26</v>
      </c>
    </row>
    <row r="177" spans="1:6" ht="12">
      <c r="A177" t="s">
        <v>159</v>
      </c>
      <c r="C177">
        <v>1</v>
      </c>
      <c r="D177">
        <v>3</v>
      </c>
      <c r="E177" s="12">
        <f t="shared" si="19"/>
        <v>3</v>
      </c>
      <c r="F177">
        <v>3</v>
      </c>
    </row>
    <row r="178" spans="1:5" ht="12">
      <c r="A178" t="s">
        <v>160</v>
      </c>
      <c r="E178" s="12" t="e">
        <f t="shared" si="19"/>
        <v>#DIV/0!</v>
      </c>
    </row>
    <row r="179" spans="1:6" ht="12">
      <c r="A179" t="s">
        <v>161</v>
      </c>
      <c r="C179">
        <v>1</v>
      </c>
      <c r="D179">
        <v>27</v>
      </c>
      <c r="E179" s="12">
        <f t="shared" si="19"/>
        <v>27</v>
      </c>
      <c r="F179">
        <v>27</v>
      </c>
    </row>
    <row r="180" spans="1:5" ht="12">
      <c r="A180" t="s">
        <v>147</v>
      </c>
      <c r="E180" s="12" t="e">
        <f t="shared" si="19"/>
        <v>#DIV/0!</v>
      </c>
    </row>
    <row r="181" spans="1:5" ht="12">
      <c r="A181" t="s">
        <v>153</v>
      </c>
      <c r="E181" s="12" t="e">
        <f>+D181/C181</f>
        <v>#DIV/0!</v>
      </c>
    </row>
    <row r="182" spans="1:6" ht="12">
      <c r="A182" t="s">
        <v>162</v>
      </c>
      <c r="C182">
        <v>1</v>
      </c>
      <c r="D182">
        <v>0</v>
      </c>
      <c r="E182" s="12">
        <f>+D182/C182</f>
        <v>0</v>
      </c>
      <c r="F182">
        <v>0</v>
      </c>
    </row>
    <row r="183" spans="1:5" ht="12">
      <c r="A183" s="1"/>
      <c r="E183" s="12" t="e">
        <f>+D183/C183</f>
        <v>#DIV/0!</v>
      </c>
    </row>
    <row r="184" spans="1:5" ht="12">
      <c r="A184" s="1"/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/>
    </row>
    <row r="187" spans="1:4" ht="12">
      <c r="A187" s="2" t="s">
        <v>98</v>
      </c>
      <c r="C187" s="3" t="s">
        <v>72</v>
      </c>
      <c r="D187" s="3" t="s">
        <v>74</v>
      </c>
    </row>
    <row r="188" spans="1:4" ht="12">
      <c r="A188" s="20" t="s">
        <v>156</v>
      </c>
      <c r="C188" s="3"/>
      <c r="D188" s="3"/>
    </row>
    <row r="189" spans="1:4" ht="12">
      <c r="A189" s="20" t="s">
        <v>157</v>
      </c>
      <c r="C189" s="3"/>
      <c r="D189" s="3"/>
    </row>
    <row r="190" spans="1:4" ht="12">
      <c r="A190" s="20" t="s">
        <v>158</v>
      </c>
      <c r="C190" s="3"/>
      <c r="D190" s="3"/>
    </row>
    <row r="191" spans="1:4" ht="12">
      <c r="A191" s="20" t="s">
        <v>159</v>
      </c>
      <c r="C191" s="3"/>
      <c r="D191" s="3"/>
    </row>
    <row r="192" spans="1:4" ht="12">
      <c r="A192" s="20" t="s">
        <v>163</v>
      </c>
      <c r="C192" s="3"/>
      <c r="D192" s="3"/>
    </row>
    <row r="193" spans="1:4" ht="12">
      <c r="A193" s="20" t="s">
        <v>164</v>
      </c>
      <c r="C193" s="3"/>
      <c r="D193" s="3"/>
    </row>
    <row r="194" spans="1:4" ht="12">
      <c r="A194" s="20" t="s">
        <v>161</v>
      </c>
      <c r="C194" s="3"/>
      <c r="D194" s="3"/>
    </row>
    <row r="195" spans="1:4" ht="12">
      <c r="A195" s="20" t="s">
        <v>165</v>
      </c>
      <c r="C195" s="3">
        <v>1</v>
      </c>
      <c r="D195" s="3">
        <v>11</v>
      </c>
    </row>
    <row r="196" spans="1:4" ht="12">
      <c r="A196" s="20" t="s">
        <v>147</v>
      </c>
      <c r="C196" s="3"/>
      <c r="D196" s="3"/>
    </row>
    <row r="197" spans="1:4" ht="12">
      <c r="A197" s="20" t="s">
        <v>166</v>
      </c>
      <c r="C197" s="3"/>
      <c r="D197" s="3"/>
    </row>
    <row r="198" spans="1:4" ht="12">
      <c r="A198" s="20"/>
      <c r="C198" s="3"/>
      <c r="D198" s="3"/>
    </row>
    <row r="199" spans="1:4" ht="12">
      <c r="A199" s="20"/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"/>
      <c r="C202" s="3"/>
      <c r="D202" s="3"/>
    </row>
    <row r="203" spans="1:4" ht="12">
      <c r="A203" s="2"/>
      <c r="C203" s="3"/>
      <c r="D203" s="3"/>
    </row>
    <row r="204" spans="1:4" ht="12">
      <c r="A204" s="2"/>
      <c r="C204" s="3"/>
      <c r="D204" s="3"/>
    </row>
    <row r="205" spans="1:7" ht="12">
      <c r="A205" s="2" t="s">
        <v>94</v>
      </c>
      <c r="C205" s="3" t="s">
        <v>72</v>
      </c>
      <c r="D205" s="3" t="s">
        <v>74</v>
      </c>
      <c r="E205" s="3" t="s">
        <v>64</v>
      </c>
      <c r="F205" s="3" t="s">
        <v>55</v>
      </c>
      <c r="G205" s="5" t="s">
        <v>84</v>
      </c>
    </row>
    <row r="206" ht="12">
      <c r="A206" t="s">
        <v>167</v>
      </c>
    </row>
    <row r="207" spans="1:3" ht="12">
      <c r="A207" t="s">
        <v>156</v>
      </c>
      <c r="C207">
        <v>1</v>
      </c>
    </row>
    <row r="208" ht="12">
      <c r="A208" t="s">
        <v>149</v>
      </c>
    </row>
    <row r="209" ht="12">
      <c r="A209" t="s">
        <v>157</v>
      </c>
    </row>
    <row r="210" ht="12">
      <c r="A210" t="s">
        <v>133</v>
      </c>
    </row>
    <row r="211" ht="12">
      <c r="A211" t="s">
        <v>134</v>
      </c>
    </row>
    <row r="212" ht="12">
      <c r="A212" t="s">
        <v>158</v>
      </c>
    </row>
    <row r="213" ht="12">
      <c r="A213" t="s">
        <v>168</v>
      </c>
    </row>
    <row r="214" ht="12">
      <c r="A214" t="s">
        <v>135</v>
      </c>
    </row>
    <row r="215" ht="12">
      <c r="A215" t="s">
        <v>159</v>
      </c>
    </row>
    <row r="216" ht="12">
      <c r="A216" t="s">
        <v>169</v>
      </c>
    </row>
    <row r="217" spans="1:3" ht="12">
      <c r="A217" t="s">
        <v>144</v>
      </c>
      <c r="C217">
        <v>1</v>
      </c>
    </row>
    <row r="218" ht="12">
      <c r="A218" t="s">
        <v>148</v>
      </c>
    </row>
    <row r="219" spans="1:3" ht="12">
      <c r="A219" t="s">
        <v>163</v>
      </c>
      <c r="C219">
        <v>1</v>
      </c>
    </row>
    <row r="220" ht="12">
      <c r="A220" t="s">
        <v>160</v>
      </c>
    </row>
    <row r="221" ht="12">
      <c r="A221" t="s">
        <v>136</v>
      </c>
    </row>
    <row r="222" ht="12">
      <c r="A222" t="s">
        <v>170</v>
      </c>
    </row>
    <row r="223" ht="12">
      <c r="A223" t="s">
        <v>154</v>
      </c>
    </row>
    <row r="224" ht="12">
      <c r="A224" t="s">
        <v>150</v>
      </c>
    </row>
    <row r="225" ht="12">
      <c r="A225" t="s">
        <v>171</v>
      </c>
    </row>
    <row r="226" ht="12">
      <c r="A226" t="s">
        <v>164</v>
      </c>
    </row>
    <row r="227" ht="12">
      <c r="A227" t="s">
        <v>145</v>
      </c>
    </row>
    <row r="228" ht="12">
      <c r="A228" t="s">
        <v>137</v>
      </c>
    </row>
    <row r="229" ht="12">
      <c r="A229" t="s">
        <v>151</v>
      </c>
    </row>
    <row r="230" spans="1:3" ht="12">
      <c r="A230" t="s">
        <v>152</v>
      </c>
      <c r="C230">
        <v>1</v>
      </c>
    </row>
    <row r="231" ht="12">
      <c r="A231" t="s">
        <v>138</v>
      </c>
    </row>
    <row r="232" ht="12">
      <c r="A232" t="s">
        <v>139</v>
      </c>
    </row>
    <row r="233" ht="12">
      <c r="A233" t="s">
        <v>161</v>
      </c>
    </row>
    <row r="234" ht="12">
      <c r="A234" t="s">
        <v>172</v>
      </c>
    </row>
    <row r="235" ht="12">
      <c r="A235" t="s">
        <v>140</v>
      </c>
    </row>
    <row r="236" ht="12">
      <c r="A236" t="s">
        <v>165</v>
      </c>
    </row>
    <row r="237" ht="12">
      <c r="A237" t="s">
        <v>155</v>
      </c>
    </row>
    <row r="238" ht="12">
      <c r="A238" t="s">
        <v>147</v>
      </c>
    </row>
    <row r="239" ht="12">
      <c r="A239" t="s">
        <v>173</v>
      </c>
    </row>
    <row r="240" ht="12">
      <c r="A240" t="s">
        <v>141</v>
      </c>
    </row>
    <row r="241" ht="12">
      <c r="A241" t="s">
        <v>174</v>
      </c>
    </row>
    <row r="242" ht="12">
      <c r="A242" t="s">
        <v>166</v>
      </c>
    </row>
    <row r="243" ht="12">
      <c r="A243" t="s">
        <v>175</v>
      </c>
    </row>
    <row r="244" ht="12">
      <c r="A244" t="s">
        <v>176</v>
      </c>
    </row>
    <row r="245" ht="12">
      <c r="A245" t="s">
        <v>142</v>
      </c>
    </row>
    <row r="246" ht="12">
      <c r="A246" t="s">
        <v>177</v>
      </c>
    </row>
    <row r="247" ht="12">
      <c r="A247" t="s">
        <v>143</v>
      </c>
    </row>
    <row r="248" ht="12">
      <c r="A248" t="s">
        <v>178</v>
      </c>
    </row>
    <row r="249" ht="12">
      <c r="A249" t="s">
        <v>179</v>
      </c>
    </row>
    <row r="250" ht="12">
      <c r="A250" t="s">
        <v>146</v>
      </c>
    </row>
    <row r="251" ht="12">
      <c r="A251" t="s">
        <v>153</v>
      </c>
    </row>
    <row r="252" ht="12">
      <c r="A252" t="s">
        <v>162</v>
      </c>
    </row>
    <row r="253" ht="12">
      <c r="A253" t="s">
        <v>180</v>
      </c>
    </row>
  </sheetData>
  <sheetProtection/>
  <mergeCells count="5">
    <mergeCell ref="L160:M160"/>
    <mergeCell ref="N160:O160"/>
    <mergeCell ref="P160:Q160"/>
    <mergeCell ref="R160:S160"/>
    <mergeCell ref="T160:U160"/>
  </mergeCells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53"/>
  <sheetViews>
    <sheetView zoomScale="125" zoomScaleNormal="125" workbookViewId="0" topLeftCell="A1">
      <selection activeCell="A122" sqref="A122:G122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Chicago Bears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12</v>
      </c>
      <c r="H6" s="1" t="s">
        <v>29</v>
      </c>
      <c r="M6" s="2">
        <v>15</v>
      </c>
    </row>
    <row r="7" spans="1:13" ht="12">
      <c r="A7" s="16" t="s">
        <v>95</v>
      </c>
      <c r="D7" s="2">
        <v>3</v>
      </c>
      <c r="H7" s="16" t="s">
        <v>95</v>
      </c>
      <c r="M7" s="2">
        <v>4</v>
      </c>
    </row>
    <row r="8" spans="1:13" ht="12">
      <c r="A8" s="16" t="s">
        <v>96</v>
      </c>
      <c r="D8" s="2">
        <v>8</v>
      </c>
      <c r="H8" s="16" t="s">
        <v>96</v>
      </c>
      <c r="M8" s="2">
        <v>9</v>
      </c>
    </row>
    <row r="9" spans="1:13" ht="12">
      <c r="A9" s="16" t="s">
        <v>97</v>
      </c>
      <c r="D9" s="2">
        <v>1</v>
      </c>
      <c r="H9" s="16" t="s">
        <v>97</v>
      </c>
      <c r="M9" s="2">
        <v>2</v>
      </c>
    </row>
    <row r="10" spans="1:14" ht="12">
      <c r="A10" s="18" t="s">
        <v>108</v>
      </c>
      <c r="C10">
        <v>3</v>
      </c>
      <c r="D10" s="2">
        <v>13</v>
      </c>
      <c r="E10" s="19">
        <f>+C10/D10</f>
        <v>0.23076923076923078</v>
      </c>
      <c r="H10" s="18" t="s">
        <v>108</v>
      </c>
      <c r="L10">
        <v>4</v>
      </c>
      <c r="M10" s="2">
        <v>13</v>
      </c>
      <c r="N10" s="19">
        <f>+L10/M10</f>
        <v>0.3076923076923077</v>
      </c>
    </row>
    <row r="11" spans="1:14" ht="12">
      <c r="A11" s="18" t="s">
        <v>119</v>
      </c>
      <c r="C11">
        <v>0</v>
      </c>
      <c r="D11" s="2">
        <v>0</v>
      </c>
      <c r="E11" s="19"/>
      <c r="H11" s="18" t="s">
        <v>119</v>
      </c>
      <c r="L11">
        <v>1</v>
      </c>
      <c r="M11" s="2">
        <v>1</v>
      </c>
      <c r="N11" s="19"/>
    </row>
    <row r="13" spans="1:23" ht="12">
      <c r="A13" t="s">
        <v>1</v>
      </c>
      <c r="D13" s="2">
        <f>16+2+3+2+7</f>
        <v>30</v>
      </c>
      <c r="H13" t="s">
        <v>1</v>
      </c>
      <c r="M13" s="2">
        <f>15+7+3+4+1+3</f>
        <v>33</v>
      </c>
      <c r="V13">
        <f>+D13</f>
        <v>30</v>
      </c>
      <c r="W13">
        <f>+M13</f>
        <v>33</v>
      </c>
    </row>
    <row r="14" spans="1:23" ht="12">
      <c r="A14" t="s">
        <v>2</v>
      </c>
      <c r="D14" s="2">
        <f>76+3+6+0+23</f>
        <v>108</v>
      </c>
      <c r="H14" t="s">
        <v>2</v>
      </c>
      <c r="M14" s="2">
        <f>13+31+11+30+0+26</f>
        <v>111</v>
      </c>
      <c r="P14" s="13"/>
      <c r="U14" s="13"/>
      <c r="V14">
        <f>+D18</f>
        <v>13</v>
      </c>
      <c r="W14">
        <f>+M18</f>
        <v>11</v>
      </c>
    </row>
    <row r="15" spans="1:23" ht="12">
      <c r="A15" s="1" t="s">
        <v>3</v>
      </c>
      <c r="D15" s="8">
        <f>+D14/D13</f>
        <v>3.6</v>
      </c>
      <c r="H15" s="1" t="s">
        <v>3</v>
      </c>
      <c r="M15" s="8">
        <f>+M14/M13</f>
        <v>3.3636363636363638</v>
      </c>
      <c r="V15">
        <f>+(D17-D18)/2</f>
        <v>6.5</v>
      </c>
      <c r="W15">
        <f>+(M17-M18)/2</f>
        <v>7.5</v>
      </c>
    </row>
    <row r="16" spans="22:23" ht="12">
      <c r="V16">
        <f>+D40/2</f>
        <v>2</v>
      </c>
      <c r="W16">
        <f>+M40/2</f>
        <v>3</v>
      </c>
    </row>
    <row r="17" spans="1:23" ht="12">
      <c r="A17" t="s">
        <v>4</v>
      </c>
      <c r="D17" s="2">
        <v>26</v>
      </c>
      <c r="H17" t="s">
        <v>4</v>
      </c>
      <c r="M17" s="2">
        <v>26</v>
      </c>
      <c r="V17">
        <f>+D44/2</f>
        <v>0.5</v>
      </c>
      <c r="W17">
        <f>+M44/2</f>
        <v>1</v>
      </c>
    </row>
    <row r="18" spans="1:23" ht="12">
      <c r="A18" t="s">
        <v>5</v>
      </c>
      <c r="D18" s="2">
        <v>13</v>
      </c>
      <c r="H18" t="s">
        <v>5</v>
      </c>
      <c r="M18" s="2">
        <v>11</v>
      </c>
      <c r="V18">
        <f>+D50/2</f>
        <v>3</v>
      </c>
      <c r="W18">
        <f>+M50/2</f>
        <v>2.5</v>
      </c>
    </row>
    <row r="19" spans="1:13" ht="12">
      <c r="A19" t="s">
        <v>6</v>
      </c>
      <c r="D19" s="8">
        <f>+D18/D17*100</f>
        <v>50</v>
      </c>
      <c r="H19" t="s">
        <v>6</v>
      </c>
      <c r="M19" s="8">
        <f>+M18/M17*100</f>
        <v>42.30769230769231</v>
      </c>
    </row>
    <row r="20" spans="1:24" ht="12">
      <c r="A20" t="s">
        <v>7</v>
      </c>
      <c r="D20" s="2">
        <v>158</v>
      </c>
      <c r="H20" t="s">
        <v>7</v>
      </c>
      <c r="M20" s="2">
        <f>0+23+141</f>
        <v>164</v>
      </c>
      <c r="V20">
        <f>SUM(V13:V18)</f>
        <v>55</v>
      </c>
      <c r="W20">
        <f>SUM(W13:W18)</f>
        <v>58</v>
      </c>
      <c r="X20">
        <f>+W20+V20</f>
        <v>113</v>
      </c>
    </row>
    <row r="21" spans="1:23" ht="12">
      <c r="A21" t="s">
        <v>8</v>
      </c>
      <c r="D21" s="2">
        <v>5</v>
      </c>
      <c r="H21" t="s">
        <v>8</v>
      </c>
      <c r="M21" s="2">
        <v>2</v>
      </c>
      <c r="V21">
        <f>+V20/X20</f>
        <v>0.48672566371681414</v>
      </c>
      <c r="W21">
        <f>+W20/X20</f>
        <v>0.5132743362831859</v>
      </c>
    </row>
    <row r="22" spans="1:23" ht="12">
      <c r="A22" t="s">
        <v>9</v>
      </c>
      <c r="D22" s="2">
        <f>7+8+8+9+7</f>
        <v>39</v>
      </c>
      <c r="H22" t="s">
        <v>9</v>
      </c>
      <c r="M22" s="2">
        <v>15</v>
      </c>
      <c r="V22">
        <f>+V21*60</f>
        <v>29.20353982300885</v>
      </c>
      <c r="W22">
        <f>+W21*60</f>
        <v>30.79646017699115</v>
      </c>
    </row>
    <row r="23" spans="1:23" ht="12">
      <c r="A23" t="s">
        <v>10</v>
      </c>
      <c r="D23">
        <f>+D20-D22</f>
        <v>119</v>
      </c>
      <c r="H23" t="s">
        <v>10</v>
      </c>
      <c r="M23">
        <f>+M20-M22</f>
        <v>149</v>
      </c>
      <c r="V23">
        <f>+V22-INT(V22)</f>
        <v>0.20353982300884965</v>
      </c>
      <c r="W23">
        <f>+W22-INT(W22)</f>
        <v>0.7964601769911503</v>
      </c>
    </row>
    <row r="24" spans="1:23" ht="12">
      <c r="A24" t="s">
        <v>11</v>
      </c>
      <c r="D24" s="7">
        <f>+D23/(D17+D21)</f>
        <v>3.838709677419355</v>
      </c>
      <c r="H24" t="s">
        <v>11</v>
      </c>
      <c r="M24" s="7">
        <f>+M23/(M17+M21)</f>
        <v>5.321428571428571</v>
      </c>
      <c r="V24">
        <f>+V23*60</f>
        <v>12.212389380530979</v>
      </c>
      <c r="W24">
        <f>+W23*60</f>
        <v>47.78761061946902</v>
      </c>
    </row>
    <row r="25" spans="1:23" ht="12">
      <c r="A25" t="s">
        <v>12</v>
      </c>
      <c r="D25" s="7">
        <f>+D20/D18</f>
        <v>12.153846153846153</v>
      </c>
      <c r="H25" t="s">
        <v>12</v>
      </c>
      <c r="M25" s="7">
        <f>+M20/M18</f>
        <v>14.909090909090908</v>
      </c>
      <c r="Q25" s="11"/>
      <c r="U25">
        <v>0</v>
      </c>
      <c r="V25" s="11">
        <f>ROUND(V24,0)</f>
        <v>12</v>
      </c>
      <c r="W25">
        <f>ROUND(W24,0)</f>
        <v>48</v>
      </c>
    </row>
    <row r="26" spans="22:23" ht="12">
      <c r="V26">
        <f>INT(V22)</f>
        <v>29</v>
      </c>
      <c r="W26">
        <f>INT(W22)</f>
        <v>30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227</v>
      </c>
      <c r="H28" t="s">
        <v>14</v>
      </c>
      <c r="M28">
        <f>+M23+M14</f>
        <v>260</v>
      </c>
      <c r="Q28" s="14"/>
      <c r="R28" s="9"/>
      <c r="V28" s="14" t="str">
        <f>+V26&amp;V27&amp;V25</f>
        <v>29:12</v>
      </c>
      <c r="W28" s="9" t="str">
        <f>+W26&amp;W27&amp;W25</f>
        <v>30:48</v>
      </c>
    </row>
    <row r="29" spans="1:23" ht="12">
      <c r="A29" t="s">
        <v>15</v>
      </c>
      <c r="D29" s="7">
        <f>+D14/D28*100</f>
        <v>47.57709251101321</v>
      </c>
      <c r="H29" t="s">
        <v>15</v>
      </c>
      <c r="M29" s="7">
        <f>+M14/M28*100</f>
        <v>42.69230769230769</v>
      </c>
      <c r="Q29" s="9"/>
      <c r="R29" s="9"/>
      <c r="V29" s="9" t="str">
        <f>IF(V25&lt;10,+V26&amp;V27&amp;$U$25&amp;V25,+V26&amp;V27&amp;V25)</f>
        <v>29:12</v>
      </c>
      <c r="W29" s="9" t="str">
        <f>IF(W25&lt;10,+W26&amp;W27&amp;$U$25&amp;W25,+W26&amp;W27&amp;W25)</f>
        <v>30:48</v>
      </c>
    </row>
    <row r="30" spans="1:16" ht="12">
      <c r="A30" s="1" t="s">
        <v>90</v>
      </c>
      <c r="D30" s="7">
        <f>+D23/D28*100</f>
        <v>52.42290748898678</v>
      </c>
      <c r="H30" s="1" t="s">
        <v>90</v>
      </c>
      <c r="M30" s="7">
        <f>+M23/M28*100</f>
        <v>57.30769230769231</v>
      </c>
      <c r="P30" s="13"/>
    </row>
    <row r="32" spans="1:13" ht="12">
      <c r="A32" t="s">
        <v>16</v>
      </c>
      <c r="D32">
        <f>+D13+D17+D21</f>
        <v>61</v>
      </c>
      <c r="H32" t="s">
        <v>16</v>
      </c>
      <c r="M32">
        <f>+M13+M17+M21</f>
        <v>61</v>
      </c>
    </row>
    <row r="33" spans="1:13" ht="12">
      <c r="A33" t="s">
        <v>17</v>
      </c>
      <c r="D33" s="8">
        <f>+D28/D32</f>
        <v>3.721311475409836</v>
      </c>
      <c r="E33" s="7"/>
      <c r="F33" s="7"/>
      <c r="G33" s="7"/>
      <c r="H33" s="7" t="s">
        <v>17</v>
      </c>
      <c r="I33" s="7"/>
      <c r="J33" s="7"/>
      <c r="K33" s="7"/>
      <c r="L33" s="7"/>
      <c r="M33" s="8">
        <f>+M28/M32</f>
        <v>4.262295081967213</v>
      </c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0</v>
      </c>
      <c r="H36" t="s">
        <v>19</v>
      </c>
      <c r="M36" s="2">
        <v>1</v>
      </c>
    </row>
    <row r="37" spans="1:13" ht="12">
      <c r="A37" t="s">
        <v>20</v>
      </c>
      <c r="D37" s="2">
        <v>0</v>
      </c>
      <c r="H37" t="s">
        <v>20</v>
      </c>
      <c r="M37" s="2">
        <v>0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4</v>
      </c>
      <c r="H40" t="s">
        <v>22</v>
      </c>
      <c r="M40" s="2">
        <v>6</v>
      </c>
    </row>
    <row r="41" spans="1:13" ht="12">
      <c r="A41" t="s">
        <v>23</v>
      </c>
      <c r="D41" s="2">
        <f>64+41+41+40</f>
        <v>186</v>
      </c>
      <c r="H41" t="s">
        <v>23</v>
      </c>
      <c r="M41" s="2">
        <f>48+34+48+40+41+37</f>
        <v>248</v>
      </c>
    </row>
    <row r="42" spans="1:13" ht="12">
      <c r="A42" t="s">
        <v>24</v>
      </c>
      <c r="D42" s="8">
        <f>+D41/D40</f>
        <v>46.5</v>
      </c>
      <c r="E42" s="7"/>
      <c r="F42" s="7"/>
      <c r="G42" s="7"/>
      <c r="H42" s="7" t="s">
        <v>24</v>
      </c>
      <c r="I42" s="7"/>
      <c r="J42" s="7"/>
      <c r="K42" s="7"/>
      <c r="L42" s="7"/>
      <c r="M42" s="8">
        <f>+M41/M40</f>
        <v>41.333333333333336</v>
      </c>
    </row>
    <row r="44" spans="1:13" ht="12">
      <c r="A44" t="s">
        <v>25</v>
      </c>
      <c r="D44" s="2">
        <v>1</v>
      </c>
      <c r="H44" t="s">
        <v>25</v>
      </c>
      <c r="M44" s="2">
        <v>2</v>
      </c>
    </row>
    <row r="45" spans="1:13" ht="12">
      <c r="A45" t="s">
        <v>26</v>
      </c>
      <c r="D45" s="2">
        <v>0</v>
      </c>
      <c r="H45" t="s">
        <v>26</v>
      </c>
      <c r="M45" s="2">
        <v>9</v>
      </c>
    </row>
    <row r="46" spans="1:13" ht="12">
      <c r="A46" t="s">
        <v>27</v>
      </c>
      <c r="D46" s="8">
        <f>+D45/D44</f>
        <v>0</v>
      </c>
      <c r="H46" t="s">
        <v>27</v>
      </c>
      <c r="M46" s="8">
        <f>+M45/M44</f>
        <v>4.5</v>
      </c>
    </row>
    <row r="47" spans="1:13" ht="12">
      <c r="A47" s="18" t="s">
        <v>131</v>
      </c>
      <c r="D47" s="2">
        <v>4</v>
      </c>
      <c r="H47" s="18" t="s">
        <v>131</v>
      </c>
      <c r="M47" s="2">
        <v>2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6</v>
      </c>
      <c r="H50" t="s">
        <v>30</v>
      </c>
      <c r="M50" s="2">
        <v>5</v>
      </c>
    </row>
    <row r="51" spans="1:13" ht="12">
      <c r="A51" t="s">
        <v>26</v>
      </c>
      <c r="D51" s="2">
        <f>27+99+43+26+36+21</f>
        <v>252</v>
      </c>
      <c r="H51" t="s">
        <v>26</v>
      </c>
      <c r="M51" s="2">
        <f>24+51+22+8+19</f>
        <v>124</v>
      </c>
    </row>
    <row r="52" spans="1:13" ht="12">
      <c r="A52" t="s">
        <v>27</v>
      </c>
      <c r="D52" s="8">
        <f>+D51/D50</f>
        <v>42</v>
      </c>
      <c r="H52" t="s">
        <v>27</v>
      </c>
      <c r="M52" s="8">
        <f>+M51/M50</f>
        <v>24.8</v>
      </c>
    </row>
    <row r="53" spans="1:13" ht="12">
      <c r="A53" t="s">
        <v>28</v>
      </c>
      <c r="D53" s="2">
        <v>1</v>
      </c>
      <c r="H53" t="s">
        <v>28</v>
      </c>
      <c r="M53" s="2">
        <v>0</v>
      </c>
    </row>
    <row r="55" spans="1:16" ht="12">
      <c r="A55" t="s">
        <v>127</v>
      </c>
      <c r="D55" s="2">
        <v>5</v>
      </c>
      <c r="G55" t="str">
        <f>IF(D55-D56=M50,"ok","err")</f>
        <v>ok</v>
      </c>
      <c r="H55" t="s">
        <v>127</v>
      </c>
      <c r="K55" s="2"/>
      <c r="M55" s="2">
        <v>6</v>
      </c>
      <c r="P55" s="2"/>
    </row>
    <row r="56" spans="1:16" ht="12">
      <c r="A56" t="s">
        <v>128</v>
      </c>
      <c r="D56" s="2">
        <v>0</v>
      </c>
      <c r="H56" t="s">
        <v>128</v>
      </c>
      <c r="K56" s="2"/>
      <c r="M56" s="2">
        <v>0</v>
      </c>
      <c r="P56" s="2"/>
    </row>
    <row r="57" spans="1:13" ht="12">
      <c r="A57" t="s">
        <v>129</v>
      </c>
      <c r="D57">
        <f>+D56/D55</f>
        <v>0</v>
      </c>
      <c r="H57" t="s">
        <v>129</v>
      </c>
      <c r="M57">
        <f>+M56/M55</f>
        <v>0</v>
      </c>
    </row>
    <row r="59" spans="1:13" ht="12">
      <c r="A59" t="s">
        <v>31</v>
      </c>
      <c r="D59" s="2">
        <v>7</v>
      </c>
      <c r="H59" t="s">
        <v>31</v>
      </c>
      <c r="M59" s="2">
        <v>8</v>
      </c>
    </row>
    <row r="60" spans="1:13" ht="12">
      <c r="A60" t="s">
        <v>32</v>
      </c>
      <c r="D60" s="2">
        <v>75</v>
      </c>
      <c r="H60" t="s">
        <v>32</v>
      </c>
      <c r="M60" s="2">
        <v>80</v>
      </c>
    </row>
    <row r="62" spans="1:13" ht="12">
      <c r="A62" t="s">
        <v>33</v>
      </c>
      <c r="D62" s="2">
        <v>3</v>
      </c>
      <c r="H62" t="s">
        <v>33</v>
      </c>
      <c r="M62" s="2">
        <v>1</v>
      </c>
    </row>
    <row r="63" spans="1:13" ht="12">
      <c r="A63" t="s">
        <v>34</v>
      </c>
      <c r="D63" s="2">
        <v>0</v>
      </c>
      <c r="H63" t="s">
        <v>34</v>
      </c>
      <c r="M63" s="2">
        <v>0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1</v>
      </c>
      <c r="H65" t="s">
        <v>36</v>
      </c>
      <c r="M65" s="2">
        <v>3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20</v>
      </c>
      <c r="H68" t="s">
        <v>38</v>
      </c>
      <c r="M68" s="2">
        <v>31</v>
      </c>
      <c r="N68" t="str">
        <f>IF(K68=K69*6+K75*2+K76*3+K73,"ok","ERR")</f>
        <v>ok</v>
      </c>
      <c r="P68" t="str">
        <f>IF(M68=M69*6+M75*2+M76*3+M73,"ok","ERR")</f>
        <v>ok</v>
      </c>
    </row>
    <row r="69" spans="1:13" ht="12">
      <c r="A69" t="s">
        <v>39</v>
      </c>
      <c r="D69" s="2">
        <v>2</v>
      </c>
      <c r="H69" t="s">
        <v>39</v>
      </c>
      <c r="M69" s="2">
        <v>4</v>
      </c>
    </row>
    <row r="70" spans="1:13" ht="12">
      <c r="A70" t="s">
        <v>40</v>
      </c>
      <c r="D70" s="2">
        <v>1</v>
      </c>
      <c r="H70" t="s">
        <v>40</v>
      </c>
      <c r="M70" s="2">
        <v>2</v>
      </c>
    </row>
    <row r="71" spans="1:13" ht="12">
      <c r="A71" t="s">
        <v>41</v>
      </c>
      <c r="D71" s="2">
        <v>0</v>
      </c>
      <c r="H71" t="s">
        <v>41</v>
      </c>
      <c r="M71" s="2">
        <v>2</v>
      </c>
    </row>
    <row r="72" spans="1:13" ht="12">
      <c r="A72" t="s">
        <v>42</v>
      </c>
      <c r="D72" s="2">
        <v>1</v>
      </c>
      <c r="H72" t="s">
        <v>42</v>
      </c>
      <c r="M72" s="2">
        <v>0</v>
      </c>
    </row>
    <row r="73" spans="1:13" ht="12">
      <c r="A73" t="s">
        <v>43</v>
      </c>
      <c r="D73" s="2">
        <v>2</v>
      </c>
      <c r="H73" t="s">
        <v>43</v>
      </c>
      <c r="M73" s="2">
        <v>4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2</v>
      </c>
      <c r="H76" t="s">
        <v>45</v>
      </c>
      <c r="M76" s="2">
        <v>1</v>
      </c>
    </row>
    <row r="77" spans="1:13" ht="12">
      <c r="A77" t="s">
        <v>46</v>
      </c>
      <c r="D77" s="2">
        <v>3</v>
      </c>
      <c r="H77" t="s">
        <v>46</v>
      </c>
      <c r="M77" s="2">
        <v>2</v>
      </c>
    </row>
    <row r="78" spans="1:13" ht="12">
      <c r="A78" t="s">
        <v>47</v>
      </c>
      <c r="D78" s="8">
        <f>+D76/D77*100</f>
        <v>66.66666666666666</v>
      </c>
      <c r="E78" s="7"/>
      <c r="F78" s="7"/>
      <c r="G78" s="7"/>
      <c r="H78" s="7" t="s">
        <v>47</v>
      </c>
      <c r="I78" s="7"/>
      <c r="J78" s="7"/>
      <c r="K78" s="7"/>
      <c r="L78" s="7"/>
      <c r="M78" s="8">
        <f>+M76/M77*100</f>
        <v>50</v>
      </c>
    </row>
    <row r="79" spans="1:13" ht="12">
      <c r="A79" t="s">
        <v>93</v>
      </c>
      <c r="D79" s="10" t="str">
        <f>IF(V25&lt;10,V29,V28)</f>
        <v>29:12</v>
      </c>
      <c r="E79" s="8"/>
      <c r="F79" s="8"/>
      <c r="H79" t="s">
        <v>93</v>
      </c>
      <c r="M79" s="10">
        <f>IF(AE25&lt;10,AE29,AE28)</f>
        <v>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8" ht="12">
      <c r="A84" t="s">
        <v>134</v>
      </c>
      <c r="C84">
        <v>3</v>
      </c>
      <c r="D84">
        <v>6</v>
      </c>
      <c r="E84" s="12">
        <f>+D84/C84</f>
        <v>2</v>
      </c>
      <c r="F84">
        <v>6</v>
      </c>
      <c r="G84">
        <v>0</v>
      </c>
      <c r="H84">
        <v>0</v>
      </c>
    </row>
    <row r="85" spans="1:8" ht="12">
      <c r="A85" t="s">
        <v>135</v>
      </c>
      <c r="C85">
        <v>7</v>
      </c>
      <c r="D85">
        <v>23</v>
      </c>
      <c r="E85" s="12">
        <f>+D85/C85</f>
        <v>3.2857142857142856</v>
      </c>
      <c r="F85">
        <v>5</v>
      </c>
      <c r="G85">
        <v>0</v>
      </c>
      <c r="H85">
        <v>0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5" ht="12">
      <c r="A87" t="s">
        <v>137</v>
      </c>
      <c r="E87" s="12" t="e">
        <f t="shared" si="0"/>
        <v>#DIV/0!</v>
      </c>
    </row>
    <row r="88" spans="1:5" ht="12">
      <c r="A88" t="s">
        <v>138</v>
      </c>
      <c r="E88" s="12" t="e">
        <f t="shared" si="0"/>
        <v>#DIV/0!</v>
      </c>
    </row>
    <row r="89" spans="1:8" ht="12">
      <c r="A89" t="s">
        <v>139</v>
      </c>
      <c r="C89">
        <v>2</v>
      </c>
      <c r="D89">
        <v>0</v>
      </c>
      <c r="E89" s="12">
        <f t="shared" si="0"/>
        <v>0</v>
      </c>
      <c r="F89">
        <v>0</v>
      </c>
      <c r="G89">
        <v>0</v>
      </c>
      <c r="H89">
        <v>0</v>
      </c>
    </row>
    <row r="90" spans="1:5" ht="12">
      <c r="A90" t="s">
        <v>140</v>
      </c>
      <c r="E90" s="12" t="e">
        <f t="shared" si="0"/>
        <v>#DIV/0!</v>
      </c>
    </row>
    <row r="91" spans="1:8" ht="12">
      <c r="A91" t="s">
        <v>141</v>
      </c>
      <c r="C91">
        <v>2</v>
      </c>
      <c r="D91">
        <v>3</v>
      </c>
      <c r="E91" s="12">
        <f t="shared" si="0"/>
        <v>1.5</v>
      </c>
      <c r="F91">
        <v>3</v>
      </c>
      <c r="G91">
        <v>0</v>
      </c>
      <c r="H91">
        <v>0</v>
      </c>
    </row>
    <row r="92" spans="1:5" ht="12">
      <c r="A92" t="s">
        <v>142</v>
      </c>
      <c r="E92" s="12" t="e">
        <f t="shared" si="0"/>
        <v>#DIV/0!</v>
      </c>
    </row>
    <row r="93" spans="1:8" ht="12">
      <c r="A93" t="s">
        <v>143</v>
      </c>
      <c r="C93">
        <v>16</v>
      </c>
      <c r="D93">
        <v>76</v>
      </c>
      <c r="E93" s="12">
        <f>+D93/C93</f>
        <v>4.75</v>
      </c>
      <c r="F93">
        <v>35</v>
      </c>
      <c r="G93">
        <v>1</v>
      </c>
      <c r="H93">
        <v>2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8" ht="12">
      <c r="A101" t="s">
        <v>134</v>
      </c>
      <c r="C101">
        <v>3</v>
      </c>
      <c r="D101">
        <v>66</v>
      </c>
      <c r="E101" s="12">
        <f aca="true" t="shared" si="1" ref="E101:E112">+D101/C101</f>
        <v>22</v>
      </c>
      <c r="F101">
        <v>27</v>
      </c>
      <c r="G101">
        <v>0</v>
      </c>
      <c r="H101">
        <v>0</v>
      </c>
    </row>
    <row r="102" spans="1:8" ht="12">
      <c r="A102" t="s">
        <v>144</v>
      </c>
      <c r="C102">
        <v>2</v>
      </c>
      <c r="D102">
        <v>17</v>
      </c>
      <c r="E102" s="12">
        <f t="shared" si="1"/>
        <v>8.5</v>
      </c>
      <c r="F102">
        <v>9</v>
      </c>
      <c r="G102">
        <v>0</v>
      </c>
      <c r="H102">
        <v>0</v>
      </c>
    </row>
    <row r="103" spans="1:8" ht="12">
      <c r="A103" t="s">
        <v>136</v>
      </c>
      <c r="C103">
        <v>2</v>
      </c>
      <c r="D103">
        <v>10</v>
      </c>
      <c r="E103" s="12">
        <f t="shared" si="1"/>
        <v>5</v>
      </c>
      <c r="F103">
        <v>7</v>
      </c>
      <c r="G103">
        <v>0</v>
      </c>
      <c r="H103">
        <v>0</v>
      </c>
    </row>
    <row r="104" spans="1:5" ht="12">
      <c r="A104" t="s">
        <v>145</v>
      </c>
      <c r="E104" s="12" t="e">
        <f t="shared" si="1"/>
        <v>#DIV/0!</v>
      </c>
    </row>
    <row r="105" spans="1:5" ht="12">
      <c r="A105" t="s">
        <v>137</v>
      </c>
      <c r="E105" s="12" t="e">
        <f t="shared" si="1"/>
        <v>#DIV/0!</v>
      </c>
    </row>
    <row r="106" spans="1:8" ht="12">
      <c r="A106" t="s">
        <v>138</v>
      </c>
      <c r="C106">
        <v>2</v>
      </c>
      <c r="D106">
        <v>18</v>
      </c>
      <c r="E106" s="12">
        <f t="shared" si="1"/>
        <v>9</v>
      </c>
      <c r="F106">
        <v>15</v>
      </c>
      <c r="G106">
        <v>0</v>
      </c>
      <c r="H106">
        <v>0</v>
      </c>
    </row>
    <row r="107" spans="1:5" ht="12">
      <c r="A107" t="s">
        <v>139</v>
      </c>
      <c r="E107" s="12" t="e">
        <f t="shared" si="1"/>
        <v>#DIV/0!</v>
      </c>
    </row>
    <row r="108" spans="1:8" ht="12">
      <c r="A108" t="s">
        <v>140</v>
      </c>
      <c r="C108">
        <v>1</v>
      </c>
      <c r="D108">
        <v>18</v>
      </c>
      <c r="E108" s="12">
        <f t="shared" si="1"/>
        <v>18</v>
      </c>
      <c r="F108">
        <v>18</v>
      </c>
      <c r="G108">
        <v>0</v>
      </c>
      <c r="H108">
        <v>0</v>
      </c>
    </row>
    <row r="109" spans="1:8" ht="12">
      <c r="A109" t="s">
        <v>141</v>
      </c>
      <c r="C109">
        <v>2</v>
      </c>
      <c r="D109">
        <v>21</v>
      </c>
      <c r="E109" s="12">
        <f t="shared" si="1"/>
        <v>10.5</v>
      </c>
      <c r="F109">
        <v>13</v>
      </c>
      <c r="G109">
        <v>0</v>
      </c>
      <c r="H109">
        <v>0</v>
      </c>
    </row>
    <row r="110" spans="1:8" ht="12">
      <c r="A110" t="s">
        <v>143</v>
      </c>
      <c r="C110">
        <v>1</v>
      </c>
      <c r="D110">
        <v>8</v>
      </c>
      <c r="E110" s="12">
        <f t="shared" si="1"/>
        <v>8</v>
      </c>
      <c r="F110">
        <v>8</v>
      </c>
      <c r="G110">
        <v>0</v>
      </c>
      <c r="H110">
        <v>0</v>
      </c>
    </row>
    <row r="111" spans="1:5" ht="12">
      <c r="A111" t="s">
        <v>146</v>
      </c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133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C122">
        <v>26</v>
      </c>
      <c r="D122">
        <v>13</v>
      </c>
      <c r="E122" s="12">
        <f t="shared" si="2"/>
        <v>50</v>
      </c>
      <c r="F122">
        <v>158</v>
      </c>
      <c r="G122">
        <v>0</v>
      </c>
      <c r="H122">
        <v>27</v>
      </c>
      <c r="I122">
        <v>0</v>
      </c>
      <c r="J122" s="8">
        <f t="shared" si="3"/>
        <v>0</v>
      </c>
      <c r="K122" s="12">
        <f t="shared" si="4"/>
        <v>0</v>
      </c>
      <c r="L122" s="12">
        <f t="shared" si="5"/>
        <v>6.076923076923077</v>
      </c>
      <c r="M122" s="12">
        <f t="shared" si="6"/>
        <v>69.07051282051282</v>
      </c>
      <c r="N122">
        <v>1</v>
      </c>
      <c r="O122">
        <v>5</v>
      </c>
      <c r="R122">
        <f t="shared" si="7"/>
        <v>1</v>
      </c>
      <c r="S122" s="2">
        <f t="shared" si="8"/>
        <v>1</v>
      </c>
      <c r="T122" s="6">
        <f t="shared" si="9"/>
        <v>0.7692307692307692</v>
      </c>
      <c r="U122" s="2">
        <f t="shared" si="10"/>
        <v>0.7692307692307692</v>
      </c>
      <c r="V122">
        <f t="shared" si="11"/>
        <v>0</v>
      </c>
      <c r="W122" s="2">
        <f t="shared" si="12"/>
        <v>0</v>
      </c>
      <c r="X122">
        <f t="shared" si="13"/>
        <v>2.375</v>
      </c>
      <c r="Y122" s="2">
        <f t="shared" si="14"/>
        <v>2.375</v>
      </c>
    </row>
    <row r="123" spans="1:25" ht="12">
      <c r="A123" t="s">
        <v>147</v>
      </c>
      <c r="E123" s="12" t="e">
        <f t="shared" si="2"/>
        <v>#DIV/0!</v>
      </c>
      <c r="J123" s="8" t="e">
        <f t="shared" si="3"/>
        <v>#DIV/0!</v>
      </c>
      <c r="K123" s="12" t="e">
        <f t="shared" si="4"/>
        <v>#DIV/0!</v>
      </c>
      <c r="L123" s="12" t="e">
        <f t="shared" si="5"/>
        <v>#DIV/0!</v>
      </c>
      <c r="M123" s="12" t="e">
        <f t="shared" si="6"/>
        <v>#DIV/0!</v>
      </c>
      <c r="R123" t="e">
        <f t="shared" si="7"/>
        <v>#DIV/0!</v>
      </c>
      <c r="S123" s="2" t="e">
        <f t="shared" si="8"/>
        <v>#DIV/0!</v>
      </c>
      <c r="T123" s="6" t="e">
        <f t="shared" si="9"/>
        <v>#DIV/0!</v>
      </c>
      <c r="U123" s="2" t="e">
        <f t="shared" si="10"/>
        <v>#DIV/0!</v>
      </c>
      <c r="V123" t="e">
        <f t="shared" si="11"/>
        <v>#DIV/0!</v>
      </c>
      <c r="W123" s="2" t="e">
        <f t="shared" si="12"/>
        <v>#DIV/0!</v>
      </c>
      <c r="X123" t="e">
        <f t="shared" si="13"/>
        <v>#DIV/0!</v>
      </c>
      <c r="Y123" s="2" t="e">
        <f t="shared" si="14"/>
        <v>#DIV/0!</v>
      </c>
    </row>
    <row r="124" spans="1:25" ht="12">
      <c r="A124" t="s">
        <v>142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143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5:25" ht="12"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8" spans="1:9" ht="12">
      <c r="A128" s="2" t="s">
        <v>71</v>
      </c>
      <c r="C128" s="3" t="s">
        <v>72</v>
      </c>
      <c r="D128" s="3" t="s">
        <v>73</v>
      </c>
      <c r="E128" s="3" t="s">
        <v>74</v>
      </c>
      <c r="F128" s="3" t="s">
        <v>53</v>
      </c>
      <c r="G128" s="3" t="s">
        <v>64</v>
      </c>
      <c r="H128" s="3" t="s">
        <v>55</v>
      </c>
      <c r="I128" s="3" t="s">
        <v>84</v>
      </c>
    </row>
    <row r="129" spans="1:6" ht="12">
      <c r="A129" t="s">
        <v>148</v>
      </c>
      <c r="F129" s="12" t="e">
        <f aca="true" t="shared" si="15" ref="F129:F134">+E129/C129</f>
        <v>#DIV/0!</v>
      </c>
    </row>
    <row r="130" spans="1:7" ht="12">
      <c r="A130" t="s">
        <v>136</v>
      </c>
      <c r="C130">
        <v>1</v>
      </c>
      <c r="D130">
        <v>3</v>
      </c>
      <c r="E130">
        <v>0</v>
      </c>
      <c r="F130" s="12">
        <f t="shared" si="15"/>
        <v>0</v>
      </c>
      <c r="G130">
        <v>0</v>
      </c>
    </row>
    <row r="131" spans="1:6" ht="12">
      <c r="A131" t="s">
        <v>140</v>
      </c>
      <c r="F131" s="12" t="e">
        <f t="shared" si="15"/>
        <v>#DIV/0!</v>
      </c>
    </row>
    <row r="132" spans="1:6" ht="12">
      <c r="A132" t="s">
        <v>143</v>
      </c>
      <c r="D132">
        <v>1</v>
      </c>
      <c r="F132" s="12" t="e">
        <f t="shared" si="15"/>
        <v>#DIV/0!</v>
      </c>
    </row>
    <row r="133" ht="12">
      <c r="F133" s="12" t="e">
        <f t="shared" si="15"/>
        <v>#DIV/0!</v>
      </c>
    </row>
    <row r="134" ht="12">
      <c r="F134" s="12" t="e">
        <f t="shared" si="15"/>
        <v>#DIV/0!</v>
      </c>
    </row>
    <row r="138" spans="1:8" ht="12">
      <c r="A138" s="2" t="s">
        <v>30</v>
      </c>
      <c r="C138" s="3" t="s">
        <v>72</v>
      </c>
      <c r="D138" s="3" t="s">
        <v>74</v>
      </c>
      <c r="E138" s="3" t="s">
        <v>53</v>
      </c>
      <c r="F138" s="3" t="s">
        <v>64</v>
      </c>
      <c r="G138" s="3" t="s">
        <v>55</v>
      </c>
      <c r="H138" s="3" t="s">
        <v>84</v>
      </c>
    </row>
    <row r="139" spans="1:5" ht="12">
      <c r="A139" t="s">
        <v>149</v>
      </c>
      <c r="E139" s="12" t="e">
        <f aca="true" t="shared" si="16" ref="E139:E144">+D139/C139</f>
        <v>#DIV/0!</v>
      </c>
    </row>
    <row r="140" spans="1:5" ht="12">
      <c r="A140" t="s">
        <v>148</v>
      </c>
      <c r="E140" s="12" t="e">
        <f t="shared" si="16"/>
        <v>#DIV/0!</v>
      </c>
    </row>
    <row r="141" spans="1:6" ht="12">
      <c r="A141" t="s">
        <v>136</v>
      </c>
      <c r="C141">
        <v>2</v>
      </c>
      <c r="D141">
        <v>57</v>
      </c>
      <c r="E141" s="12">
        <f t="shared" si="16"/>
        <v>28.5</v>
      </c>
      <c r="F141">
        <v>36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151</v>
      </c>
      <c r="E143" s="12" t="e">
        <f t="shared" si="16"/>
        <v>#DIV/0!</v>
      </c>
    </row>
    <row r="144" spans="1:5" ht="12">
      <c r="A144" t="s">
        <v>152</v>
      </c>
      <c r="E144" s="12" t="e">
        <f t="shared" si="16"/>
        <v>#DIV/0!</v>
      </c>
    </row>
    <row r="145" spans="1:6" ht="12">
      <c r="A145" t="s">
        <v>138</v>
      </c>
      <c r="C145">
        <v>1</v>
      </c>
      <c r="D145">
        <v>26</v>
      </c>
      <c r="E145" s="12">
        <f aca="true" t="shared" si="17" ref="E145:E151">+D145/C145</f>
        <v>26</v>
      </c>
      <c r="F145">
        <v>26</v>
      </c>
    </row>
    <row r="146" spans="1:7" ht="12">
      <c r="A146" t="s">
        <v>143</v>
      </c>
      <c r="C146">
        <v>3</v>
      </c>
      <c r="D146">
        <f>27+99+43</f>
        <v>169</v>
      </c>
      <c r="E146" s="12">
        <f t="shared" si="17"/>
        <v>56.333333333333336</v>
      </c>
      <c r="F146">
        <v>99</v>
      </c>
      <c r="G146">
        <v>1</v>
      </c>
    </row>
    <row r="147" spans="1:5" ht="12">
      <c r="A147" t="s">
        <v>146</v>
      </c>
      <c r="E147" s="12" t="e">
        <f t="shared" si="17"/>
        <v>#DIV/0!</v>
      </c>
    </row>
    <row r="148" spans="1:5" ht="12">
      <c r="A148" t="s">
        <v>153</v>
      </c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3" spans="1:8" ht="12">
      <c r="A153" s="2" t="s">
        <v>75</v>
      </c>
      <c r="C153" s="3" t="s">
        <v>72</v>
      </c>
      <c r="D153" s="3" t="s">
        <v>74</v>
      </c>
      <c r="E153" s="3" t="s">
        <v>53</v>
      </c>
      <c r="F153" s="3" t="s">
        <v>64</v>
      </c>
      <c r="G153" s="3" t="s">
        <v>76</v>
      </c>
      <c r="H153" s="3" t="s">
        <v>84</v>
      </c>
    </row>
    <row r="154" spans="1:6" ht="12">
      <c r="A154" t="s">
        <v>154</v>
      </c>
      <c r="C154">
        <v>4</v>
      </c>
      <c r="D154">
        <f>64+41+41+40</f>
        <v>186</v>
      </c>
      <c r="E154" s="12"/>
      <c r="F154">
        <v>64</v>
      </c>
    </row>
    <row r="160" spans="9:21" ht="12">
      <c r="I160" s="5" t="s">
        <v>67</v>
      </c>
      <c r="L160" s="32" t="s">
        <v>99</v>
      </c>
      <c r="M160" s="32"/>
      <c r="N160" s="32" t="s">
        <v>100</v>
      </c>
      <c r="O160" s="32"/>
      <c r="P160" s="32" t="s">
        <v>101</v>
      </c>
      <c r="Q160" s="32"/>
      <c r="R160" s="32" t="s">
        <v>102</v>
      </c>
      <c r="S160" s="32"/>
      <c r="T160" s="32" t="s">
        <v>103</v>
      </c>
      <c r="U160" s="32"/>
    </row>
    <row r="161" spans="1:21" ht="12">
      <c r="A161" s="4" t="s">
        <v>83</v>
      </c>
      <c r="C161" s="3" t="s">
        <v>77</v>
      </c>
      <c r="D161" s="3" t="s">
        <v>78</v>
      </c>
      <c r="E161" s="3" t="s">
        <v>79</v>
      </c>
      <c r="F161" s="3" t="s">
        <v>80</v>
      </c>
      <c r="G161" s="3" t="s">
        <v>81</v>
      </c>
      <c r="H161" s="3" t="s">
        <v>82</v>
      </c>
      <c r="I161" s="3" t="s">
        <v>86</v>
      </c>
      <c r="J161" s="3" t="s">
        <v>64</v>
      </c>
      <c r="L161" s="3" t="s">
        <v>81</v>
      </c>
      <c r="M161" s="3" t="s">
        <v>82</v>
      </c>
      <c r="N161" s="3" t="s">
        <v>81</v>
      </c>
      <c r="O161" s="3" t="s">
        <v>82</v>
      </c>
      <c r="P161" s="3" t="s">
        <v>81</v>
      </c>
      <c r="Q161" s="3" t="s">
        <v>82</v>
      </c>
      <c r="R161" s="3" t="s">
        <v>81</v>
      </c>
      <c r="S161" s="3" t="s">
        <v>82</v>
      </c>
      <c r="T161" s="3" t="s">
        <v>81</v>
      </c>
      <c r="U161" s="3" t="s">
        <v>82</v>
      </c>
    </row>
    <row r="162" spans="1:17" ht="12">
      <c r="A162" t="s">
        <v>155</v>
      </c>
      <c r="C162">
        <v>5</v>
      </c>
      <c r="E162">
        <v>2</v>
      </c>
      <c r="F162">
        <v>2</v>
      </c>
      <c r="G162">
        <v>3</v>
      </c>
      <c r="H162">
        <v>2</v>
      </c>
      <c r="I162" s="12">
        <f aca="true" t="shared" si="18" ref="I162:I169">+H162/G162*100</f>
        <v>66.66666666666666</v>
      </c>
      <c r="J162">
        <v>39</v>
      </c>
      <c r="P162">
        <v>3</v>
      </c>
      <c r="Q162">
        <v>2</v>
      </c>
    </row>
    <row r="163" spans="1:9" ht="12">
      <c r="A163" t="s">
        <v>154</v>
      </c>
      <c r="I163" s="12" t="e">
        <f t="shared" si="18"/>
        <v>#DIV/0!</v>
      </c>
    </row>
    <row r="164" ht="12">
      <c r="I164" s="12" t="e">
        <f t="shared" si="18"/>
        <v>#DIV/0!</v>
      </c>
    </row>
    <row r="165" ht="12">
      <c r="I165" s="12" t="e">
        <f t="shared" si="18"/>
        <v>#DIV/0!</v>
      </c>
    </row>
    <row r="166" ht="12">
      <c r="I166" s="12" t="e">
        <f t="shared" si="18"/>
        <v>#DIV/0!</v>
      </c>
    </row>
    <row r="167" ht="12"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2" spans="1:8" ht="12">
      <c r="A172" s="2" t="s">
        <v>85</v>
      </c>
      <c r="C172" s="3" t="s">
        <v>72</v>
      </c>
      <c r="D172" s="3" t="s">
        <v>74</v>
      </c>
      <c r="E172" s="3" t="s">
        <v>53</v>
      </c>
      <c r="F172" s="3" t="s">
        <v>64</v>
      </c>
      <c r="G172" s="3" t="s">
        <v>55</v>
      </c>
      <c r="H172" s="3" t="s">
        <v>84</v>
      </c>
    </row>
    <row r="173" spans="1:5" ht="12">
      <c r="A173" t="s">
        <v>156</v>
      </c>
      <c r="E173" s="12" t="e">
        <f>+D173/C173</f>
        <v>#DIV/0!</v>
      </c>
    </row>
    <row r="174" spans="1:5" ht="12">
      <c r="A174" t="s">
        <v>149</v>
      </c>
      <c r="E174" s="12" t="e">
        <f aca="true" t="shared" si="19" ref="E174:E180">+D174/C174</f>
        <v>#DIV/0!</v>
      </c>
    </row>
    <row r="175" spans="1:5" ht="12">
      <c r="A175" t="s">
        <v>157</v>
      </c>
      <c r="E175" s="12" t="e">
        <f t="shared" si="19"/>
        <v>#DIV/0!</v>
      </c>
    </row>
    <row r="176" spans="1:5" ht="12">
      <c r="A176" t="s">
        <v>158</v>
      </c>
      <c r="E176" s="12" t="e">
        <f t="shared" si="19"/>
        <v>#DIV/0!</v>
      </c>
    </row>
    <row r="177" spans="1:5" ht="12">
      <c r="A177" t="s">
        <v>159</v>
      </c>
      <c r="E177" s="12" t="e">
        <f t="shared" si="19"/>
        <v>#DIV/0!</v>
      </c>
    </row>
    <row r="178" spans="1:5" ht="12">
      <c r="A178" t="s">
        <v>160</v>
      </c>
      <c r="E178" s="12" t="e">
        <f t="shared" si="19"/>
        <v>#DIV/0!</v>
      </c>
    </row>
    <row r="179" spans="1:5" ht="12">
      <c r="A179" t="s">
        <v>161</v>
      </c>
      <c r="E179" s="12" t="e">
        <f t="shared" si="19"/>
        <v>#DIV/0!</v>
      </c>
    </row>
    <row r="180" spans="1:6" ht="12">
      <c r="A180" t="s">
        <v>147</v>
      </c>
      <c r="C180">
        <v>1</v>
      </c>
      <c r="D180">
        <v>0</v>
      </c>
      <c r="E180" s="12">
        <f t="shared" si="19"/>
        <v>0</v>
      </c>
      <c r="F180">
        <v>0</v>
      </c>
    </row>
    <row r="181" spans="1:5" ht="12">
      <c r="A181" t="s">
        <v>153</v>
      </c>
      <c r="E181" s="12" t="e">
        <f>+D181/C181</f>
        <v>#DIV/0!</v>
      </c>
    </row>
    <row r="182" spans="1:5" ht="12">
      <c r="A182" t="s">
        <v>162</v>
      </c>
      <c r="E182" s="12" t="e">
        <f>+D182/C182</f>
        <v>#DIV/0!</v>
      </c>
    </row>
    <row r="183" spans="1:5" ht="12">
      <c r="A183" s="1"/>
      <c r="E183" s="12" t="e">
        <f>+D183/C183</f>
        <v>#DIV/0!</v>
      </c>
    </row>
    <row r="184" spans="1:5" ht="12">
      <c r="A184" s="1"/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/>
    </row>
    <row r="187" spans="1:4" ht="12">
      <c r="A187" s="2" t="s">
        <v>98</v>
      </c>
      <c r="C187" s="3" t="s">
        <v>72</v>
      </c>
      <c r="D187" s="3" t="s">
        <v>74</v>
      </c>
    </row>
    <row r="188" spans="1:4" ht="12">
      <c r="A188" s="20" t="s">
        <v>156</v>
      </c>
      <c r="C188" s="3"/>
      <c r="D188" s="3"/>
    </row>
    <row r="189" spans="1:4" ht="12">
      <c r="A189" s="20" t="s">
        <v>157</v>
      </c>
      <c r="C189" s="3">
        <v>0.5</v>
      </c>
      <c r="D189" s="3">
        <v>4</v>
      </c>
    </row>
    <row r="190" spans="1:4" ht="12">
      <c r="A190" s="20" t="s">
        <v>158</v>
      </c>
      <c r="C190" s="3">
        <v>1</v>
      </c>
      <c r="D190" s="3">
        <v>7</v>
      </c>
    </row>
    <row r="191" spans="1:4" ht="12">
      <c r="A191" s="20" t="s">
        <v>159</v>
      </c>
      <c r="C191" s="3"/>
      <c r="D191" s="3"/>
    </row>
    <row r="192" spans="1:4" ht="12">
      <c r="A192" s="20" t="s">
        <v>163</v>
      </c>
      <c r="C192" s="3"/>
      <c r="D192" s="3"/>
    </row>
    <row r="193" spans="1:4" ht="12">
      <c r="A193" s="20" t="s">
        <v>164</v>
      </c>
      <c r="C193" s="3"/>
      <c r="D193" s="3"/>
    </row>
    <row r="194" spans="1:4" ht="12">
      <c r="A194" s="20" t="s">
        <v>161</v>
      </c>
      <c r="C194" s="3"/>
      <c r="D194" s="3"/>
    </row>
    <row r="195" spans="1:4" ht="12">
      <c r="A195" s="20" t="s">
        <v>165</v>
      </c>
      <c r="C195" s="3"/>
      <c r="D195" s="3"/>
    </row>
    <row r="196" spans="1:4" ht="12">
      <c r="A196" s="20" t="s">
        <v>147</v>
      </c>
      <c r="C196" s="3"/>
      <c r="D196" s="3"/>
    </row>
    <row r="197" spans="1:4" ht="12">
      <c r="A197" s="20" t="s">
        <v>166</v>
      </c>
      <c r="C197" s="3">
        <v>0.5</v>
      </c>
      <c r="D197" s="3">
        <v>4</v>
      </c>
    </row>
    <row r="198" spans="1:4" ht="12">
      <c r="A198" s="20"/>
      <c r="C198" s="3"/>
      <c r="D198" s="3"/>
    </row>
    <row r="199" spans="1:4" ht="12">
      <c r="A199" s="20"/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"/>
      <c r="C202" s="3"/>
      <c r="D202" s="3"/>
    </row>
    <row r="203" spans="1:4" ht="12">
      <c r="A203" s="2"/>
      <c r="C203" s="3"/>
      <c r="D203" s="3"/>
    </row>
    <row r="204" spans="1:4" ht="12">
      <c r="A204" s="2"/>
      <c r="C204" s="3"/>
      <c r="D204" s="3"/>
    </row>
    <row r="205" spans="1:7" ht="12">
      <c r="A205" s="2" t="s">
        <v>94</v>
      </c>
      <c r="C205" s="3" t="s">
        <v>72</v>
      </c>
      <c r="D205" s="3" t="s">
        <v>74</v>
      </c>
      <c r="E205" s="3" t="s">
        <v>64</v>
      </c>
      <c r="F205" s="3" t="s">
        <v>55</v>
      </c>
      <c r="G205" s="5" t="s">
        <v>84</v>
      </c>
    </row>
    <row r="206" ht="12">
      <c r="A206" t="s">
        <v>167</v>
      </c>
    </row>
    <row r="207" ht="12">
      <c r="A207" t="s">
        <v>156</v>
      </c>
    </row>
    <row r="208" ht="12">
      <c r="A208" t="s">
        <v>149</v>
      </c>
    </row>
    <row r="209" ht="12">
      <c r="A209" t="s">
        <v>157</v>
      </c>
    </row>
    <row r="210" ht="12">
      <c r="A210" t="s">
        <v>133</v>
      </c>
    </row>
    <row r="211" ht="12">
      <c r="A211" t="s">
        <v>134</v>
      </c>
    </row>
    <row r="212" ht="12">
      <c r="A212" t="s">
        <v>158</v>
      </c>
    </row>
    <row r="213" ht="12">
      <c r="A213" t="s">
        <v>168</v>
      </c>
    </row>
    <row r="214" ht="12">
      <c r="A214" t="s">
        <v>135</v>
      </c>
    </row>
    <row r="215" ht="12">
      <c r="A215" t="s">
        <v>159</v>
      </c>
    </row>
    <row r="216" ht="12">
      <c r="A216" t="s">
        <v>169</v>
      </c>
    </row>
    <row r="217" ht="12">
      <c r="A217" t="s">
        <v>144</v>
      </c>
    </row>
    <row r="218" ht="12">
      <c r="A218" t="s">
        <v>148</v>
      </c>
    </row>
    <row r="219" ht="12">
      <c r="A219" t="s">
        <v>163</v>
      </c>
    </row>
    <row r="220" ht="12">
      <c r="A220" t="s">
        <v>160</v>
      </c>
    </row>
    <row r="221" ht="12">
      <c r="A221" t="s">
        <v>136</v>
      </c>
    </row>
    <row r="222" ht="12">
      <c r="A222" t="s">
        <v>170</v>
      </c>
    </row>
    <row r="223" ht="12">
      <c r="A223" t="s">
        <v>154</v>
      </c>
    </row>
    <row r="224" ht="12">
      <c r="A224" t="s">
        <v>150</v>
      </c>
    </row>
    <row r="225" ht="12">
      <c r="A225" t="s">
        <v>171</v>
      </c>
    </row>
    <row r="226" ht="12">
      <c r="A226" t="s">
        <v>164</v>
      </c>
    </row>
    <row r="227" ht="12">
      <c r="A227" t="s">
        <v>145</v>
      </c>
    </row>
    <row r="228" ht="12">
      <c r="A228" t="s">
        <v>137</v>
      </c>
    </row>
    <row r="229" ht="12">
      <c r="A229" t="s">
        <v>151</v>
      </c>
    </row>
    <row r="230" ht="12">
      <c r="A230" t="s">
        <v>152</v>
      </c>
    </row>
    <row r="231" ht="12">
      <c r="A231" t="s">
        <v>138</v>
      </c>
    </row>
    <row r="232" ht="12">
      <c r="A232" t="s">
        <v>139</v>
      </c>
    </row>
    <row r="233" spans="1:3" ht="12">
      <c r="A233" t="s">
        <v>161</v>
      </c>
      <c r="C233">
        <v>1</v>
      </c>
    </row>
    <row r="234" ht="12">
      <c r="A234" t="s">
        <v>172</v>
      </c>
    </row>
    <row r="235" ht="12">
      <c r="A235" t="s">
        <v>140</v>
      </c>
    </row>
    <row r="236" ht="12">
      <c r="A236" t="s">
        <v>165</v>
      </c>
    </row>
    <row r="237" ht="12">
      <c r="A237" t="s">
        <v>155</v>
      </c>
    </row>
    <row r="238" ht="12">
      <c r="A238" t="s">
        <v>147</v>
      </c>
    </row>
    <row r="239" ht="12">
      <c r="A239" t="s">
        <v>173</v>
      </c>
    </row>
    <row r="240" ht="12">
      <c r="A240" t="s">
        <v>141</v>
      </c>
    </row>
    <row r="241" ht="12">
      <c r="A241" t="s">
        <v>174</v>
      </c>
    </row>
    <row r="242" ht="12">
      <c r="A242" t="s">
        <v>166</v>
      </c>
    </row>
    <row r="243" ht="12">
      <c r="A243" t="s">
        <v>175</v>
      </c>
    </row>
    <row r="244" ht="12">
      <c r="A244" t="s">
        <v>176</v>
      </c>
    </row>
    <row r="245" ht="12">
      <c r="A245" t="s">
        <v>142</v>
      </c>
    </row>
    <row r="246" ht="12">
      <c r="A246" t="s">
        <v>177</v>
      </c>
    </row>
    <row r="247" ht="12">
      <c r="A247" t="s">
        <v>143</v>
      </c>
    </row>
    <row r="248" ht="12">
      <c r="A248" t="s">
        <v>178</v>
      </c>
    </row>
    <row r="249" ht="12">
      <c r="A249" t="s">
        <v>179</v>
      </c>
    </row>
    <row r="250" ht="12">
      <c r="A250" t="s">
        <v>146</v>
      </c>
    </row>
    <row r="251" ht="12">
      <c r="A251" t="s">
        <v>153</v>
      </c>
    </row>
    <row r="252" ht="12">
      <c r="A252" t="s">
        <v>162</v>
      </c>
    </row>
    <row r="253" ht="12">
      <c r="A253" t="s">
        <v>180</v>
      </c>
    </row>
  </sheetData>
  <sheetProtection/>
  <mergeCells count="5">
    <mergeCell ref="L160:M160"/>
    <mergeCell ref="N160:O160"/>
    <mergeCell ref="P160:Q160"/>
    <mergeCell ref="R160:S160"/>
    <mergeCell ref="T160:U160"/>
  </mergeCells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253"/>
  <sheetViews>
    <sheetView zoomScale="125" zoomScaleNormal="125" workbookViewId="0" topLeftCell="A1">
      <selection activeCell="A122" sqref="A122:G122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Chicago Bears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18</v>
      </c>
      <c r="H6" s="1" t="s">
        <v>29</v>
      </c>
      <c r="M6" s="2">
        <v>17</v>
      </c>
    </row>
    <row r="7" spans="1:13" ht="12">
      <c r="A7" s="16" t="s">
        <v>95</v>
      </c>
      <c r="D7" s="2">
        <v>11</v>
      </c>
      <c r="H7" s="16" t="s">
        <v>95</v>
      </c>
      <c r="M7" s="2">
        <v>4</v>
      </c>
    </row>
    <row r="8" spans="1:13" ht="12">
      <c r="A8" s="16" t="s">
        <v>96</v>
      </c>
      <c r="D8" s="2">
        <v>4</v>
      </c>
      <c r="H8" s="16" t="s">
        <v>96</v>
      </c>
      <c r="M8" s="2">
        <v>9</v>
      </c>
    </row>
    <row r="9" spans="1:13" ht="12">
      <c r="A9" s="16" t="s">
        <v>97</v>
      </c>
      <c r="D9" s="2">
        <v>3</v>
      </c>
      <c r="H9" s="16" t="s">
        <v>97</v>
      </c>
      <c r="M9" s="2">
        <v>4</v>
      </c>
    </row>
    <row r="10" spans="1:14" ht="12">
      <c r="A10" s="18" t="s">
        <v>108</v>
      </c>
      <c r="C10">
        <v>7</v>
      </c>
      <c r="D10" s="2">
        <v>13</v>
      </c>
      <c r="E10" s="19">
        <f>+C10/D10</f>
        <v>0.5384615384615384</v>
      </c>
      <c r="H10" s="18" t="s">
        <v>108</v>
      </c>
      <c r="L10">
        <v>3</v>
      </c>
      <c r="M10" s="2">
        <v>6</v>
      </c>
      <c r="N10" s="19">
        <f>+L10/M10</f>
        <v>0.5</v>
      </c>
    </row>
    <row r="11" spans="1:14" ht="12">
      <c r="A11" s="18" t="s">
        <v>119</v>
      </c>
      <c r="C11">
        <v>0</v>
      </c>
      <c r="D11" s="2">
        <v>1</v>
      </c>
      <c r="E11" s="19"/>
      <c r="H11" s="18" t="s">
        <v>119</v>
      </c>
      <c r="L11">
        <v>0</v>
      </c>
      <c r="M11" s="2">
        <v>0</v>
      </c>
      <c r="N11" s="19"/>
    </row>
    <row r="13" spans="1:23" ht="12">
      <c r="A13" t="s">
        <v>1</v>
      </c>
      <c r="D13" s="2">
        <f>11+7+9+7+2+9</f>
        <v>45</v>
      </c>
      <c r="H13" t="s">
        <v>1</v>
      </c>
      <c r="M13" s="2">
        <f>7+11+2+4</f>
        <v>24</v>
      </c>
      <c r="V13">
        <f>+D13</f>
        <v>45</v>
      </c>
      <c r="W13">
        <f>+M13</f>
        <v>24</v>
      </c>
    </row>
    <row r="14" spans="1:23" ht="12">
      <c r="A14" t="s">
        <v>2</v>
      </c>
      <c r="D14" s="2">
        <f>24+10+67-5+6+62</f>
        <v>164</v>
      </c>
      <c r="H14" t="s">
        <v>2</v>
      </c>
      <c r="M14" s="2">
        <f>6+41+10+29</f>
        <v>86</v>
      </c>
      <c r="P14" s="13"/>
      <c r="U14" s="13"/>
      <c r="V14">
        <f>+D18</f>
        <v>9</v>
      </c>
      <c r="W14">
        <f>+M18</f>
        <v>9</v>
      </c>
    </row>
    <row r="15" spans="1:23" ht="12">
      <c r="A15" s="1" t="s">
        <v>3</v>
      </c>
      <c r="D15" s="8">
        <f>+D14/D13</f>
        <v>3.6444444444444444</v>
      </c>
      <c r="H15" s="1" t="s">
        <v>3</v>
      </c>
      <c r="M15" s="8">
        <f>+M14/M13</f>
        <v>3.5833333333333335</v>
      </c>
      <c r="V15">
        <f>+(D17-D18)/2</f>
        <v>1</v>
      </c>
      <c r="W15">
        <f>+(M17-M18)/2</f>
        <v>7.5</v>
      </c>
    </row>
    <row r="16" spans="22:23" ht="12">
      <c r="V16">
        <f>+D40/2</f>
        <v>1</v>
      </c>
      <c r="W16">
        <f>+M40/2</f>
        <v>1</v>
      </c>
    </row>
    <row r="17" spans="1:23" ht="12">
      <c r="A17" t="s">
        <v>4</v>
      </c>
      <c r="D17" s="2">
        <v>11</v>
      </c>
      <c r="H17" t="s">
        <v>4</v>
      </c>
      <c r="M17" s="2">
        <v>24</v>
      </c>
      <c r="V17">
        <f>+D44/2</f>
        <v>1</v>
      </c>
      <c r="W17">
        <f>+M44/2</f>
        <v>0.5</v>
      </c>
    </row>
    <row r="18" spans="1:23" ht="12">
      <c r="A18" t="s">
        <v>5</v>
      </c>
      <c r="D18" s="2">
        <v>9</v>
      </c>
      <c r="H18" t="s">
        <v>5</v>
      </c>
      <c r="M18" s="2">
        <v>9</v>
      </c>
      <c r="V18">
        <f>+D50/2</f>
        <v>1</v>
      </c>
      <c r="W18">
        <f>+M50/2</f>
        <v>2.5</v>
      </c>
    </row>
    <row r="19" spans="1:13" ht="12">
      <c r="A19" t="s">
        <v>6</v>
      </c>
      <c r="D19" s="8">
        <f>+D18/D17*100</f>
        <v>81.81818181818183</v>
      </c>
      <c r="H19" t="s">
        <v>6</v>
      </c>
      <c r="M19" s="8">
        <f>+M18/M17*100</f>
        <v>37.5</v>
      </c>
    </row>
    <row r="20" spans="1:24" ht="12">
      <c r="A20" t="s">
        <v>7</v>
      </c>
      <c r="D20" s="2">
        <v>97</v>
      </c>
      <c r="H20" t="s">
        <v>7</v>
      </c>
      <c r="M20" s="2">
        <v>112</v>
      </c>
      <c r="V20">
        <f>SUM(V13:V18)</f>
        <v>58</v>
      </c>
      <c r="W20">
        <f>SUM(W13:W18)</f>
        <v>44.5</v>
      </c>
      <c r="X20">
        <f>+W20+V20</f>
        <v>102.5</v>
      </c>
    </row>
    <row r="21" spans="1:23" ht="12">
      <c r="A21" t="s">
        <v>8</v>
      </c>
      <c r="D21" s="2">
        <v>2</v>
      </c>
      <c r="H21" t="s">
        <v>8</v>
      </c>
      <c r="M21" s="2">
        <v>2</v>
      </c>
      <c r="V21">
        <f>+V20/X20</f>
        <v>0.5658536585365853</v>
      </c>
      <c r="W21">
        <f>+W20/X20</f>
        <v>0.43414634146341463</v>
      </c>
    </row>
    <row r="22" spans="1:23" ht="12">
      <c r="A22" t="s">
        <v>9</v>
      </c>
      <c r="D22" s="2">
        <v>11</v>
      </c>
      <c r="H22" t="s">
        <v>9</v>
      </c>
      <c r="M22" s="2">
        <v>15</v>
      </c>
      <c r="V22">
        <f>+V21*60</f>
        <v>33.95121951219512</v>
      </c>
      <c r="W22">
        <f>+W21*60</f>
        <v>26.048780487804876</v>
      </c>
    </row>
    <row r="23" spans="1:23" ht="12">
      <c r="A23" t="s">
        <v>10</v>
      </c>
      <c r="D23">
        <f>+D20-D22</f>
        <v>86</v>
      </c>
      <c r="H23" t="s">
        <v>10</v>
      </c>
      <c r="M23">
        <f>+M20-M22</f>
        <v>97</v>
      </c>
      <c r="V23">
        <f>+V22-INT(V22)</f>
        <v>0.9512195121951166</v>
      </c>
      <c r="W23">
        <f>+W22-INT(W22)</f>
        <v>0.048780487804876316</v>
      </c>
    </row>
    <row r="24" spans="1:23" ht="12">
      <c r="A24" t="s">
        <v>11</v>
      </c>
      <c r="D24" s="7">
        <f>+D23/(D17+D21)</f>
        <v>6.615384615384615</v>
      </c>
      <c r="H24" t="s">
        <v>11</v>
      </c>
      <c r="M24" s="7">
        <f>+M23/(M17+M21)</f>
        <v>3.730769230769231</v>
      </c>
      <c r="V24">
        <f>+V23*60</f>
        <v>57.073170731706995</v>
      </c>
      <c r="W24">
        <f>+W23*60</f>
        <v>2.926829268292579</v>
      </c>
    </row>
    <row r="25" spans="1:23" ht="12">
      <c r="A25" t="s">
        <v>12</v>
      </c>
      <c r="D25" s="7">
        <f>+D20/D18</f>
        <v>10.777777777777779</v>
      </c>
      <c r="H25" t="s">
        <v>12</v>
      </c>
      <c r="M25" s="7">
        <f>+M20/M18</f>
        <v>12.444444444444445</v>
      </c>
      <c r="Q25" s="11"/>
      <c r="U25">
        <v>0</v>
      </c>
      <c r="V25" s="11">
        <f>ROUND(V24,0)</f>
        <v>57</v>
      </c>
      <c r="W25">
        <f>ROUND(W24,0)</f>
        <v>3</v>
      </c>
    </row>
    <row r="26" spans="22:23" ht="12">
      <c r="V26">
        <f>INT(V22)</f>
        <v>33</v>
      </c>
      <c r="W26">
        <f>INT(W22)</f>
        <v>26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250</v>
      </c>
      <c r="H28" t="s">
        <v>14</v>
      </c>
      <c r="M28">
        <f>+M23+M14</f>
        <v>183</v>
      </c>
      <c r="Q28" s="14"/>
      <c r="R28" s="9"/>
      <c r="V28" s="14" t="str">
        <f>+V26&amp;V27&amp;V25</f>
        <v>33:57</v>
      </c>
      <c r="W28" s="9" t="str">
        <f>+W26&amp;W27&amp;W25</f>
        <v>26:3</v>
      </c>
    </row>
    <row r="29" spans="1:23" ht="12">
      <c r="A29" t="s">
        <v>15</v>
      </c>
      <c r="D29" s="7">
        <f>+D14/D28*100</f>
        <v>65.60000000000001</v>
      </c>
      <c r="H29" t="s">
        <v>15</v>
      </c>
      <c r="M29" s="7">
        <f>+M14/M28*100</f>
        <v>46.994535519125684</v>
      </c>
      <c r="Q29" s="9"/>
      <c r="R29" s="9"/>
      <c r="V29" s="9" t="str">
        <f>IF(V25&lt;10,+V26&amp;V27&amp;$U$25&amp;V25,+V26&amp;V27&amp;V25)</f>
        <v>33:57</v>
      </c>
      <c r="W29" s="9" t="str">
        <f>IF(W25&lt;10,+W26&amp;W27&amp;$U$25&amp;W25,+W26&amp;W27&amp;W25)</f>
        <v>26:03</v>
      </c>
    </row>
    <row r="30" spans="1:16" ht="12">
      <c r="A30" s="1" t="s">
        <v>90</v>
      </c>
      <c r="D30" s="7">
        <f>+D23/D28*100</f>
        <v>34.4</v>
      </c>
      <c r="H30" s="1" t="s">
        <v>90</v>
      </c>
      <c r="M30" s="7">
        <f>+M23/M28*100</f>
        <v>53.00546448087432</v>
      </c>
      <c r="P30" s="13"/>
    </row>
    <row r="32" spans="1:13" ht="12">
      <c r="A32" t="s">
        <v>16</v>
      </c>
      <c r="D32">
        <f>+D13+D17+D21</f>
        <v>58</v>
      </c>
      <c r="H32" t="s">
        <v>16</v>
      </c>
      <c r="M32">
        <f>+M13+M17+M21</f>
        <v>50</v>
      </c>
    </row>
    <row r="33" spans="1:14" ht="12">
      <c r="A33" t="s">
        <v>17</v>
      </c>
      <c r="C33" s="7"/>
      <c r="D33" s="8">
        <f>+D28/D32</f>
        <v>4.310344827586207</v>
      </c>
      <c r="F33" s="7"/>
      <c r="G33" s="7"/>
      <c r="H33" s="7" t="s">
        <v>17</v>
      </c>
      <c r="I33" s="7"/>
      <c r="J33" s="7"/>
      <c r="K33" s="7"/>
      <c r="M33" s="8">
        <f>+M28/M32</f>
        <v>3.66</v>
      </c>
      <c r="N33" s="7"/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0</v>
      </c>
      <c r="H36" t="s">
        <v>19</v>
      </c>
      <c r="M36" s="2">
        <v>3</v>
      </c>
    </row>
    <row r="37" spans="1:13" ht="12">
      <c r="A37" t="s">
        <v>20</v>
      </c>
      <c r="D37" s="2">
        <v>0</v>
      </c>
      <c r="H37" t="s">
        <v>20</v>
      </c>
      <c r="M37" s="2">
        <f>0+14+1</f>
        <v>15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2</v>
      </c>
      <c r="H40" t="s">
        <v>22</v>
      </c>
      <c r="M40" s="2">
        <v>2</v>
      </c>
    </row>
    <row r="41" spans="1:13" ht="12">
      <c r="A41" t="s">
        <v>23</v>
      </c>
      <c r="D41" s="2">
        <v>101</v>
      </c>
      <c r="H41" t="s">
        <v>23</v>
      </c>
      <c r="M41" s="2">
        <v>72</v>
      </c>
    </row>
    <row r="42" spans="1:14" ht="12">
      <c r="A42" t="s">
        <v>24</v>
      </c>
      <c r="C42" s="7"/>
      <c r="D42" s="8">
        <f>+D41/D40</f>
        <v>50.5</v>
      </c>
      <c r="F42" s="7"/>
      <c r="G42" s="7"/>
      <c r="H42" s="7" t="s">
        <v>24</v>
      </c>
      <c r="I42" s="7"/>
      <c r="J42" s="7"/>
      <c r="K42" s="7"/>
      <c r="M42" s="8">
        <f>+M41/M40</f>
        <v>36</v>
      </c>
      <c r="N42" s="7"/>
    </row>
    <row r="44" spans="1:13" ht="12">
      <c r="A44" t="s">
        <v>25</v>
      </c>
      <c r="D44" s="2">
        <v>2</v>
      </c>
      <c r="H44" t="s">
        <v>25</v>
      </c>
      <c r="M44" s="2">
        <v>1</v>
      </c>
    </row>
    <row r="45" spans="1:13" ht="12">
      <c r="A45" t="s">
        <v>26</v>
      </c>
      <c r="D45" s="2">
        <v>7</v>
      </c>
      <c r="H45" t="s">
        <v>26</v>
      </c>
      <c r="M45" s="2">
        <v>4</v>
      </c>
    </row>
    <row r="46" spans="1:13" ht="12">
      <c r="A46" t="s">
        <v>27</v>
      </c>
      <c r="D46" s="8">
        <f>+D45/D44</f>
        <v>3.5</v>
      </c>
      <c r="H46" t="s">
        <v>27</v>
      </c>
      <c r="M46" s="8">
        <f>+M45/M44</f>
        <v>4</v>
      </c>
    </row>
    <row r="47" spans="1:13" ht="12">
      <c r="A47" s="18" t="s">
        <v>131</v>
      </c>
      <c r="D47" s="2">
        <v>0</v>
      </c>
      <c r="H47" s="18" t="s">
        <v>131</v>
      </c>
      <c r="M47" s="2">
        <v>0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2</v>
      </c>
      <c r="H50" t="s">
        <v>30</v>
      </c>
      <c r="M50" s="2">
        <v>5</v>
      </c>
    </row>
    <row r="51" spans="1:13" ht="12">
      <c r="A51" t="s">
        <v>26</v>
      </c>
      <c r="D51" s="2">
        <v>29</v>
      </c>
      <c r="H51" t="s">
        <v>26</v>
      </c>
      <c r="M51" s="2">
        <f>18+19+15+16+15</f>
        <v>83</v>
      </c>
    </row>
    <row r="52" spans="1:13" ht="12">
      <c r="A52" t="s">
        <v>27</v>
      </c>
      <c r="D52" s="8">
        <f>+D51/D50</f>
        <v>14.5</v>
      </c>
      <c r="H52" t="s">
        <v>27</v>
      </c>
      <c r="M52" s="8">
        <f>+M51/M50</f>
        <v>16.6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5</v>
      </c>
      <c r="G55" t="str">
        <f>IF(D55-D56=M50,"ok","err")</f>
        <v>ok</v>
      </c>
      <c r="H55" t="s">
        <v>127</v>
      </c>
      <c r="K55" s="2"/>
      <c r="M55" s="2">
        <v>2</v>
      </c>
      <c r="P55" s="2"/>
    </row>
    <row r="56" spans="1:16" ht="12">
      <c r="A56" t="s">
        <v>128</v>
      </c>
      <c r="D56" s="2">
        <v>0</v>
      </c>
      <c r="H56" t="s">
        <v>128</v>
      </c>
      <c r="K56" s="2"/>
      <c r="M56" s="2">
        <v>0</v>
      </c>
      <c r="P56" s="2"/>
    </row>
    <row r="57" spans="1:13" ht="12">
      <c r="A57" t="s">
        <v>129</v>
      </c>
      <c r="D57">
        <f>+D56/D55</f>
        <v>0</v>
      </c>
      <c r="H57" t="s">
        <v>129</v>
      </c>
      <c r="M57">
        <f>+M56/M55</f>
        <v>0</v>
      </c>
    </row>
    <row r="59" spans="1:13" ht="12">
      <c r="A59" t="s">
        <v>31</v>
      </c>
      <c r="D59" s="2">
        <v>11</v>
      </c>
      <c r="H59" t="s">
        <v>31</v>
      </c>
      <c r="M59" s="2">
        <v>10</v>
      </c>
    </row>
    <row r="60" spans="1:13" ht="12">
      <c r="A60" t="s">
        <v>32</v>
      </c>
      <c r="D60" s="2">
        <v>111</v>
      </c>
      <c r="H60" t="s">
        <v>32</v>
      </c>
      <c r="M60" s="2">
        <v>59</v>
      </c>
    </row>
    <row r="62" spans="1:13" ht="12">
      <c r="A62" t="s">
        <v>33</v>
      </c>
      <c r="D62" s="2">
        <v>2</v>
      </c>
      <c r="H62" t="s">
        <v>33</v>
      </c>
      <c r="M62" s="2">
        <v>2</v>
      </c>
    </row>
    <row r="63" spans="1:13" ht="12">
      <c r="A63" t="s">
        <v>34</v>
      </c>
      <c r="D63" s="2">
        <v>2</v>
      </c>
      <c r="H63" t="s">
        <v>34</v>
      </c>
      <c r="M63" s="2">
        <v>0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2</v>
      </c>
      <c r="H65" t="s">
        <v>36</v>
      </c>
      <c r="M65" s="2">
        <v>0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17</v>
      </c>
      <c r="E68" t="str">
        <f>IF(B68=B69*6+B75*2+B76*3+B73,"ok","ERR")</f>
        <v>ok</v>
      </c>
      <c r="H68" t="s">
        <v>38</v>
      </c>
      <c r="M68" s="2">
        <v>12</v>
      </c>
      <c r="P68" t="str">
        <f>IF(M68=M69*6+M75*2+M76*3+M73,"ok","ERR")</f>
        <v>ok</v>
      </c>
    </row>
    <row r="69" spans="1:13" ht="12">
      <c r="A69" t="s">
        <v>39</v>
      </c>
      <c r="D69" s="2">
        <v>2</v>
      </c>
      <c r="H69" t="s">
        <v>39</v>
      </c>
      <c r="M69" s="2">
        <v>1</v>
      </c>
    </row>
    <row r="70" spans="1:13" ht="12">
      <c r="A70" t="s">
        <v>40</v>
      </c>
      <c r="D70" s="2">
        <v>2</v>
      </c>
      <c r="H70" t="s">
        <v>40</v>
      </c>
      <c r="M70" s="2">
        <v>0</v>
      </c>
    </row>
    <row r="71" spans="1:13" ht="12">
      <c r="A71" t="s">
        <v>41</v>
      </c>
      <c r="D71" s="2">
        <v>0</v>
      </c>
      <c r="H71" t="s">
        <v>41</v>
      </c>
      <c r="M71" s="2">
        <v>1</v>
      </c>
    </row>
    <row r="72" spans="1:13" ht="12">
      <c r="A72" t="s">
        <v>42</v>
      </c>
      <c r="D72" s="2">
        <v>0</v>
      </c>
      <c r="H72" t="s">
        <v>42</v>
      </c>
      <c r="M72" s="2">
        <v>0</v>
      </c>
    </row>
    <row r="73" spans="1:13" ht="12">
      <c r="A73" t="s">
        <v>43</v>
      </c>
      <c r="D73" s="2">
        <v>2</v>
      </c>
      <c r="H73" t="s">
        <v>43</v>
      </c>
      <c r="M73" s="2">
        <v>1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1</v>
      </c>
    </row>
    <row r="76" spans="1:13" ht="12">
      <c r="A76" t="s">
        <v>45</v>
      </c>
      <c r="D76" s="2">
        <v>1</v>
      </c>
      <c r="H76" t="s">
        <v>45</v>
      </c>
      <c r="M76" s="2">
        <v>1</v>
      </c>
    </row>
    <row r="77" spans="1:13" ht="12">
      <c r="A77" t="s">
        <v>46</v>
      </c>
      <c r="D77" s="2">
        <v>3</v>
      </c>
      <c r="H77" t="s">
        <v>46</v>
      </c>
      <c r="M77" s="2">
        <v>2</v>
      </c>
    </row>
    <row r="78" spans="1:13" ht="12">
      <c r="A78" t="s">
        <v>47</v>
      </c>
      <c r="D78" s="8">
        <f>+D76/D77*100</f>
        <v>33.33333333333333</v>
      </c>
      <c r="E78" s="7"/>
      <c r="F78" s="7"/>
      <c r="G78" s="7"/>
      <c r="H78" s="7" t="s">
        <v>47</v>
      </c>
      <c r="I78" s="7"/>
      <c r="J78" s="7"/>
      <c r="K78" s="7"/>
      <c r="L78" s="7"/>
      <c r="M78" s="8">
        <f>+M76/M77*100</f>
        <v>50</v>
      </c>
    </row>
    <row r="79" spans="1:13" ht="12">
      <c r="A79" t="s">
        <v>93</v>
      </c>
      <c r="D79" s="10" t="str">
        <f>IF(V25&lt;10,V29,V28)</f>
        <v>33:57</v>
      </c>
      <c r="E79" s="8"/>
      <c r="F79" s="8"/>
      <c r="H79" t="s">
        <v>93</v>
      </c>
      <c r="M79" s="10">
        <f>IF(AE25&lt;10,AE29,AE28)</f>
        <v>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8" ht="12">
      <c r="A84" t="s">
        <v>134</v>
      </c>
      <c r="C84">
        <v>9</v>
      </c>
      <c r="D84">
        <v>67</v>
      </c>
      <c r="E84" s="12">
        <f>+D84/C84</f>
        <v>7.444444444444445</v>
      </c>
      <c r="F84">
        <v>25</v>
      </c>
      <c r="G84">
        <v>1</v>
      </c>
      <c r="H84">
        <v>0</v>
      </c>
    </row>
    <row r="85" spans="1:8" ht="12">
      <c r="A85" t="s">
        <v>135</v>
      </c>
      <c r="C85">
        <v>9</v>
      </c>
      <c r="D85">
        <v>62</v>
      </c>
      <c r="E85" s="12">
        <f>+D85/C85</f>
        <v>6.888888888888889</v>
      </c>
      <c r="F85">
        <v>23</v>
      </c>
      <c r="G85">
        <v>0</v>
      </c>
      <c r="H85">
        <v>0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5" ht="12">
      <c r="A87" t="s">
        <v>137</v>
      </c>
      <c r="E87" s="12" t="e">
        <f t="shared" si="0"/>
        <v>#DIV/0!</v>
      </c>
    </row>
    <row r="88" spans="1:8" ht="12">
      <c r="A88" t="s">
        <v>138</v>
      </c>
      <c r="C88">
        <v>7</v>
      </c>
      <c r="D88">
        <v>-5</v>
      </c>
      <c r="E88" s="12">
        <f t="shared" si="0"/>
        <v>-0.7142857142857143</v>
      </c>
      <c r="F88">
        <v>9</v>
      </c>
      <c r="G88">
        <v>0</v>
      </c>
      <c r="H88">
        <v>0</v>
      </c>
    </row>
    <row r="89" spans="1:8" ht="12">
      <c r="A89" t="s">
        <v>139</v>
      </c>
      <c r="C89">
        <v>2</v>
      </c>
      <c r="D89">
        <v>6</v>
      </c>
      <c r="E89" s="12">
        <f t="shared" si="0"/>
        <v>3</v>
      </c>
      <c r="F89">
        <v>5</v>
      </c>
      <c r="G89">
        <v>0</v>
      </c>
      <c r="H89">
        <v>0</v>
      </c>
    </row>
    <row r="90" spans="1:5" ht="12">
      <c r="A90" t="s">
        <v>140</v>
      </c>
      <c r="E90" s="12" t="e">
        <f t="shared" si="0"/>
        <v>#DIV/0!</v>
      </c>
    </row>
    <row r="91" spans="1:8" ht="12">
      <c r="A91" t="s">
        <v>141</v>
      </c>
      <c r="C91">
        <v>7</v>
      </c>
      <c r="D91">
        <v>10</v>
      </c>
      <c r="E91" s="12">
        <f t="shared" si="0"/>
        <v>1.4285714285714286</v>
      </c>
      <c r="F91">
        <v>7</v>
      </c>
      <c r="G91">
        <v>0</v>
      </c>
      <c r="H91">
        <v>1</v>
      </c>
    </row>
    <row r="92" spans="1:5" ht="12">
      <c r="A92" t="s">
        <v>142</v>
      </c>
      <c r="E92" s="12" t="e">
        <f t="shared" si="0"/>
        <v>#DIV/0!</v>
      </c>
    </row>
    <row r="93" spans="1:8" ht="12">
      <c r="A93" t="s">
        <v>143</v>
      </c>
      <c r="C93">
        <v>11</v>
      </c>
      <c r="D93">
        <v>24</v>
      </c>
      <c r="E93" s="12">
        <f>+D93/C93</f>
        <v>2.1818181818181817</v>
      </c>
      <c r="F93">
        <v>7</v>
      </c>
      <c r="G93">
        <v>1</v>
      </c>
      <c r="H93">
        <v>0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5" ht="12">
      <c r="A101" t="s">
        <v>134</v>
      </c>
      <c r="E101" s="12" t="e">
        <f aca="true" t="shared" si="1" ref="E101:E112">+D101/C101</f>
        <v>#DIV/0!</v>
      </c>
    </row>
    <row r="102" spans="1:8" ht="12">
      <c r="A102" t="s">
        <v>144</v>
      </c>
      <c r="C102">
        <v>1</v>
      </c>
      <c r="D102">
        <v>10</v>
      </c>
      <c r="E102" s="12">
        <f t="shared" si="1"/>
        <v>10</v>
      </c>
      <c r="F102">
        <v>10</v>
      </c>
      <c r="G102">
        <v>0</v>
      </c>
      <c r="H102">
        <v>0</v>
      </c>
    </row>
    <row r="103" spans="1:8" ht="12">
      <c r="A103" t="s">
        <v>136</v>
      </c>
      <c r="C103">
        <v>2</v>
      </c>
      <c r="D103">
        <v>33</v>
      </c>
      <c r="E103" s="12">
        <f t="shared" si="1"/>
        <v>16.5</v>
      </c>
      <c r="F103">
        <v>27</v>
      </c>
      <c r="G103">
        <v>0</v>
      </c>
      <c r="H103">
        <v>0</v>
      </c>
    </row>
    <row r="104" spans="1:5" ht="12">
      <c r="A104" t="s">
        <v>145</v>
      </c>
      <c r="E104" s="12" t="e">
        <f t="shared" si="1"/>
        <v>#DIV/0!</v>
      </c>
    </row>
    <row r="105" spans="1:5" ht="12">
      <c r="A105" t="s">
        <v>137</v>
      </c>
      <c r="E105" s="12" t="e">
        <f t="shared" si="1"/>
        <v>#DIV/0!</v>
      </c>
    </row>
    <row r="106" spans="1:5" ht="12">
      <c r="A106" t="s">
        <v>138</v>
      </c>
      <c r="E106" s="12" t="e">
        <f t="shared" si="1"/>
        <v>#DIV/0!</v>
      </c>
    </row>
    <row r="107" spans="1:8" ht="12">
      <c r="A107" t="s">
        <v>139</v>
      </c>
      <c r="C107">
        <v>1</v>
      </c>
      <c r="D107">
        <v>13</v>
      </c>
      <c r="E107" s="12">
        <f t="shared" si="1"/>
        <v>13</v>
      </c>
      <c r="F107">
        <v>13</v>
      </c>
      <c r="G107">
        <v>0</v>
      </c>
      <c r="H107">
        <v>0</v>
      </c>
    </row>
    <row r="108" spans="1:8" ht="12">
      <c r="A108" t="s">
        <v>140</v>
      </c>
      <c r="C108">
        <v>1</v>
      </c>
      <c r="D108">
        <v>6</v>
      </c>
      <c r="E108" s="12">
        <f t="shared" si="1"/>
        <v>6</v>
      </c>
      <c r="F108">
        <v>6</v>
      </c>
      <c r="G108">
        <v>0</v>
      </c>
      <c r="H108">
        <v>0</v>
      </c>
    </row>
    <row r="109" spans="1:8" ht="12">
      <c r="A109" t="s">
        <v>141</v>
      </c>
      <c r="C109">
        <v>2</v>
      </c>
      <c r="D109">
        <v>16</v>
      </c>
      <c r="E109" s="12">
        <f t="shared" si="1"/>
        <v>8</v>
      </c>
      <c r="F109">
        <v>12</v>
      </c>
      <c r="G109">
        <v>0</v>
      </c>
      <c r="H109">
        <v>0</v>
      </c>
    </row>
    <row r="110" spans="1:8" ht="12">
      <c r="A110" t="s">
        <v>143</v>
      </c>
      <c r="C110">
        <v>2</v>
      </c>
      <c r="D110">
        <v>19</v>
      </c>
      <c r="E110" s="12">
        <f t="shared" si="1"/>
        <v>9.5</v>
      </c>
      <c r="F110">
        <v>13</v>
      </c>
      <c r="G110">
        <v>0</v>
      </c>
      <c r="H110">
        <v>0</v>
      </c>
    </row>
    <row r="111" spans="1:5" ht="12">
      <c r="A111" t="s">
        <v>146</v>
      </c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133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C122">
        <v>11</v>
      </c>
      <c r="D122">
        <v>9</v>
      </c>
      <c r="E122" s="12">
        <f t="shared" si="2"/>
        <v>81.81818181818183</v>
      </c>
      <c r="F122">
        <v>97</v>
      </c>
      <c r="G122">
        <v>0</v>
      </c>
      <c r="H122">
        <v>27</v>
      </c>
      <c r="I122">
        <v>0</v>
      </c>
      <c r="J122" s="8">
        <f t="shared" si="3"/>
        <v>0</v>
      </c>
      <c r="K122" s="12">
        <f t="shared" si="4"/>
        <v>0</v>
      </c>
      <c r="L122" s="12">
        <f t="shared" si="5"/>
        <v>8.818181818181818</v>
      </c>
      <c r="M122" s="12">
        <f t="shared" si="6"/>
        <v>103.40909090909092</v>
      </c>
      <c r="N122">
        <v>0</v>
      </c>
      <c r="O122">
        <v>2</v>
      </c>
      <c r="R122">
        <f t="shared" si="7"/>
        <v>2.5909090909090913</v>
      </c>
      <c r="S122" s="2">
        <f t="shared" si="8"/>
        <v>2.375</v>
      </c>
      <c r="T122" s="6">
        <f t="shared" si="9"/>
        <v>1.4545454545454546</v>
      </c>
      <c r="U122" s="2">
        <f t="shared" si="10"/>
        <v>1.4545454545454546</v>
      </c>
      <c r="V122">
        <f t="shared" si="11"/>
        <v>0</v>
      </c>
      <c r="W122" s="2">
        <f t="shared" si="12"/>
        <v>0</v>
      </c>
      <c r="X122">
        <f t="shared" si="13"/>
        <v>2.375</v>
      </c>
      <c r="Y122" s="2">
        <f t="shared" si="14"/>
        <v>2.375</v>
      </c>
    </row>
    <row r="123" spans="1:25" ht="12">
      <c r="A123" t="s">
        <v>147</v>
      </c>
      <c r="E123" s="12" t="e">
        <f t="shared" si="2"/>
        <v>#DIV/0!</v>
      </c>
      <c r="J123" s="8" t="e">
        <f t="shared" si="3"/>
        <v>#DIV/0!</v>
      </c>
      <c r="K123" s="12" t="e">
        <f t="shared" si="4"/>
        <v>#DIV/0!</v>
      </c>
      <c r="L123" s="12" t="e">
        <f t="shared" si="5"/>
        <v>#DIV/0!</v>
      </c>
      <c r="M123" s="12" t="e">
        <f t="shared" si="6"/>
        <v>#DIV/0!</v>
      </c>
      <c r="R123" t="e">
        <f t="shared" si="7"/>
        <v>#DIV/0!</v>
      </c>
      <c r="S123" s="2" t="e">
        <f t="shared" si="8"/>
        <v>#DIV/0!</v>
      </c>
      <c r="T123" s="6" t="e">
        <f t="shared" si="9"/>
        <v>#DIV/0!</v>
      </c>
      <c r="U123" s="2" t="e">
        <f t="shared" si="10"/>
        <v>#DIV/0!</v>
      </c>
      <c r="V123" t="e">
        <f t="shared" si="11"/>
        <v>#DIV/0!</v>
      </c>
      <c r="W123" s="2" t="e">
        <f t="shared" si="12"/>
        <v>#DIV/0!</v>
      </c>
      <c r="X123" t="e">
        <f t="shared" si="13"/>
        <v>#DIV/0!</v>
      </c>
      <c r="Y123" s="2" t="e">
        <f t="shared" si="14"/>
        <v>#DIV/0!</v>
      </c>
    </row>
    <row r="124" spans="1:25" ht="12">
      <c r="A124" t="s">
        <v>142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143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5:25" ht="12"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8" spans="1:9" ht="12">
      <c r="A128" s="2" t="s">
        <v>71</v>
      </c>
      <c r="C128" s="3" t="s">
        <v>72</v>
      </c>
      <c r="D128" s="3" t="s">
        <v>73</v>
      </c>
      <c r="E128" s="3" t="s">
        <v>74</v>
      </c>
      <c r="F128" s="3" t="s">
        <v>53</v>
      </c>
      <c r="G128" s="3" t="s">
        <v>64</v>
      </c>
      <c r="H128" s="3" t="s">
        <v>55</v>
      </c>
      <c r="I128" s="3" t="s">
        <v>84</v>
      </c>
    </row>
    <row r="129" spans="1:6" ht="12">
      <c r="A129" t="s">
        <v>148</v>
      </c>
      <c r="F129" s="12" t="e">
        <f aca="true" t="shared" si="15" ref="F129:F134">+E129/C129</f>
        <v>#DIV/0!</v>
      </c>
    </row>
    <row r="130" spans="1:7" ht="12">
      <c r="A130" t="s">
        <v>136</v>
      </c>
      <c r="C130">
        <v>1</v>
      </c>
      <c r="E130">
        <v>3</v>
      </c>
      <c r="F130" s="12">
        <f t="shared" si="15"/>
        <v>3</v>
      </c>
      <c r="G130">
        <v>3</v>
      </c>
    </row>
    <row r="131" spans="1:7" ht="12">
      <c r="A131" t="s">
        <v>140</v>
      </c>
      <c r="C131">
        <v>1</v>
      </c>
      <c r="E131">
        <v>4</v>
      </c>
      <c r="F131" s="12">
        <f t="shared" si="15"/>
        <v>4</v>
      </c>
      <c r="G131">
        <v>4</v>
      </c>
    </row>
    <row r="132" spans="1:6" ht="12">
      <c r="A132" t="s">
        <v>143</v>
      </c>
      <c r="F132" s="12" t="e">
        <f t="shared" si="15"/>
        <v>#DIV/0!</v>
      </c>
    </row>
    <row r="133" ht="12">
      <c r="F133" s="12" t="e">
        <f t="shared" si="15"/>
        <v>#DIV/0!</v>
      </c>
    </row>
    <row r="134" ht="12">
      <c r="F134" s="12" t="e">
        <f t="shared" si="15"/>
        <v>#DIV/0!</v>
      </c>
    </row>
    <row r="138" spans="1:8" ht="12">
      <c r="A138" s="2" t="s">
        <v>30</v>
      </c>
      <c r="C138" s="3" t="s">
        <v>72</v>
      </c>
      <c r="D138" s="3" t="s">
        <v>74</v>
      </c>
      <c r="E138" s="3" t="s">
        <v>53</v>
      </c>
      <c r="F138" s="3" t="s">
        <v>64</v>
      </c>
      <c r="G138" s="3" t="s">
        <v>55</v>
      </c>
      <c r="H138" s="3" t="s">
        <v>84</v>
      </c>
    </row>
    <row r="139" spans="1:5" ht="12">
      <c r="A139" t="s">
        <v>149</v>
      </c>
      <c r="E139" s="12" t="e">
        <f aca="true" t="shared" si="16" ref="E139:E144">+D139/C139</f>
        <v>#DIV/0!</v>
      </c>
    </row>
    <row r="140" spans="1:5" ht="12">
      <c r="A140" t="s">
        <v>148</v>
      </c>
      <c r="E140" s="12" t="e">
        <f t="shared" si="16"/>
        <v>#DIV/0!</v>
      </c>
    </row>
    <row r="141" spans="1:5" ht="12">
      <c r="A141" t="s">
        <v>136</v>
      </c>
      <c r="E141" s="12" t="e">
        <f t="shared" si="16"/>
        <v>#DIV/0!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151</v>
      </c>
      <c r="E143" s="12" t="e">
        <f t="shared" si="16"/>
        <v>#DIV/0!</v>
      </c>
    </row>
    <row r="144" spans="1:5" ht="12">
      <c r="A144" t="s">
        <v>152</v>
      </c>
      <c r="E144" s="12" t="e">
        <f t="shared" si="16"/>
        <v>#DIV/0!</v>
      </c>
    </row>
    <row r="145" spans="1:8" ht="12">
      <c r="A145" t="s">
        <v>138</v>
      </c>
      <c r="C145">
        <v>1</v>
      </c>
      <c r="D145">
        <v>13</v>
      </c>
      <c r="E145" s="12">
        <f aca="true" t="shared" si="17" ref="E145:E151">+D145/C145</f>
        <v>13</v>
      </c>
      <c r="F145">
        <v>13</v>
      </c>
      <c r="H145">
        <v>1</v>
      </c>
    </row>
    <row r="146" spans="1:6" ht="12">
      <c r="A146" t="s">
        <v>143</v>
      </c>
      <c r="C146">
        <v>1</v>
      </c>
      <c r="D146">
        <v>16</v>
      </c>
      <c r="E146" s="12">
        <f t="shared" si="17"/>
        <v>16</v>
      </c>
      <c r="F146">
        <v>16</v>
      </c>
    </row>
    <row r="147" spans="1:5" ht="12">
      <c r="A147" t="s">
        <v>146</v>
      </c>
      <c r="E147" s="12" t="e">
        <f t="shared" si="17"/>
        <v>#DIV/0!</v>
      </c>
    </row>
    <row r="148" spans="1:5" ht="12">
      <c r="A148" t="s">
        <v>153</v>
      </c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3" spans="1:8" ht="12">
      <c r="A153" s="2" t="s">
        <v>75</v>
      </c>
      <c r="C153" s="3" t="s">
        <v>72</v>
      </c>
      <c r="D153" s="3" t="s">
        <v>74</v>
      </c>
      <c r="E153" s="3" t="s">
        <v>53</v>
      </c>
      <c r="F153" s="3" t="s">
        <v>64</v>
      </c>
      <c r="G153" s="3" t="s">
        <v>76</v>
      </c>
      <c r="H153" s="3" t="s">
        <v>84</v>
      </c>
    </row>
    <row r="154" spans="1:6" ht="12">
      <c r="A154" t="s">
        <v>154</v>
      </c>
      <c r="C154">
        <v>2</v>
      </c>
      <c r="D154">
        <v>101</v>
      </c>
      <c r="E154" s="12"/>
      <c r="F154">
        <v>61</v>
      </c>
    </row>
    <row r="160" spans="9:21" ht="12">
      <c r="I160" s="5" t="s">
        <v>67</v>
      </c>
      <c r="L160" s="32" t="s">
        <v>99</v>
      </c>
      <c r="M160" s="32"/>
      <c r="N160" s="32" t="s">
        <v>100</v>
      </c>
      <c r="O160" s="32"/>
      <c r="P160" s="32" t="s">
        <v>101</v>
      </c>
      <c r="Q160" s="32"/>
      <c r="R160" s="32" t="s">
        <v>102</v>
      </c>
      <c r="S160" s="32"/>
      <c r="T160" s="32" t="s">
        <v>103</v>
      </c>
      <c r="U160" s="32"/>
    </row>
    <row r="161" spans="1:21" ht="12">
      <c r="A161" s="4" t="s">
        <v>83</v>
      </c>
      <c r="C161" s="3" t="s">
        <v>77</v>
      </c>
      <c r="D161" s="3" t="s">
        <v>78</v>
      </c>
      <c r="E161" s="3" t="s">
        <v>79</v>
      </c>
      <c r="F161" s="3" t="s">
        <v>80</v>
      </c>
      <c r="G161" s="3" t="s">
        <v>81</v>
      </c>
      <c r="H161" s="3" t="s">
        <v>82</v>
      </c>
      <c r="I161" s="3" t="s">
        <v>86</v>
      </c>
      <c r="J161" s="3" t="s">
        <v>64</v>
      </c>
      <c r="L161" s="3" t="s">
        <v>81</v>
      </c>
      <c r="M161" s="3" t="s">
        <v>82</v>
      </c>
      <c r="N161" s="3" t="s">
        <v>81</v>
      </c>
      <c r="O161" s="3" t="s">
        <v>82</v>
      </c>
      <c r="P161" s="3" t="s">
        <v>81</v>
      </c>
      <c r="Q161" s="3" t="s">
        <v>82</v>
      </c>
      <c r="R161" s="3" t="s">
        <v>81</v>
      </c>
      <c r="S161" s="3" t="s">
        <v>82</v>
      </c>
      <c r="T161" s="3" t="s">
        <v>81</v>
      </c>
      <c r="U161" s="3" t="s">
        <v>82</v>
      </c>
    </row>
    <row r="162" spans="1:18" ht="12">
      <c r="A162" t="s">
        <v>155</v>
      </c>
      <c r="C162">
        <v>4</v>
      </c>
      <c r="E162">
        <v>2</v>
      </c>
      <c r="F162">
        <v>2</v>
      </c>
      <c r="G162">
        <v>3</v>
      </c>
      <c r="H162">
        <v>1</v>
      </c>
      <c r="I162" s="12">
        <f aca="true" t="shared" si="18" ref="I162:I169">+H162/G162*100</f>
        <v>33.33333333333333</v>
      </c>
      <c r="J162">
        <v>27</v>
      </c>
      <c r="N162">
        <v>1</v>
      </c>
      <c r="O162">
        <v>1</v>
      </c>
      <c r="P162">
        <v>1</v>
      </c>
      <c r="R162">
        <v>1</v>
      </c>
    </row>
    <row r="163" spans="1:9" ht="12">
      <c r="A163" t="s">
        <v>154</v>
      </c>
      <c r="C163">
        <v>1</v>
      </c>
      <c r="I163" s="12" t="e">
        <f t="shared" si="18"/>
        <v>#DIV/0!</v>
      </c>
    </row>
    <row r="164" ht="12">
      <c r="I164" s="12" t="e">
        <f t="shared" si="18"/>
        <v>#DIV/0!</v>
      </c>
    </row>
    <row r="165" ht="12">
      <c r="I165" s="12" t="e">
        <f t="shared" si="18"/>
        <v>#DIV/0!</v>
      </c>
    </row>
    <row r="166" ht="12">
      <c r="I166" s="12" t="e">
        <f t="shared" si="18"/>
        <v>#DIV/0!</v>
      </c>
    </row>
    <row r="167" ht="12"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2" spans="1:8" ht="12">
      <c r="A172" s="2" t="s">
        <v>85</v>
      </c>
      <c r="C172" s="3" t="s">
        <v>72</v>
      </c>
      <c r="D172" s="3" t="s">
        <v>74</v>
      </c>
      <c r="E172" s="3" t="s">
        <v>53</v>
      </c>
      <c r="F172" s="3" t="s">
        <v>64</v>
      </c>
      <c r="G172" s="3" t="s">
        <v>55</v>
      </c>
      <c r="H172" s="3" t="s">
        <v>84</v>
      </c>
    </row>
    <row r="173" spans="1:5" ht="12">
      <c r="A173" t="s">
        <v>156</v>
      </c>
      <c r="E173" s="12" t="e">
        <f>+D173/C173</f>
        <v>#DIV/0!</v>
      </c>
    </row>
    <row r="174" spans="1:5" ht="12">
      <c r="A174" t="s">
        <v>149</v>
      </c>
      <c r="E174" s="12" t="e">
        <f aca="true" t="shared" si="19" ref="E174:E180">+D174/C174</f>
        <v>#DIV/0!</v>
      </c>
    </row>
    <row r="175" spans="1:5" ht="12">
      <c r="A175" t="s">
        <v>157</v>
      </c>
      <c r="E175" s="12" t="e">
        <f t="shared" si="19"/>
        <v>#DIV/0!</v>
      </c>
    </row>
    <row r="176" spans="1:5" ht="12">
      <c r="A176" t="s">
        <v>158</v>
      </c>
      <c r="E176" s="12" t="e">
        <f t="shared" si="19"/>
        <v>#DIV/0!</v>
      </c>
    </row>
    <row r="177" spans="1:5" ht="12">
      <c r="A177" t="s">
        <v>159</v>
      </c>
      <c r="E177" s="12" t="e">
        <f t="shared" si="19"/>
        <v>#DIV/0!</v>
      </c>
    </row>
    <row r="178" spans="1:5" ht="12">
      <c r="A178" t="s">
        <v>160</v>
      </c>
      <c r="E178" s="12" t="e">
        <f t="shared" si="19"/>
        <v>#DIV/0!</v>
      </c>
    </row>
    <row r="179" spans="1:6" ht="12">
      <c r="A179" t="s">
        <v>161</v>
      </c>
      <c r="C179">
        <v>1</v>
      </c>
      <c r="D179">
        <v>14</v>
      </c>
      <c r="E179" s="12">
        <f t="shared" si="19"/>
        <v>14</v>
      </c>
      <c r="F179">
        <v>14</v>
      </c>
    </row>
    <row r="180" spans="1:6" ht="12">
      <c r="A180" t="s">
        <v>147</v>
      </c>
      <c r="C180">
        <v>1</v>
      </c>
      <c r="D180">
        <v>0</v>
      </c>
      <c r="E180" s="12">
        <f t="shared" si="19"/>
        <v>0</v>
      </c>
      <c r="F180">
        <v>0</v>
      </c>
    </row>
    <row r="181" spans="1:5" ht="12">
      <c r="A181" t="s">
        <v>153</v>
      </c>
      <c r="E181" s="12" t="e">
        <f>+D181/C181</f>
        <v>#DIV/0!</v>
      </c>
    </row>
    <row r="182" spans="1:6" ht="12">
      <c r="A182" t="s">
        <v>162</v>
      </c>
      <c r="C182">
        <v>1</v>
      </c>
      <c r="D182">
        <v>1</v>
      </c>
      <c r="E182" s="12">
        <f>+D182/C182</f>
        <v>1</v>
      </c>
      <c r="F182">
        <v>1</v>
      </c>
    </row>
    <row r="183" spans="1:5" ht="12">
      <c r="A183" s="1"/>
      <c r="E183" s="12" t="e">
        <f>+D183/C183</f>
        <v>#DIV/0!</v>
      </c>
    </row>
    <row r="184" spans="1:5" ht="12">
      <c r="A184" s="1"/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/>
    </row>
    <row r="187" spans="1:4" ht="12">
      <c r="A187" s="2" t="s">
        <v>98</v>
      </c>
      <c r="C187" s="3" t="s">
        <v>72</v>
      </c>
      <c r="D187" s="3" t="s">
        <v>74</v>
      </c>
    </row>
    <row r="188" spans="1:4" ht="12">
      <c r="A188" s="20" t="s">
        <v>156</v>
      </c>
      <c r="C188" s="3"/>
      <c r="D188" s="3"/>
    </row>
    <row r="189" spans="1:4" ht="12">
      <c r="A189" s="20" t="s">
        <v>157</v>
      </c>
      <c r="C189" s="3"/>
      <c r="D189" s="3"/>
    </row>
    <row r="190" spans="1:4" ht="12">
      <c r="A190" s="20" t="s">
        <v>158</v>
      </c>
      <c r="C190" s="3"/>
      <c r="D190" s="3"/>
    </row>
    <row r="191" spans="1:4" ht="12">
      <c r="A191" s="20" t="s">
        <v>159</v>
      </c>
      <c r="C191" s="3"/>
      <c r="D191" s="3"/>
    </row>
    <row r="192" spans="1:4" ht="12">
      <c r="A192" s="20" t="s">
        <v>163</v>
      </c>
      <c r="C192" s="3"/>
      <c r="D192" s="3"/>
    </row>
    <row r="193" spans="1:4" ht="12">
      <c r="A193" s="20" t="s">
        <v>164</v>
      </c>
      <c r="C193" s="3"/>
      <c r="D193" s="3"/>
    </row>
    <row r="194" spans="1:4" ht="12">
      <c r="A194" s="20" t="s">
        <v>161</v>
      </c>
      <c r="C194" s="3"/>
      <c r="D194" s="3"/>
    </row>
    <row r="195" spans="1:4" ht="12">
      <c r="A195" s="20" t="s">
        <v>165</v>
      </c>
      <c r="C195" s="3">
        <v>2</v>
      </c>
      <c r="D195" s="3">
        <v>15</v>
      </c>
    </row>
    <row r="196" spans="1:4" ht="12">
      <c r="A196" s="20" t="s">
        <v>147</v>
      </c>
      <c r="C196" s="3"/>
      <c r="D196" s="3"/>
    </row>
    <row r="197" spans="1:4" ht="12">
      <c r="A197" s="20" t="s">
        <v>166</v>
      </c>
      <c r="C197" s="3"/>
      <c r="D197" s="3"/>
    </row>
    <row r="198" spans="1:4" ht="12">
      <c r="A198" s="20"/>
      <c r="C198" s="3"/>
      <c r="D198" s="3"/>
    </row>
    <row r="199" spans="1:4" ht="12">
      <c r="A199" s="20"/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"/>
      <c r="C202" s="3"/>
      <c r="D202" s="3"/>
    </row>
    <row r="203" spans="1:4" ht="12">
      <c r="A203" s="2"/>
      <c r="C203" s="3"/>
      <c r="D203" s="3"/>
    </row>
    <row r="204" spans="1:4" ht="12">
      <c r="A204" s="2"/>
      <c r="C204" s="3"/>
      <c r="D204" s="3"/>
    </row>
    <row r="205" spans="1:7" ht="12">
      <c r="A205" s="2" t="s">
        <v>94</v>
      </c>
      <c r="C205" s="3" t="s">
        <v>72</v>
      </c>
      <c r="D205" s="3" t="s">
        <v>74</v>
      </c>
      <c r="E205" s="3" t="s">
        <v>64</v>
      </c>
      <c r="F205" s="3" t="s">
        <v>55</v>
      </c>
      <c r="G205" s="5" t="s">
        <v>84</v>
      </c>
    </row>
    <row r="206" ht="12">
      <c r="A206" t="s">
        <v>167</v>
      </c>
    </row>
    <row r="207" spans="1:3" ht="12">
      <c r="A207" t="s">
        <v>156</v>
      </c>
      <c r="C207">
        <v>1</v>
      </c>
    </row>
    <row r="208" ht="12">
      <c r="A208" t="s">
        <v>149</v>
      </c>
    </row>
    <row r="209" spans="1:3" ht="12">
      <c r="A209" t="s">
        <v>157</v>
      </c>
      <c r="C209">
        <v>1</v>
      </c>
    </row>
    <row r="210" ht="12">
      <c r="A210" t="s">
        <v>133</v>
      </c>
    </row>
    <row r="211" ht="12">
      <c r="A211" t="s">
        <v>134</v>
      </c>
    </row>
    <row r="212" ht="12">
      <c r="A212" t="s">
        <v>158</v>
      </c>
    </row>
    <row r="213" ht="12">
      <c r="A213" t="s">
        <v>168</v>
      </c>
    </row>
    <row r="214" ht="12">
      <c r="A214" t="s">
        <v>135</v>
      </c>
    </row>
    <row r="215" ht="12">
      <c r="A215" t="s">
        <v>159</v>
      </c>
    </row>
    <row r="216" ht="12">
      <c r="A216" t="s">
        <v>169</v>
      </c>
    </row>
    <row r="217" ht="12">
      <c r="A217" t="s">
        <v>144</v>
      </c>
    </row>
    <row r="218" ht="12">
      <c r="A218" t="s">
        <v>148</v>
      </c>
    </row>
    <row r="219" ht="12">
      <c r="A219" t="s">
        <v>163</v>
      </c>
    </row>
    <row r="220" ht="12">
      <c r="A220" t="s">
        <v>160</v>
      </c>
    </row>
    <row r="221" ht="12">
      <c r="A221" t="s">
        <v>136</v>
      </c>
    </row>
    <row r="222" ht="12">
      <c r="A222" t="s">
        <v>170</v>
      </c>
    </row>
    <row r="223" ht="12">
      <c r="A223" t="s">
        <v>154</v>
      </c>
    </row>
    <row r="224" ht="12">
      <c r="A224" t="s">
        <v>150</v>
      </c>
    </row>
    <row r="225" ht="12">
      <c r="A225" t="s">
        <v>171</v>
      </c>
    </row>
    <row r="226" ht="12">
      <c r="A226" t="s">
        <v>164</v>
      </c>
    </row>
    <row r="227" ht="12">
      <c r="A227" t="s">
        <v>145</v>
      </c>
    </row>
    <row r="228" ht="12">
      <c r="A228" t="s">
        <v>137</v>
      </c>
    </row>
    <row r="229" spans="1:3" ht="12">
      <c r="A229" t="s">
        <v>151</v>
      </c>
      <c r="C229">
        <v>1</v>
      </c>
    </row>
    <row r="230" ht="12">
      <c r="A230" t="s">
        <v>152</v>
      </c>
    </row>
    <row r="231" ht="12">
      <c r="A231" t="s">
        <v>138</v>
      </c>
    </row>
    <row r="232" ht="12">
      <c r="A232" t="s">
        <v>139</v>
      </c>
    </row>
    <row r="233" ht="12">
      <c r="A233" t="s">
        <v>161</v>
      </c>
    </row>
    <row r="234" ht="12">
      <c r="A234" t="s">
        <v>172</v>
      </c>
    </row>
    <row r="235" ht="12">
      <c r="A235" t="s">
        <v>140</v>
      </c>
    </row>
    <row r="236" ht="12">
      <c r="A236" t="s">
        <v>165</v>
      </c>
    </row>
    <row r="237" ht="12">
      <c r="A237" t="s">
        <v>155</v>
      </c>
    </row>
    <row r="238" ht="12">
      <c r="A238" t="s">
        <v>147</v>
      </c>
    </row>
    <row r="239" ht="12">
      <c r="A239" t="s">
        <v>173</v>
      </c>
    </row>
    <row r="240" ht="12">
      <c r="A240" t="s">
        <v>141</v>
      </c>
    </row>
    <row r="241" spans="1:3" ht="12">
      <c r="A241" t="s">
        <v>174</v>
      </c>
      <c r="C241">
        <v>1</v>
      </c>
    </row>
    <row r="242" ht="12">
      <c r="A242" t="s">
        <v>166</v>
      </c>
    </row>
    <row r="243" ht="12">
      <c r="A243" t="s">
        <v>175</v>
      </c>
    </row>
    <row r="244" ht="12">
      <c r="A244" t="s">
        <v>176</v>
      </c>
    </row>
    <row r="245" ht="12">
      <c r="A245" t="s">
        <v>142</v>
      </c>
    </row>
    <row r="246" ht="12">
      <c r="A246" t="s">
        <v>177</v>
      </c>
    </row>
    <row r="247" ht="12">
      <c r="A247" t="s">
        <v>143</v>
      </c>
    </row>
    <row r="248" ht="12">
      <c r="A248" t="s">
        <v>178</v>
      </c>
    </row>
    <row r="249" ht="12">
      <c r="A249" t="s">
        <v>179</v>
      </c>
    </row>
    <row r="250" ht="12">
      <c r="A250" t="s">
        <v>146</v>
      </c>
    </row>
    <row r="251" ht="12">
      <c r="A251" t="s">
        <v>153</v>
      </c>
    </row>
    <row r="252" ht="12">
      <c r="A252" t="s">
        <v>162</v>
      </c>
    </row>
    <row r="253" ht="12">
      <c r="A253" t="s">
        <v>180</v>
      </c>
    </row>
  </sheetData>
  <sheetProtection/>
  <mergeCells count="5">
    <mergeCell ref="L160:M160"/>
    <mergeCell ref="N160:O160"/>
    <mergeCell ref="P160:Q160"/>
    <mergeCell ref="R160:S160"/>
    <mergeCell ref="T160:U160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253"/>
  <sheetViews>
    <sheetView zoomScale="125" zoomScaleNormal="125" workbookViewId="0" topLeftCell="A1">
      <selection activeCell="A122" sqref="A122:G124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Chicago Bears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14</v>
      </c>
      <c r="H6" s="1" t="s">
        <v>29</v>
      </c>
      <c r="M6" s="2">
        <v>16</v>
      </c>
    </row>
    <row r="7" spans="1:13" ht="12">
      <c r="A7" s="16" t="s">
        <v>95</v>
      </c>
      <c r="D7" s="2">
        <v>8</v>
      </c>
      <c r="H7" s="16" t="s">
        <v>95</v>
      </c>
      <c r="M7" s="2">
        <v>6</v>
      </c>
    </row>
    <row r="8" spans="1:13" ht="12">
      <c r="A8" s="16" t="s">
        <v>96</v>
      </c>
      <c r="D8" s="2">
        <v>6</v>
      </c>
      <c r="H8" s="16" t="s">
        <v>96</v>
      </c>
      <c r="M8" s="2">
        <v>7</v>
      </c>
    </row>
    <row r="9" spans="1:13" ht="12">
      <c r="A9" s="16" t="s">
        <v>97</v>
      </c>
      <c r="D9" s="2">
        <v>0</v>
      </c>
      <c r="H9" s="16" t="s">
        <v>97</v>
      </c>
      <c r="M9" s="2">
        <v>3</v>
      </c>
    </row>
    <row r="10" spans="1:14" ht="12">
      <c r="A10" s="18" t="s">
        <v>108</v>
      </c>
      <c r="C10">
        <v>2</v>
      </c>
      <c r="D10" s="2">
        <v>7</v>
      </c>
      <c r="E10" s="19">
        <f>+C10/D10</f>
        <v>0.2857142857142857</v>
      </c>
      <c r="H10" s="18" t="s">
        <v>108</v>
      </c>
      <c r="L10">
        <v>2</v>
      </c>
      <c r="M10" s="2">
        <v>9</v>
      </c>
      <c r="N10" s="19">
        <f>+L10/M10</f>
        <v>0.2222222222222222</v>
      </c>
    </row>
    <row r="11" spans="1:14" ht="12">
      <c r="A11" s="18" t="s">
        <v>119</v>
      </c>
      <c r="C11">
        <v>0</v>
      </c>
      <c r="D11" s="2">
        <v>0</v>
      </c>
      <c r="E11" s="19"/>
      <c r="H11" s="18" t="s">
        <v>119</v>
      </c>
      <c r="L11">
        <v>0</v>
      </c>
      <c r="M11" s="2">
        <v>1</v>
      </c>
      <c r="N11" s="19"/>
    </row>
    <row r="13" spans="1:23" ht="12">
      <c r="A13" t="s">
        <v>1</v>
      </c>
      <c r="D13" s="2">
        <f>11+5+6+1+5+3+2</f>
        <v>33</v>
      </c>
      <c r="H13" t="s">
        <v>1</v>
      </c>
      <c r="M13" s="2">
        <f>19+2+1+3</f>
        <v>25</v>
      </c>
      <c r="V13">
        <f>+D13</f>
        <v>33</v>
      </c>
      <c r="W13">
        <f>+M13</f>
        <v>25</v>
      </c>
    </row>
    <row r="14" spans="1:23" ht="12">
      <c r="A14" t="s">
        <v>2</v>
      </c>
      <c r="D14" s="2">
        <f>105+14+34+2+5+9+7</f>
        <v>176</v>
      </c>
      <c r="H14" t="s">
        <v>2</v>
      </c>
      <c r="M14" s="2">
        <f>86+9+0+12</f>
        <v>107</v>
      </c>
      <c r="P14" s="13"/>
      <c r="U14" s="13"/>
      <c r="V14">
        <f>+D18</f>
        <v>8</v>
      </c>
      <c r="W14">
        <f>+M18</f>
        <v>13</v>
      </c>
    </row>
    <row r="15" spans="1:23" ht="12">
      <c r="A15" s="1" t="s">
        <v>3</v>
      </c>
      <c r="D15" s="8">
        <f>+D14/D13</f>
        <v>5.333333333333333</v>
      </c>
      <c r="H15" s="1" t="s">
        <v>3</v>
      </c>
      <c r="M15" s="8">
        <f>+M14/M13</f>
        <v>4.28</v>
      </c>
      <c r="V15">
        <f>+(D17-D18)/2</f>
        <v>2</v>
      </c>
      <c r="W15">
        <f>+(M17-M18)/2</f>
        <v>6.5</v>
      </c>
    </row>
    <row r="16" spans="22:23" ht="12">
      <c r="V16">
        <f>+D40/2</f>
        <v>2.5</v>
      </c>
      <c r="W16">
        <f>+M40/2</f>
        <v>2</v>
      </c>
    </row>
    <row r="17" spans="1:23" ht="12">
      <c r="A17" t="s">
        <v>4</v>
      </c>
      <c r="D17" s="2">
        <v>12</v>
      </c>
      <c r="H17" t="s">
        <v>4</v>
      </c>
      <c r="M17" s="2">
        <v>26</v>
      </c>
      <c r="V17">
        <f>+D44/2</f>
        <v>1.5</v>
      </c>
      <c r="W17">
        <f>+M44/2</f>
        <v>1</v>
      </c>
    </row>
    <row r="18" spans="1:23" ht="12">
      <c r="A18" t="s">
        <v>5</v>
      </c>
      <c r="D18" s="2">
        <v>8</v>
      </c>
      <c r="H18" t="s">
        <v>5</v>
      </c>
      <c r="M18" s="2">
        <v>13</v>
      </c>
      <c r="V18">
        <f>+D50/2</f>
        <v>2</v>
      </c>
      <c r="W18">
        <f>+M50/2</f>
        <v>2.5</v>
      </c>
    </row>
    <row r="19" spans="1:13" ht="12">
      <c r="A19" t="s">
        <v>6</v>
      </c>
      <c r="D19" s="8">
        <f>+D18/D17*100</f>
        <v>66.66666666666666</v>
      </c>
      <c r="H19" t="s">
        <v>6</v>
      </c>
      <c r="M19" s="8">
        <f>+M18/M17*100</f>
        <v>50</v>
      </c>
    </row>
    <row r="20" spans="1:24" ht="12">
      <c r="A20" t="s">
        <v>7</v>
      </c>
      <c r="D20" s="2">
        <f>81+56</f>
        <v>137</v>
      </c>
      <c r="H20" t="s">
        <v>7</v>
      </c>
      <c r="M20" s="2">
        <v>173</v>
      </c>
      <c r="V20">
        <f>SUM(V13:V18)</f>
        <v>49</v>
      </c>
      <c r="W20">
        <f>SUM(W13:W18)</f>
        <v>50</v>
      </c>
      <c r="X20">
        <f>+W20+V20</f>
        <v>99</v>
      </c>
    </row>
    <row r="21" spans="1:23" ht="12">
      <c r="A21" t="s">
        <v>8</v>
      </c>
      <c r="D21" s="2">
        <v>1</v>
      </c>
      <c r="H21" t="s">
        <v>8</v>
      </c>
      <c r="M21" s="2">
        <v>5</v>
      </c>
      <c r="V21">
        <f>+V20/X20</f>
        <v>0.494949494949495</v>
      </c>
      <c r="W21">
        <f>+W20/X20</f>
        <v>0.5050505050505051</v>
      </c>
    </row>
    <row r="22" spans="1:23" ht="12">
      <c r="A22" t="s">
        <v>9</v>
      </c>
      <c r="D22" s="2">
        <v>12</v>
      </c>
      <c r="H22" t="s">
        <v>9</v>
      </c>
      <c r="M22" s="2">
        <f>9+12+7+15+10</f>
        <v>53</v>
      </c>
      <c r="V22">
        <f>+V21*60</f>
        <v>29.6969696969697</v>
      </c>
      <c r="W22">
        <f>+W21*60</f>
        <v>30.303030303030305</v>
      </c>
    </row>
    <row r="23" spans="1:23" ht="12">
      <c r="A23" t="s">
        <v>10</v>
      </c>
      <c r="D23">
        <f>+D20-D22</f>
        <v>125</v>
      </c>
      <c r="H23" t="s">
        <v>10</v>
      </c>
      <c r="M23">
        <f>+M20-M22</f>
        <v>120</v>
      </c>
      <c r="V23">
        <f>+V22-INT(V22)</f>
        <v>0.696969696969699</v>
      </c>
      <c r="W23">
        <f>+W22-INT(W22)</f>
        <v>0.30303030303030454</v>
      </c>
    </row>
    <row r="24" spans="1:23" ht="12">
      <c r="A24" t="s">
        <v>11</v>
      </c>
      <c r="D24" s="7">
        <f>+D23/(D17+D21)</f>
        <v>9.615384615384615</v>
      </c>
      <c r="H24" t="s">
        <v>11</v>
      </c>
      <c r="M24" s="7">
        <f>+M23/(M17+M21)</f>
        <v>3.870967741935484</v>
      </c>
      <c r="V24">
        <f>+V23*60</f>
        <v>41.81818181818194</v>
      </c>
      <c r="W24">
        <f>+W23*60</f>
        <v>18.181818181818272</v>
      </c>
    </row>
    <row r="25" spans="1:23" ht="12">
      <c r="A25" t="s">
        <v>12</v>
      </c>
      <c r="D25" s="7">
        <f>+D20/D18</f>
        <v>17.125</v>
      </c>
      <c r="H25" t="s">
        <v>12</v>
      </c>
      <c r="M25" s="7">
        <f>+M20/M18</f>
        <v>13.307692307692308</v>
      </c>
      <c r="Q25" s="11"/>
      <c r="U25">
        <v>0</v>
      </c>
      <c r="V25" s="11">
        <f>ROUND(V24,0)</f>
        <v>42</v>
      </c>
      <c r="W25">
        <f>ROUND(W24,0)</f>
        <v>18</v>
      </c>
    </row>
    <row r="26" spans="22:23" ht="12">
      <c r="V26">
        <f>INT(V22)</f>
        <v>29</v>
      </c>
      <c r="W26">
        <f>INT(W22)</f>
        <v>30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301</v>
      </c>
      <c r="H28" t="s">
        <v>14</v>
      </c>
      <c r="M28">
        <f>+M23+M14</f>
        <v>227</v>
      </c>
      <c r="Q28" s="14"/>
      <c r="R28" s="9"/>
      <c r="V28" s="14" t="str">
        <f>+V26&amp;V27&amp;V25</f>
        <v>29:42</v>
      </c>
      <c r="W28" s="9" t="str">
        <f>+W26&amp;W27&amp;W25</f>
        <v>30:18</v>
      </c>
    </row>
    <row r="29" spans="1:23" ht="12">
      <c r="A29" t="s">
        <v>15</v>
      </c>
      <c r="D29" s="7">
        <f>+D14/D28*100</f>
        <v>58.4717607973422</v>
      </c>
      <c r="H29" t="s">
        <v>15</v>
      </c>
      <c r="M29" s="7">
        <f>+M14/M28*100</f>
        <v>47.136563876651984</v>
      </c>
      <c r="Q29" s="9"/>
      <c r="R29" s="9"/>
      <c r="V29" s="9" t="str">
        <f>IF(V25&lt;10,+V26&amp;V27&amp;$U$25&amp;V25,+V26&amp;V27&amp;V25)</f>
        <v>29:42</v>
      </c>
      <c r="W29" s="9" t="str">
        <f>IF(W25&lt;10,+W26&amp;W27&amp;$U$25&amp;W25,+W26&amp;W27&amp;W25)</f>
        <v>30:18</v>
      </c>
    </row>
    <row r="30" spans="1:16" ht="12">
      <c r="A30" s="1" t="s">
        <v>90</v>
      </c>
      <c r="D30" s="7">
        <f>+D23/D28*100</f>
        <v>41.52823920265781</v>
      </c>
      <c r="H30" s="1" t="s">
        <v>90</v>
      </c>
      <c r="M30" s="7">
        <f>+M23/M28*100</f>
        <v>52.863436123348016</v>
      </c>
      <c r="P30" s="13"/>
    </row>
    <row r="32" spans="1:13" ht="12">
      <c r="A32" t="s">
        <v>16</v>
      </c>
      <c r="D32">
        <f>+D13+D17+D21</f>
        <v>46</v>
      </c>
      <c r="H32" t="s">
        <v>16</v>
      </c>
      <c r="M32">
        <f>+M13+M17+M21</f>
        <v>56</v>
      </c>
    </row>
    <row r="33" spans="1:13" ht="12">
      <c r="A33" t="s">
        <v>17</v>
      </c>
      <c r="D33" s="8">
        <f>+D28/D32</f>
        <v>6.543478260869565</v>
      </c>
      <c r="E33" s="7"/>
      <c r="F33" s="7"/>
      <c r="G33" s="7"/>
      <c r="H33" s="7" t="s">
        <v>17</v>
      </c>
      <c r="I33" s="7"/>
      <c r="J33" s="7"/>
      <c r="K33" s="7"/>
      <c r="L33" s="7"/>
      <c r="M33" s="8">
        <f>+M28/M32</f>
        <v>4.053571428571429</v>
      </c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1</v>
      </c>
      <c r="H36" t="s">
        <v>19</v>
      </c>
      <c r="M36" s="2">
        <v>3</v>
      </c>
    </row>
    <row r="37" spans="1:13" ht="12">
      <c r="A37" t="s">
        <v>20</v>
      </c>
      <c r="D37" s="2">
        <v>0</v>
      </c>
      <c r="H37" t="s">
        <v>20</v>
      </c>
      <c r="M37" s="2">
        <v>18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5</v>
      </c>
      <c r="H40" t="s">
        <v>22</v>
      </c>
      <c r="M40" s="2">
        <v>4</v>
      </c>
    </row>
    <row r="41" spans="1:13" ht="12">
      <c r="A41" t="s">
        <v>23</v>
      </c>
      <c r="D41" s="2">
        <f>37+30+40+40+26</f>
        <v>173</v>
      </c>
      <c r="H41" t="s">
        <v>23</v>
      </c>
      <c r="M41" s="2">
        <f>45+31+50+64</f>
        <v>190</v>
      </c>
    </row>
    <row r="42" spans="1:13" ht="12">
      <c r="A42" t="s">
        <v>24</v>
      </c>
      <c r="D42" s="8">
        <f>+D41/D40</f>
        <v>34.6</v>
      </c>
      <c r="E42" s="7"/>
      <c r="F42" s="7"/>
      <c r="G42" s="7"/>
      <c r="H42" s="7" t="s">
        <v>24</v>
      </c>
      <c r="I42" s="7"/>
      <c r="J42" s="7"/>
      <c r="K42" s="7"/>
      <c r="L42" s="7"/>
      <c r="M42" s="8">
        <f>+M41/M40</f>
        <v>47.5</v>
      </c>
    </row>
    <row r="44" spans="1:13" ht="12">
      <c r="A44" t="s">
        <v>25</v>
      </c>
      <c r="D44" s="2">
        <v>3</v>
      </c>
      <c r="H44" t="s">
        <v>25</v>
      </c>
      <c r="M44" s="2">
        <v>2</v>
      </c>
    </row>
    <row r="45" spans="1:13" ht="12">
      <c r="A45" t="s">
        <v>26</v>
      </c>
      <c r="D45" s="2">
        <f>15+2+2</f>
        <v>19</v>
      </c>
      <c r="H45" t="s">
        <v>26</v>
      </c>
      <c r="M45" s="2">
        <v>0</v>
      </c>
    </row>
    <row r="46" spans="1:13" ht="12">
      <c r="A46" t="s">
        <v>27</v>
      </c>
      <c r="D46" s="8">
        <f>+D45/D44</f>
        <v>6.333333333333333</v>
      </c>
      <c r="H46" t="s">
        <v>27</v>
      </c>
      <c r="M46" s="8">
        <f>+M45/M44</f>
        <v>0</v>
      </c>
    </row>
    <row r="47" spans="1:13" ht="12">
      <c r="A47" s="18" t="s">
        <v>131</v>
      </c>
      <c r="D47" s="2">
        <v>1</v>
      </c>
      <c r="H47" s="18" t="s">
        <v>131</v>
      </c>
      <c r="M47" s="2">
        <v>2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4</v>
      </c>
      <c r="H50" t="s">
        <v>30</v>
      </c>
      <c r="M50" s="2">
        <v>5</v>
      </c>
    </row>
    <row r="51" spans="1:13" ht="12">
      <c r="A51" t="s">
        <v>26</v>
      </c>
      <c r="D51" s="2">
        <f>43+92+25+27</f>
        <v>187</v>
      </c>
      <c r="H51" t="s">
        <v>26</v>
      </c>
      <c r="M51" s="2">
        <f>18+0+15+23+8</f>
        <v>64</v>
      </c>
    </row>
    <row r="52" spans="1:13" ht="12">
      <c r="A52" t="s">
        <v>27</v>
      </c>
      <c r="D52" s="8">
        <f>+D51/D50</f>
        <v>46.75</v>
      </c>
      <c r="H52" t="s">
        <v>27</v>
      </c>
      <c r="M52" s="8">
        <f>+M51/M50</f>
        <v>12.8</v>
      </c>
    </row>
    <row r="53" spans="1:13" ht="12">
      <c r="A53" t="s">
        <v>28</v>
      </c>
      <c r="D53" s="2">
        <v>1</v>
      </c>
      <c r="H53" t="s">
        <v>28</v>
      </c>
      <c r="M53" s="2">
        <v>0</v>
      </c>
    </row>
    <row r="55" spans="1:16" ht="12">
      <c r="A55" t="s">
        <v>127</v>
      </c>
      <c r="D55" s="2">
        <v>5</v>
      </c>
      <c r="G55" t="str">
        <f>IF(D55-D56=M50,"ok","err")</f>
        <v>ok</v>
      </c>
      <c r="H55" t="s">
        <v>127</v>
      </c>
      <c r="K55" s="2"/>
      <c r="M55" s="2">
        <v>5</v>
      </c>
      <c r="P55" s="2"/>
    </row>
    <row r="56" spans="1:16" ht="12">
      <c r="A56" t="s">
        <v>128</v>
      </c>
      <c r="D56" s="2">
        <v>0</v>
      </c>
      <c r="H56" t="s">
        <v>128</v>
      </c>
      <c r="K56" s="2"/>
      <c r="M56" s="2">
        <v>1</v>
      </c>
      <c r="P56" s="2"/>
    </row>
    <row r="57" spans="1:13" ht="12">
      <c r="A57" t="s">
        <v>129</v>
      </c>
      <c r="D57">
        <f>+D56/D55</f>
        <v>0</v>
      </c>
      <c r="H57" t="s">
        <v>129</v>
      </c>
      <c r="M57">
        <f>+M56/M55</f>
        <v>0.2</v>
      </c>
    </row>
    <row r="59" spans="1:13" ht="12">
      <c r="A59" t="s">
        <v>31</v>
      </c>
      <c r="D59" s="2">
        <v>11</v>
      </c>
      <c r="H59" t="s">
        <v>31</v>
      </c>
      <c r="M59" s="2">
        <v>2</v>
      </c>
    </row>
    <row r="60" spans="1:13" ht="12">
      <c r="A60" t="s">
        <v>32</v>
      </c>
      <c r="D60" s="2">
        <v>89</v>
      </c>
      <c r="H60" t="s">
        <v>32</v>
      </c>
      <c r="M60" s="2">
        <v>26</v>
      </c>
    </row>
    <row r="62" spans="1:13" ht="12">
      <c r="A62" t="s">
        <v>33</v>
      </c>
      <c r="D62" s="2">
        <v>2</v>
      </c>
      <c r="H62" t="s">
        <v>33</v>
      </c>
      <c r="M62" s="2">
        <v>2</v>
      </c>
    </row>
    <row r="63" spans="1:13" ht="12">
      <c r="A63" t="s">
        <v>34</v>
      </c>
      <c r="D63" s="2">
        <v>0</v>
      </c>
      <c r="H63" t="s">
        <v>34</v>
      </c>
      <c r="M63" s="2">
        <v>1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1</v>
      </c>
      <c r="H65" t="s">
        <v>36</v>
      </c>
      <c r="M65" s="2">
        <v>0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28</v>
      </c>
      <c r="H68" t="s">
        <v>38</v>
      </c>
      <c r="M68" s="2">
        <v>24</v>
      </c>
      <c r="N68" t="str">
        <f>IF(K68=K69*6+K75*2+K76*3+K73,"ok","ERR")</f>
        <v>ok</v>
      </c>
      <c r="P68" t="str">
        <f>IF(M68=M69*6+M75*2+M76*3+M73,"ok","ERR")</f>
        <v>ok</v>
      </c>
    </row>
    <row r="69" spans="1:13" ht="12">
      <c r="A69" t="s">
        <v>39</v>
      </c>
      <c r="D69" s="2">
        <v>4</v>
      </c>
      <c r="H69" t="s">
        <v>39</v>
      </c>
      <c r="M69" s="2">
        <v>3</v>
      </c>
    </row>
    <row r="70" spans="1:13" ht="12">
      <c r="A70" t="s">
        <v>40</v>
      </c>
      <c r="D70" s="2">
        <v>2</v>
      </c>
      <c r="H70" t="s">
        <v>40</v>
      </c>
      <c r="M70" s="2">
        <v>0</v>
      </c>
    </row>
    <row r="71" spans="1:13" ht="12">
      <c r="A71" t="s">
        <v>41</v>
      </c>
      <c r="D71" s="2">
        <v>1</v>
      </c>
      <c r="H71" t="s">
        <v>41</v>
      </c>
      <c r="M71" s="2">
        <v>3</v>
      </c>
    </row>
    <row r="72" spans="1:13" ht="12">
      <c r="A72" t="s">
        <v>42</v>
      </c>
      <c r="D72" s="2">
        <v>1</v>
      </c>
      <c r="H72" t="s">
        <v>42</v>
      </c>
      <c r="M72" s="2">
        <v>0</v>
      </c>
    </row>
    <row r="73" spans="1:13" ht="12">
      <c r="A73" t="s">
        <v>43</v>
      </c>
      <c r="D73" s="2">
        <v>4</v>
      </c>
      <c r="H73" t="s">
        <v>43</v>
      </c>
      <c r="M73" s="2">
        <v>3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0</v>
      </c>
      <c r="H76" t="s">
        <v>45</v>
      </c>
      <c r="M76" s="2">
        <v>1</v>
      </c>
    </row>
    <row r="77" spans="1:13" ht="12">
      <c r="A77" t="s">
        <v>46</v>
      </c>
      <c r="D77" s="2">
        <v>1</v>
      </c>
      <c r="H77" t="s">
        <v>46</v>
      </c>
      <c r="M77" s="2">
        <v>2</v>
      </c>
    </row>
    <row r="78" spans="1:13" ht="12">
      <c r="A78" t="s">
        <v>47</v>
      </c>
      <c r="D78" s="8">
        <f>+D76/D77*100</f>
        <v>0</v>
      </c>
      <c r="E78" s="7"/>
      <c r="F78" s="7"/>
      <c r="G78" s="7"/>
      <c r="H78" s="7" t="s">
        <v>47</v>
      </c>
      <c r="I78" s="7"/>
      <c r="J78" s="7"/>
      <c r="K78" s="7"/>
      <c r="L78" s="7"/>
      <c r="M78" s="8">
        <f>+M76/M77*100</f>
        <v>50</v>
      </c>
    </row>
    <row r="79" spans="1:13" ht="12">
      <c r="A79" t="s">
        <v>93</v>
      </c>
      <c r="D79" s="10" t="str">
        <f>IF(V25&lt;10,V29,V28)</f>
        <v>29:42</v>
      </c>
      <c r="E79" s="8"/>
      <c r="F79" s="8"/>
      <c r="H79" t="s">
        <v>93</v>
      </c>
      <c r="M79" s="10">
        <f>IF(AE25&lt;10,AE29,AE28)</f>
        <v>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8" ht="12">
      <c r="A84" t="s">
        <v>134</v>
      </c>
      <c r="C84">
        <v>6</v>
      </c>
      <c r="D84">
        <v>34</v>
      </c>
      <c r="E84" s="12">
        <f>+D84/C84</f>
        <v>5.666666666666667</v>
      </c>
      <c r="F84">
        <v>13</v>
      </c>
      <c r="G84">
        <v>0</v>
      </c>
      <c r="H84">
        <v>0</v>
      </c>
    </row>
    <row r="85" spans="1:8" ht="12">
      <c r="A85" t="s">
        <v>135</v>
      </c>
      <c r="C85">
        <v>2</v>
      </c>
      <c r="D85">
        <v>7</v>
      </c>
      <c r="E85" s="12">
        <f>+D85/C85</f>
        <v>3.5</v>
      </c>
      <c r="F85">
        <v>4</v>
      </c>
      <c r="G85">
        <v>1</v>
      </c>
      <c r="H85">
        <v>0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5" ht="12">
      <c r="A87" t="s">
        <v>137</v>
      </c>
      <c r="E87" s="12" t="e">
        <f t="shared" si="0"/>
        <v>#DIV/0!</v>
      </c>
    </row>
    <row r="88" spans="1:8" ht="12">
      <c r="A88" t="s">
        <v>138</v>
      </c>
      <c r="C88">
        <v>1</v>
      </c>
      <c r="D88">
        <v>2</v>
      </c>
      <c r="E88" s="12">
        <f t="shared" si="0"/>
        <v>2</v>
      </c>
      <c r="F88">
        <v>2</v>
      </c>
      <c r="G88">
        <v>0</v>
      </c>
      <c r="H88">
        <v>0</v>
      </c>
    </row>
    <row r="89" spans="1:8" ht="12">
      <c r="A89" t="s">
        <v>139</v>
      </c>
      <c r="C89">
        <v>5</v>
      </c>
      <c r="D89">
        <v>5</v>
      </c>
      <c r="E89" s="12">
        <f t="shared" si="0"/>
        <v>1</v>
      </c>
      <c r="F89">
        <v>3</v>
      </c>
      <c r="G89">
        <v>1</v>
      </c>
      <c r="H89">
        <v>0</v>
      </c>
    </row>
    <row r="90" spans="1:5" ht="12">
      <c r="A90" t="s">
        <v>140</v>
      </c>
      <c r="E90" s="12" t="e">
        <f t="shared" si="0"/>
        <v>#DIV/0!</v>
      </c>
    </row>
    <row r="91" spans="1:8" ht="12">
      <c r="A91" t="s">
        <v>141</v>
      </c>
      <c r="C91">
        <v>5</v>
      </c>
      <c r="D91">
        <v>14</v>
      </c>
      <c r="E91" s="12">
        <f t="shared" si="0"/>
        <v>2.8</v>
      </c>
      <c r="F91">
        <v>6</v>
      </c>
      <c r="G91">
        <v>0</v>
      </c>
      <c r="H91">
        <v>0</v>
      </c>
    </row>
    <row r="92" spans="1:8" ht="12">
      <c r="A92" t="s">
        <v>142</v>
      </c>
      <c r="C92">
        <v>3</v>
      </c>
      <c r="D92">
        <v>9</v>
      </c>
      <c r="E92" s="12">
        <f t="shared" si="0"/>
        <v>3</v>
      </c>
      <c r="F92">
        <v>13</v>
      </c>
      <c r="G92">
        <v>0</v>
      </c>
      <c r="H92">
        <v>0</v>
      </c>
    </row>
    <row r="93" spans="1:8" ht="12">
      <c r="A93" t="s">
        <v>143</v>
      </c>
      <c r="C93">
        <v>11</v>
      </c>
      <c r="D93">
        <v>105</v>
      </c>
      <c r="E93" s="12">
        <f>+D93/C93</f>
        <v>9.545454545454545</v>
      </c>
      <c r="F93">
        <v>70</v>
      </c>
      <c r="G93">
        <v>0</v>
      </c>
      <c r="H93">
        <v>2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5" ht="12">
      <c r="A101" t="s">
        <v>134</v>
      </c>
      <c r="E101" s="12" t="e">
        <f aca="true" t="shared" si="1" ref="E101:E112">+D101/C101</f>
        <v>#DIV/0!</v>
      </c>
    </row>
    <row r="102" spans="1:8" ht="12">
      <c r="A102" t="s">
        <v>144</v>
      </c>
      <c r="C102">
        <v>1</v>
      </c>
      <c r="D102">
        <v>9</v>
      </c>
      <c r="E102" s="12">
        <f t="shared" si="1"/>
        <v>9</v>
      </c>
      <c r="F102">
        <v>9</v>
      </c>
      <c r="G102">
        <v>0</v>
      </c>
      <c r="H102">
        <v>0</v>
      </c>
    </row>
    <row r="103" spans="1:8" ht="12">
      <c r="A103" t="s">
        <v>136</v>
      </c>
      <c r="C103">
        <v>3</v>
      </c>
      <c r="D103">
        <v>46</v>
      </c>
      <c r="E103" s="12">
        <f t="shared" si="1"/>
        <v>15.333333333333334</v>
      </c>
      <c r="F103">
        <v>25</v>
      </c>
      <c r="G103">
        <v>0</v>
      </c>
      <c r="H103">
        <v>0</v>
      </c>
    </row>
    <row r="104" spans="1:8" ht="12">
      <c r="A104" t="s">
        <v>145</v>
      </c>
      <c r="C104">
        <v>1</v>
      </c>
      <c r="D104">
        <v>28</v>
      </c>
      <c r="E104" s="12">
        <f t="shared" si="1"/>
        <v>28</v>
      </c>
      <c r="F104">
        <v>28</v>
      </c>
      <c r="G104">
        <v>0</v>
      </c>
      <c r="H104">
        <v>0</v>
      </c>
    </row>
    <row r="105" spans="1:5" ht="12">
      <c r="A105" t="s">
        <v>137</v>
      </c>
      <c r="E105" s="12" t="e">
        <f t="shared" si="1"/>
        <v>#DIV/0!</v>
      </c>
    </row>
    <row r="106" spans="1:5" ht="12">
      <c r="A106" t="s">
        <v>138</v>
      </c>
      <c r="E106" s="12" t="e">
        <f t="shared" si="1"/>
        <v>#DIV/0!</v>
      </c>
    </row>
    <row r="107" spans="1:5" ht="12">
      <c r="A107" t="s">
        <v>139</v>
      </c>
      <c r="E107" s="12" t="e">
        <f t="shared" si="1"/>
        <v>#DIV/0!</v>
      </c>
    </row>
    <row r="108" spans="1:8" ht="12">
      <c r="A108" t="s">
        <v>140</v>
      </c>
      <c r="C108">
        <v>2</v>
      </c>
      <c r="D108">
        <v>44</v>
      </c>
      <c r="E108" s="12">
        <f t="shared" si="1"/>
        <v>22</v>
      </c>
      <c r="F108">
        <v>26</v>
      </c>
      <c r="G108">
        <v>0</v>
      </c>
      <c r="H108">
        <v>0</v>
      </c>
    </row>
    <row r="109" spans="1:5" ht="12">
      <c r="A109" t="s">
        <v>141</v>
      </c>
      <c r="E109" s="12" t="e">
        <f t="shared" si="1"/>
        <v>#DIV/0!</v>
      </c>
    </row>
    <row r="110" spans="1:8" ht="12">
      <c r="A110" t="s">
        <v>143</v>
      </c>
      <c r="C110">
        <v>1</v>
      </c>
      <c r="D110">
        <v>10</v>
      </c>
      <c r="E110" s="12">
        <f t="shared" si="1"/>
        <v>10</v>
      </c>
      <c r="F110">
        <v>10</v>
      </c>
      <c r="G110">
        <v>1</v>
      </c>
      <c r="H110">
        <v>0</v>
      </c>
    </row>
    <row r="111" spans="1:5" ht="12">
      <c r="A111" t="s">
        <v>146</v>
      </c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133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C122">
        <v>8</v>
      </c>
      <c r="D122">
        <v>4</v>
      </c>
      <c r="E122" s="12">
        <f t="shared" si="2"/>
        <v>50</v>
      </c>
      <c r="F122">
        <v>81</v>
      </c>
      <c r="G122">
        <v>0</v>
      </c>
      <c r="H122">
        <v>28</v>
      </c>
      <c r="I122">
        <v>1</v>
      </c>
      <c r="J122" s="8">
        <f t="shared" si="3"/>
        <v>0</v>
      </c>
      <c r="K122" s="12">
        <f t="shared" si="4"/>
        <v>12.5</v>
      </c>
      <c r="L122" s="12">
        <f t="shared" si="5"/>
        <v>10.125</v>
      </c>
      <c r="M122" s="12">
        <f t="shared" si="6"/>
        <v>46.354166666666664</v>
      </c>
      <c r="N122">
        <v>0</v>
      </c>
      <c r="O122">
        <v>1</v>
      </c>
      <c r="R122">
        <f t="shared" si="7"/>
        <v>1</v>
      </c>
      <c r="S122" s="2">
        <f t="shared" si="8"/>
        <v>1</v>
      </c>
      <c r="T122" s="6">
        <f t="shared" si="9"/>
        <v>1.78125</v>
      </c>
      <c r="U122" s="2">
        <f t="shared" si="10"/>
        <v>1.78125</v>
      </c>
      <c r="V122">
        <f t="shared" si="11"/>
        <v>0</v>
      </c>
      <c r="W122" s="2">
        <f t="shared" si="12"/>
        <v>0</v>
      </c>
      <c r="X122">
        <f t="shared" si="13"/>
        <v>-0.75</v>
      </c>
      <c r="Y122" s="2">
        <f t="shared" si="14"/>
        <v>0</v>
      </c>
    </row>
    <row r="123" spans="1:25" ht="12">
      <c r="A123" t="s">
        <v>147</v>
      </c>
      <c r="E123" s="12" t="e">
        <f t="shared" si="2"/>
        <v>#DIV/0!</v>
      </c>
      <c r="J123" s="8" t="e">
        <f t="shared" si="3"/>
        <v>#DIV/0!</v>
      </c>
      <c r="K123" s="12" t="e">
        <f t="shared" si="4"/>
        <v>#DIV/0!</v>
      </c>
      <c r="L123" s="12" t="e">
        <f t="shared" si="5"/>
        <v>#DIV/0!</v>
      </c>
      <c r="M123" s="12" t="e">
        <f t="shared" si="6"/>
        <v>#DIV/0!</v>
      </c>
      <c r="R123" t="e">
        <f t="shared" si="7"/>
        <v>#DIV/0!</v>
      </c>
      <c r="S123" s="2" t="e">
        <f t="shared" si="8"/>
        <v>#DIV/0!</v>
      </c>
      <c r="T123" s="6" t="e">
        <f t="shared" si="9"/>
        <v>#DIV/0!</v>
      </c>
      <c r="U123" s="2" t="e">
        <f t="shared" si="10"/>
        <v>#DIV/0!</v>
      </c>
      <c r="V123" t="e">
        <f t="shared" si="11"/>
        <v>#DIV/0!</v>
      </c>
      <c r="W123" s="2" t="e">
        <f t="shared" si="12"/>
        <v>#DIV/0!</v>
      </c>
      <c r="X123" t="e">
        <f t="shared" si="13"/>
        <v>#DIV/0!</v>
      </c>
      <c r="Y123" s="2" t="e">
        <f t="shared" si="14"/>
        <v>#DIV/0!</v>
      </c>
    </row>
    <row r="124" spans="1:25" ht="12">
      <c r="A124" t="s">
        <v>142</v>
      </c>
      <c r="C124">
        <v>4</v>
      </c>
      <c r="D124">
        <v>4</v>
      </c>
      <c r="E124" s="12">
        <f t="shared" si="2"/>
        <v>100</v>
      </c>
      <c r="F124">
        <v>56</v>
      </c>
      <c r="G124">
        <v>1</v>
      </c>
      <c r="H124">
        <v>25</v>
      </c>
      <c r="I124">
        <v>0</v>
      </c>
      <c r="J124" s="8">
        <f t="shared" si="3"/>
        <v>25</v>
      </c>
      <c r="K124" s="12">
        <f t="shared" si="4"/>
        <v>0</v>
      </c>
      <c r="L124" s="12">
        <f t="shared" si="5"/>
        <v>14</v>
      </c>
      <c r="M124" s="12">
        <f t="shared" si="6"/>
        <v>158.33333333333334</v>
      </c>
      <c r="N124">
        <v>0</v>
      </c>
      <c r="O124">
        <v>0</v>
      </c>
      <c r="R124">
        <f t="shared" si="7"/>
        <v>3.5</v>
      </c>
      <c r="S124" s="2">
        <f t="shared" si="8"/>
        <v>2.375</v>
      </c>
      <c r="T124" s="6">
        <f t="shared" si="9"/>
        <v>2.75</v>
      </c>
      <c r="U124" s="2">
        <f t="shared" si="10"/>
        <v>2.375</v>
      </c>
      <c r="V124">
        <f t="shared" si="11"/>
        <v>5</v>
      </c>
      <c r="W124" s="2">
        <f t="shared" si="12"/>
        <v>2.375</v>
      </c>
      <c r="X124">
        <f t="shared" si="13"/>
        <v>2.375</v>
      </c>
      <c r="Y124" s="2">
        <f t="shared" si="14"/>
        <v>2.375</v>
      </c>
    </row>
    <row r="125" spans="1:25" ht="12">
      <c r="A125" t="s">
        <v>143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5:25" ht="12"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8" spans="1:9" ht="12">
      <c r="A128" s="2" t="s">
        <v>71</v>
      </c>
      <c r="C128" s="3" t="s">
        <v>72</v>
      </c>
      <c r="D128" s="3" t="s">
        <v>73</v>
      </c>
      <c r="E128" s="3" t="s">
        <v>74</v>
      </c>
      <c r="F128" s="3" t="s">
        <v>53</v>
      </c>
      <c r="G128" s="3" t="s">
        <v>64</v>
      </c>
      <c r="H128" s="3" t="s">
        <v>55</v>
      </c>
      <c r="I128" s="3" t="s">
        <v>84</v>
      </c>
    </row>
    <row r="129" spans="1:6" ht="12">
      <c r="A129" t="s">
        <v>148</v>
      </c>
      <c r="F129" s="12" t="e">
        <f aca="true" t="shared" si="15" ref="F129:F134">+E129/C129</f>
        <v>#DIV/0!</v>
      </c>
    </row>
    <row r="130" spans="1:7" ht="12">
      <c r="A130" t="s">
        <v>136</v>
      </c>
      <c r="C130">
        <v>2</v>
      </c>
      <c r="E130">
        <v>4</v>
      </c>
      <c r="F130" s="12">
        <f t="shared" si="15"/>
        <v>2</v>
      </c>
      <c r="G130">
        <v>2</v>
      </c>
    </row>
    <row r="131" spans="1:7" ht="12">
      <c r="A131" t="s">
        <v>140</v>
      </c>
      <c r="C131">
        <v>1</v>
      </c>
      <c r="E131">
        <v>15</v>
      </c>
      <c r="F131" s="12">
        <f t="shared" si="15"/>
        <v>15</v>
      </c>
      <c r="G131">
        <v>15</v>
      </c>
    </row>
    <row r="132" spans="1:6" ht="12">
      <c r="A132" t="s">
        <v>143</v>
      </c>
      <c r="D132">
        <v>1</v>
      </c>
      <c r="F132" s="12" t="e">
        <f t="shared" si="15"/>
        <v>#DIV/0!</v>
      </c>
    </row>
    <row r="133" ht="12">
      <c r="F133" s="12" t="e">
        <f t="shared" si="15"/>
        <v>#DIV/0!</v>
      </c>
    </row>
    <row r="134" ht="12">
      <c r="F134" s="12" t="e">
        <f t="shared" si="15"/>
        <v>#DIV/0!</v>
      </c>
    </row>
    <row r="138" spans="1:8" ht="12">
      <c r="A138" s="2" t="s">
        <v>30</v>
      </c>
      <c r="C138" s="3" t="s">
        <v>72</v>
      </c>
      <c r="D138" s="3" t="s">
        <v>74</v>
      </c>
      <c r="E138" s="3" t="s">
        <v>53</v>
      </c>
      <c r="F138" s="3" t="s">
        <v>64</v>
      </c>
      <c r="G138" s="3" t="s">
        <v>55</v>
      </c>
      <c r="H138" s="3" t="s">
        <v>84</v>
      </c>
    </row>
    <row r="139" spans="1:5" ht="12">
      <c r="A139" t="s">
        <v>149</v>
      </c>
      <c r="E139" s="12" t="e">
        <f aca="true" t="shared" si="16" ref="E139:E144">+D139/C139</f>
        <v>#DIV/0!</v>
      </c>
    </row>
    <row r="140" spans="1:5" ht="12">
      <c r="A140" t="s">
        <v>148</v>
      </c>
      <c r="E140" s="12" t="e">
        <f t="shared" si="16"/>
        <v>#DIV/0!</v>
      </c>
    </row>
    <row r="141" spans="1:6" ht="12">
      <c r="A141" t="s">
        <v>136</v>
      </c>
      <c r="C141">
        <v>2</v>
      </c>
      <c r="D141">
        <v>52</v>
      </c>
      <c r="E141" s="12">
        <f t="shared" si="16"/>
        <v>26</v>
      </c>
      <c r="F141">
        <v>27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151</v>
      </c>
      <c r="E143" s="12" t="e">
        <f t="shared" si="16"/>
        <v>#DIV/0!</v>
      </c>
    </row>
    <row r="144" spans="1:5" ht="12">
      <c r="A144" t="s">
        <v>152</v>
      </c>
      <c r="E144" s="12" t="e">
        <f t="shared" si="16"/>
        <v>#DIV/0!</v>
      </c>
    </row>
    <row r="145" spans="1:5" ht="12">
      <c r="A145" t="s">
        <v>138</v>
      </c>
      <c r="E145" s="12" t="e">
        <f aca="true" t="shared" si="17" ref="E145:E151">+D145/C145</f>
        <v>#DIV/0!</v>
      </c>
    </row>
    <row r="146" spans="1:7" ht="12">
      <c r="A146" t="s">
        <v>143</v>
      </c>
      <c r="C146">
        <v>2</v>
      </c>
      <c r="D146">
        <f>43+92</f>
        <v>135</v>
      </c>
      <c r="E146" s="12">
        <f t="shared" si="17"/>
        <v>67.5</v>
      </c>
      <c r="F146">
        <v>92</v>
      </c>
      <c r="G146">
        <v>1</v>
      </c>
    </row>
    <row r="147" spans="1:5" ht="12">
      <c r="A147" t="s">
        <v>146</v>
      </c>
      <c r="E147" s="12" t="e">
        <f t="shared" si="17"/>
        <v>#DIV/0!</v>
      </c>
    </row>
    <row r="148" spans="1:5" ht="12">
      <c r="A148" t="s">
        <v>153</v>
      </c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3" spans="1:8" ht="12">
      <c r="A153" s="2" t="s">
        <v>75</v>
      </c>
      <c r="C153" s="3" t="s">
        <v>72</v>
      </c>
      <c r="D153" s="3" t="s">
        <v>74</v>
      </c>
      <c r="E153" s="3" t="s">
        <v>53</v>
      </c>
      <c r="F153" s="3" t="s">
        <v>64</v>
      </c>
      <c r="G153" s="3" t="s">
        <v>76</v>
      </c>
      <c r="H153" s="3" t="s">
        <v>84</v>
      </c>
    </row>
    <row r="154" spans="1:6" ht="12">
      <c r="A154" t="s">
        <v>154</v>
      </c>
      <c r="C154">
        <v>5</v>
      </c>
      <c r="D154">
        <f>37+30+40+40+26</f>
        <v>173</v>
      </c>
      <c r="E154" s="12"/>
      <c r="F154">
        <v>40</v>
      </c>
    </row>
    <row r="160" spans="9:21" ht="12">
      <c r="I160" s="5" t="s">
        <v>67</v>
      </c>
      <c r="L160" s="32" t="s">
        <v>99</v>
      </c>
      <c r="M160" s="32"/>
      <c r="N160" s="32" t="s">
        <v>100</v>
      </c>
      <c r="O160" s="32"/>
      <c r="P160" s="32" t="s">
        <v>101</v>
      </c>
      <c r="Q160" s="32"/>
      <c r="R160" s="32" t="s">
        <v>102</v>
      </c>
      <c r="S160" s="32"/>
      <c r="T160" s="32" t="s">
        <v>103</v>
      </c>
      <c r="U160" s="32"/>
    </row>
    <row r="161" spans="1:21" ht="12">
      <c r="A161" s="4" t="s">
        <v>83</v>
      </c>
      <c r="C161" s="3" t="s">
        <v>77</v>
      </c>
      <c r="D161" s="3" t="s">
        <v>78</v>
      </c>
      <c r="E161" s="3" t="s">
        <v>79</v>
      </c>
      <c r="F161" s="3" t="s">
        <v>80</v>
      </c>
      <c r="G161" s="3" t="s">
        <v>81</v>
      </c>
      <c r="H161" s="3" t="s">
        <v>82</v>
      </c>
      <c r="I161" s="3" t="s">
        <v>86</v>
      </c>
      <c r="J161" s="3" t="s">
        <v>64</v>
      </c>
      <c r="L161" s="3" t="s">
        <v>81</v>
      </c>
      <c r="M161" s="3" t="s">
        <v>82</v>
      </c>
      <c r="N161" s="3" t="s">
        <v>81</v>
      </c>
      <c r="O161" s="3" t="s">
        <v>82</v>
      </c>
      <c r="P161" s="3" t="s">
        <v>81</v>
      </c>
      <c r="Q161" s="3" t="s">
        <v>82</v>
      </c>
      <c r="R161" s="3" t="s">
        <v>81</v>
      </c>
      <c r="S161" s="3" t="s">
        <v>82</v>
      </c>
      <c r="T161" s="3" t="s">
        <v>81</v>
      </c>
      <c r="U161" s="3" t="s">
        <v>82</v>
      </c>
    </row>
    <row r="162" spans="1:18" ht="12">
      <c r="A162" t="s">
        <v>155</v>
      </c>
      <c r="C162">
        <v>5</v>
      </c>
      <c r="E162">
        <v>4</v>
      </c>
      <c r="F162">
        <v>4</v>
      </c>
      <c r="G162">
        <v>1</v>
      </c>
      <c r="I162" s="12">
        <f aca="true" t="shared" si="18" ref="I162:I169">+H162/G162*100</f>
        <v>0</v>
      </c>
      <c r="R162">
        <v>1</v>
      </c>
    </row>
    <row r="163" spans="1:9" ht="12">
      <c r="A163" t="s">
        <v>154</v>
      </c>
      <c r="I163" s="12" t="e">
        <f t="shared" si="18"/>
        <v>#DIV/0!</v>
      </c>
    </row>
    <row r="164" ht="12">
      <c r="I164" s="12" t="e">
        <f t="shared" si="18"/>
        <v>#DIV/0!</v>
      </c>
    </row>
    <row r="165" ht="12">
      <c r="I165" s="12" t="e">
        <f t="shared" si="18"/>
        <v>#DIV/0!</v>
      </c>
    </row>
    <row r="166" ht="12">
      <c r="I166" s="12" t="e">
        <f t="shared" si="18"/>
        <v>#DIV/0!</v>
      </c>
    </row>
    <row r="167" ht="12"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2" spans="1:8" ht="12">
      <c r="A172" s="2" t="s">
        <v>85</v>
      </c>
      <c r="C172" s="3" t="s">
        <v>72</v>
      </c>
      <c r="D172" s="3" t="s">
        <v>74</v>
      </c>
      <c r="E172" s="3" t="s">
        <v>53</v>
      </c>
      <c r="F172" s="3" t="s">
        <v>64</v>
      </c>
      <c r="G172" s="3" t="s">
        <v>55</v>
      </c>
      <c r="H172" s="3" t="s">
        <v>84</v>
      </c>
    </row>
    <row r="173" spans="1:5" ht="12">
      <c r="A173" t="s">
        <v>156</v>
      </c>
      <c r="E173" s="12" t="e">
        <f>+D173/C173</f>
        <v>#DIV/0!</v>
      </c>
    </row>
    <row r="174" spans="1:5" ht="12">
      <c r="A174" t="s">
        <v>149</v>
      </c>
      <c r="E174" s="12" t="e">
        <f aca="true" t="shared" si="19" ref="E174:E180">+D174/C174</f>
        <v>#DIV/0!</v>
      </c>
    </row>
    <row r="175" spans="1:5" ht="12">
      <c r="A175" t="s">
        <v>157</v>
      </c>
      <c r="E175" s="12" t="e">
        <f t="shared" si="19"/>
        <v>#DIV/0!</v>
      </c>
    </row>
    <row r="176" spans="1:5" ht="12">
      <c r="A176" t="s">
        <v>158</v>
      </c>
      <c r="E176" s="12" t="e">
        <f t="shared" si="19"/>
        <v>#DIV/0!</v>
      </c>
    </row>
    <row r="177" spans="1:5" ht="12">
      <c r="A177" t="s">
        <v>159</v>
      </c>
      <c r="E177" s="12" t="e">
        <f t="shared" si="19"/>
        <v>#DIV/0!</v>
      </c>
    </row>
    <row r="178" spans="1:6" ht="12">
      <c r="A178" t="s">
        <v>160</v>
      </c>
      <c r="C178">
        <v>1</v>
      </c>
      <c r="D178">
        <v>0</v>
      </c>
      <c r="E178" s="12">
        <f t="shared" si="19"/>
        <v>0</v>
      </c>
      <c r="F178">
        <v>0</v>
      </c>
    </row>
    <row r="179" spans="1:6" ht="12">
      <c r="A179" t="s">
        <v>161</v>
      </c>
      <c r="C179">
        <v>1</v>
      </c>
      <c r="D179">
        <v>18</v>
      </c>
      <c r="E179" s="12">
        <f t="shared" si="19"/>
        <v>18</v>
      </c>
      <c r="F179">
        <v>18</v>
      </c>
    </row>
    <row r="180" spans="1:5" ht="12">
      <c r="A180" t="s">
        <v>147</v>
      </c>
      <c r="E180" s="12" t="e">
        <f t="shared" si="19"/>
        <v>#DIV/0!</v>
      </c>
    </row>
    <row r="181" spans="1:5" ht="12">
      <c r="A181" t="s">
        <v>153</v>
      </c>
      <c r="E181" s="12" t="e">
        <f>+D181/C181</f>
        <v>#DIV/0!</v>
      </c>
    </row>
    <row r="182" spans="1:6" ht="12">
      <c r="A182" t="s">
        <v>162</v>
      </c>
      <c r="C182">
        <v>1</v>
      </c>
      <c r="D182">
        <v>0</v>
      </c>
      <c r="E182" s="12">
        <f>+D182/C182</f>
        <v>0</v>
      </c>
      <c r="F182">
        <v>0</v>
      </c>
    </row>
    <row r="183" spans="1:5" ht="12">
      <c r="A183" s="1"/>
      <c r="E183" s="12" t="e">
        <f>+D183/C183</f>
        <v>#DIV/0!</v>
      </c>
    </row>
    <row r="184" spans="1:5" ht="12">
      <c r="A184" s="1"/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/>
    </row>
    <row r="187" spans="1:4" ht="12">
      <c r="A187" s="2" t="s">
        <v>98</v>
      </c>
      <c r="C187" s="3" t="s">
        <v>72</v>
      </c>
      <c r="D187" s="3" t="s">
        <v>74</v>
      </c>
    </row>
    <row r="188" spans="1:4" ht="12">
      <c r="A188" s="20" t="s">
        <v>156</v>
      </c>
      <c r="C188" s="3"/>
      <c r="D188" s="3"/>
    </row>
    <row r="189" spans="1:4" ht="12">
      <c r="A189" s="20" t="s">
        <v>157</v>
      </c>
      <c r="C189" s="3">
        <v>0.5</v>
      </c>
      <c r="D189" s="3">
        <v>3.5</v>
      </c>
    </row>
    <row r="190" spans="1:4" ht="12">
      <c r="A190" s="20" t="s">
        <v>158</v>
      </c>
      <c r="C190" s="3">
        <v>2</v>
      </c>
      <c r="D190" s="3">
        <f>9+6+3.5</f>
        <v>18.5</v>
      </c>
    </row>
    <row r="191" spans="1:4" ht="12">
      <c r="A191" s="20" t="s">
        <v>159</v>
      </c>
      <c r="C191" s="3"/>
      <c r="D191" s="3"/>
    </row>
    <row r="192" spans="1:4" ht="12">
      <c r="A192" s="20" t="s">
        <v>163</v>
      </c>
      <c r="C192" s="3"/>
      <c r="D192" s="3"/>
    </row>
    <row r="193" spans="1:4" ht="12">
      <c r="A193" s="20" t="s">
        <v>164</v>
      </c>
      <c r="C193" s="3">
        <v>1</v>
      </c>
      <c r="D193" s="3">
        <v>10</v>
      </c>
    </row>
    <row r="194" spans="1:4" ht="12">
      <c r="A194" s="20" t="s">
        <v>161</v>
      </c>
      <c r="C194" s="3"/>
      <c r="D194" s="3"/>
    </row>
    <row r="195" spans="1:4" ht="12">
      <c r="A195" s="20" t="s">
        <v>165</v>
      </c>
      <c r="C195" s="3">
        <v>1.5</v>
      </c>
      <c r="D195" s="3">
        <f>6+15</f>
        <v>21</v>
      </c>
    </row>
    <row r="196" spans="1:4" ht="12">
      <c r="A196" s="20" t="s">
        <v>147</v>
      </c>
      <c r="C196" s="3"/>
      <c r="D196" s="3"/>
    </row>
    <row r="197" spans="1:4" ht="12">
      <c r="A197" s="20" t="s">
        <v>166</v>
      </c>
      <c r="C197" s="3"/>
      <c r="D197" s="3"/>
    </row>
    <row r="198" spans="1:4" ht="12">
      <c r="A198" s="20"/>
      <c r="C198" s="3"/>
      <c r="D198" s="3"/>
    </row>
    <row r="199" spans="1:4" ht="12">
      <c r="A199" s="20"/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"/>
      <c r="C202" s="3"/>
      <c r="D202" s="3"/>
    </row>
    <row r="203" spans="1:4" ht="12">
      <c r="A203" s="2"/>
      <c r="C203" s="3"/>
      <c r="D203" s="3"/>
    </row>
    <row r="204" spans="1:4" ht="12">
      <c r="A204" s="2"/>
      <c r="C204" s="3"/>
      <c r="D204" s="3"/>
    </row>
    <row r="205" spans="1:7" ht="12">
      <c r="A205" s="2" t="s">
        <v>94</v>
      </c>
      <c r="C205" s="3" t="s">
        <v>72</v>
      </c>
      <c r="D205" s="3" t="s">
        <v>74</v>
      </c>
      <c r="E205" s="3" t="s">
        <v>64</v>
      </c>
      <c r="F205" s="3" t="s">
        <v>55</v>
      </c>
      <c r="G205" s="5" t="s">
        <v>84</v>
      </c>
    </row>
    <row r="206" ht="12">
      <c r="A206" t="s">
        <v>167</v>
      </c>
    </row>
    <row r="207" ht="12">
      <c r="A207" t="s">
        <v>156</v>
      </c>
    </row>
    <row r="208" ht="12">
      <c r="A208" t="s">
        <v>149</v>
      </c>
    </row>
    <row r="209" ht="12">
      <c r="A209" t="s">
        <v>157</v>
      </c>
    </row>
    <row r="210" ht="12">
      <c r="A210" t="s">
        <v>133</v>
      </c>
    </row>
    <row r="211" ht="12">
      <c r="A211" t="s">
        <v>134</v>
      </c>
    </row>
    <row r="212" ht="12">
      <c r="A212" t="s">
        <v>158</v>
      </c>
    </row>
    <row r="213" ht="12">
      <c r="A213" t="s">
        <v>168</v>
      </c>
    </row>
    <row r="214" ht="12">
      <c r="A214" t="s">
        <v>135</v>
      </c>
    </row>
    <row r="215" ht="12">
      <c r="A215" t="s">
        <v>159</v>
      </c>
    </row>
    <row r="216" ht="12">
      <c r="A216" t="s">
        <v>169</v>
      </c>
    </row>
    <row r="217" ht="12">
      <c r="A217" t="s">
        <v>144</v>
      </c>
    </row>
    <row r="218" ht="12">
      <c r="A218" t="s">
        <v>148</v>
      </c>
    </row>
    <row r="219" ht="12">
      <c r="A219" t="s">
        <v>163</v>
      </c>
    </row>
    <row r="220" ht="12">
      <c r="A220" t="s">
        <v>160</v>
      </c>
    </row>
    <row r="221" ht="12">
      <c r="A221" t="s">
        <v>136</v>
      </c>
    </row>
    <row r="222" ht="12">
      <c r="A222" t="s">
        <v>170</v>
      </c>
    </row>
    <row r="223" ht="12">
      <c r="A223" t="s">
        <v>154</v>
      </c>
    </row>
    <row r="224" ht="12">
      <c r="A224" t="s">
        <v>150</v>
      </c>
    </row>
    <row r="225" ht="12">
      <c r="A225" t="s">
        <v>171</v>
      </c>
    </row>
    <row r="226" spans="1:3" ht="12">
      <c r="A226" t="s">
        <v>164</v>
      </c>
      <c r="C226">
        <v>1</v>
      </c>
    </row>
    <row r="227" ht="12">
      <c r="A227" t="s">
        <v>145</v>
      </c>
    </row>
    <row r="228" ht="12">
      <c r="A228" t="s">
        <v>137</v>
      </c>
    </row>
    <row r="229" ht="12">
      <c r="A229" t="s">
        <v>151</v>
      </c>
    </row>
    <row r="230" ht="12">
      <c r="A230" t="s">
        <v>152</v>
      </c>
    </row>
    <row r="231" ht="12">
      <c r="A231" t="s">
        <v>138</v>
      </c>
    </row>
    <row r="232" ht="12">
      <c r="A232" t="s">
        <v>139</v>
      </c>
    </row>
    <row r="233" ht="12">
      <c r="A233" t="s">
        <v>161</v>
      </c>
    </row>
    <row r="234" ht="12">
      <c r="A234" t="s">
        <v>172</v>
      </c>
    </row>
    <row r="235" ht="12">
      <c r="A235" t="s">
        <v>140</v>
      </c>
    </row>
    <row r="236" ht="12">
      <c r="A236" t="s">
        <v>165</v>
      </c>
    </row>
    <row r="237" ht="12">
      <c r="A237" t="s">
        <v>155</v>
      </c>
    </row>
    <row r="238" ht="12">
      <c r="A238" t="s">
        <v>147</v>
      </c>
    </row>
    <row r="239" ht="12">
      <c r="A239" t="s">
        <v>173</v>
      </c>
    </row>
    <row r="240" ht="12">
      <c r="A240" t="s">
        <v>141</v>
      </c>
    </row>
    <row r="241" ht="12">
      <c r="A241" t="s">
        <v>174</v>
      </c>
    </row>
    <row r="242" ht="12">
      <c r="A242" t="s">
        <v>166</v>
      </c>
    </row>
    <row r="243" ht="12">
      <c r="A243" t="s">
        <v>175</v>
      </c>
    </row>
    <row r="244" ht="12">
      <c r="A244" t="s">
        <v>176</v>
      </c>
    </row>
    <row r="245" ht="12">
      <c r="A245" t="s">
        <v>142</v>
      </c>
    </row>
    <row r="246" ht="12">
      <c r="A246" t="s">
        <v>177</v>
      </c>
    </row>
    <row r="247" ht="12">
      <c r="A247" t="s">
        <v>143</v>
      </c>
    </row>
    <row r="248" ht="12">
      <c r="A248" t="s">
        <v>178</v>
      </c>
    </row>
    <row r="249" ht="12">
      <c r="A249" t="s">
        <v>179</v>
      </c>
    </row>
    <row r="250" ht="12">
      <c r="A250" t="s">
        <v>146</v>
      </c>
    </row>
    <row r="251" ht="12">
      <c r="A251" t="s">
        <v>153</v>
      </c>
    </row>
    <row r="252" ht="12">
      <c r="A252" t="s">
        <v>162</v>
      </c>
    </row>
    <row r="253" ht="12">
      <c r="A253" t="s">
        <v>180</v>
      </c>
    </row>
  </sheetData>
  <sheetProtection/>
  <mergeCells count="5">
    <mergeCell ref="L160:M160"/>
    <mergeCell ref="N160:O160"/>
    <mergeCell ref="P160:Q160"/>
    <mergeCell ref="R160:S160"/>
    <mergeCell ref="T160:U160"/>
  </mergeCells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253"/>
  <sheetViews>
    <sheetView zoomScale="125" zoomScaleNormal="125" workbookViewId="0" topLeftCell="A1">
      <selection activeCell="N202" sqref="N202"/>
    </sheetView>
  </sheetViews>
  <sheetFormatPr defaultColWidth="11.42187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Chicago Bears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0</v>
      </c>
      <c r="H6" s="1" t="s">
        <v>29</v>
      </c>
      <c r="M6" s="2">
        <v>0</v>
      </c>
    </row>
    <row r="7" spans="1:13" ht="12">
      <c r="A7" s="16" t="s">
        <v>95</v>
      </c>
      <c r="D7" s="2">
        <v>0</v>
      </c>
      <c r="H7" s="16" t="s">
        <v>95</v>
      </c>
      <c r="M7" s="2">
        <v>0</v>
      </c>
    </row>
    <row r="8" spans="1:13" ht="12">
      <c r="A8" s="16" t="s">
        <v>96</v>
      </c>
      <c r="D8" s="2">
        <v>0</v>
      </c>
      <c r="H8" s="16" t="s">
        <v>96</v>
      </c>
      <c r="M8" s="2">
        <v>0</v>
      </c>
    </row>
    <row r="9" spans="1:13" ht="12">
      <c r="A9" s="16" t="s">
        <v>97</v>
      </c>
      <c r="D9" s="2">
        <v>0</v>
      </c>
      <c r="H9" s="16" t="s">
        <v>97</v>
      </c>
      <c r="M9" s="2">
        <v>0</v>
      </c>
    </row>
    <row r="10" spans="1:14" ht="12">
      <c r="A10" s="18" t="s">
        <v>108</v>
      </c>
      <c r="C10">
        <v>0</v>
      </c>
      <c r="D10" s="2">
        <v>0</v>
      </c>
      <c r="E10" s="19" t="e">
        <f>+C10/D10</f>
        <v>#DIV/0!</v>
      </c>
      <c r="H10" s="18" t="s">
        <v>108</v>
      </c>
      <c r="L10">
        <v>0</v>
      </c>
      <c r="M10" s="2">
        <v>0</v>
      </c>
      <c r="N10" s="19" t="e">
        <f>+L10/M10</f>
        <v>#DIV/0!</v>
      </c>
    </row>
    <row r="11" spans="1:14" ht="12">
      <c r="A11" s="18" t="s">
        <v>119</v>
      </c>
      <c r="C11">
        <v>0</v>
      </c>
      <c r="D11" s="2">
        <v>0</v>
      </c>
      <c r="E11" s="19"/>
      <c r="H11" s="18" t="s">
        <v>119</v>
      </c>
      <c r="L11">
        <v>0</v>
      </c>
      <c r="M11" s="2">
        <v>0</v>
      </c>
      <c r="N11" s="19"/>
    </row>
    <row r="13" spans="1:23" ht="12">
      <c r="A13" t="s">
        <v>1</v>
      </c>
      <c r="D13" s="2">
        <v>0</v>
      </c>
      <c r="H13" t="s">
        <v>1</v>
      </c>
      <c r="M13" s="2">
        <v>0</v>
      </c>
      <c r="V13">
        <f>+D13</f>
        <v>0</v>
      </c>
      <c r="W13">
        <f>+M13</f>
        <v>0</v>
      </c>
    </row>
    <row r="14" spans="1:23" ht="12">
      <c r="A14" t="s">
        <v>2</v>
      </c>
      <c r="D14" s="2">
        <v>0</v>
      </c>
      <c r="H14" t="s">
        <v>2</v>
      </c>
      <c r="M14" s="2">
        <v>0</v>
      </c>
      <c r="P14" s="13"/>
      <c r="U14" s="13"/>
      <c r="V14">
        <f>+D18</f>
        <v>0</v>
      </c>
      <c r="W14">
        <f>+M18</f>
        <v>0</v>
      </c>
    </row>
    <row r="15" spans="1:23" ht="12">
      <c r="A15" s="1" t="s">
        <v>3</v>
      </c>
      <c r="D15" s="8" t="e">
        <f>+D14/D13</f>
        <v>#DIV/0!</v>
      </c>
      <c r="H15" s="1" t="s">
        <v>3</v>
      </c>
      <c r="M15" s="8" t="e">
        <f>+M14/M13</f>
        <v>#DIV/0!</v>
      </c>
      <c r="V15">
        <f>+(D17-D18)/2</f>
        <v>0</v>
      </c>
      <c r="W15">
        <f>+(M17-M18)/2</f>
        <v>0</v>
      </c>
    </row>
    <row r="16" spans="22:23" ht="12">
      <c r="V16">
        <f>+D40/2</f>
        <v>0</v>
      </c>
      <c r="W16">
        <f>+M40/2</f>
        <v>0</v>
      </c>
    </row>
    <row r="17" spans="1:23" ht="12">
      <c r="A17" t="s">
        <v>4</v>
      </c>
      <c r="D17" s="2">
        <v>0</v>
      </c>
      <c r="H17" t="s">
        <v>4</v>
      </c>
      <c r="M17" s="2">
        <v>0</v>
      </c>
      <c r="V17">
        <f>+D44/2</f>
        <v>0</v>
      </c>
      <c r="W17">
        <f>+M44/2</f>
        <v>0</v>
      </c>
    </row>
    <row r="18" spans="1:23" ht="12">
      <c r="A18" t="s">
        <v>5</v>
      </c>
      <c r="D18" s="2">
        <v>0</v>
      </c>
      <c r="H18" t="s">
        <v>5</v>
      </c>
      <c r="M18" s="2">
        <v>0</v>
      </c>
      <c r="V18">
        <f>+D50/2</f>
        <v>0</v>
      </c>
      <c r="W18">
        <f>+M50/2</f>
        <v>0</v>
      </c>
    </row>
    <row r="19" spans="1:13" ht="12">
      <c r="A19" t="s">
        <v>6</v>
      </c>
      <c r="D19" s="8" t="e">
        <f>+D18/D17*100</f>
        <v>#DIV/0!</v>
      </c>
      <c r="H19" t="s">
        <v>6</v>
      </c>
      <c r="M19" s="8" t="e">
        <f>+M18/M17*100</f>
        <v>#DIV/0!</v>
      </c>
    </row>
    <row r="20" spans="1:24" ht="12">
      <c r="A20" t="s">
        <v>7</v>
      </c>
      <c r="D20" s="2">
        <v>0</v>
      </c>
      <c r="H20" t="s">
        <v>7</v>
      </c>
      <c r="M20" s="2">
        <v>0</v>
      </c>
      <c r="V20">
        <f>SUM(V13:V18)</f>
        <v>0</v>
      </c>
      <c r="W20">
        <f>SUM(W13:W18)</f>
        <v>0</v>
      </c>
      <c r="X20">
        <f>+W20+V20</f>
        <v>0</v>
      </c>
    </row>
    <row r="21" spans="1:23" ht="12">
      <c r="A21" t="s">
        <v>8</v>
      </c>
      <c r="D21" s="2">
        <v>0</v>
      </c>
      <c r="H21" t="s">
        <v>8</v>
      </c>
      <c r="M21" s="2">
        <v>0</v>
      </c>
      <c r="V21" t="e">
        <f>+V20/X20</f>
        <v>#DIV/0!</v>
      </c>
      <c r="W21" t="e">
        <f>+W20/X20</f>
        <v>#DIV/0!</v>
      </c>
    </row>
    <row r="22" spans="1:23" ht="12">
      <c r="A22" t="s">
        <v>9</v>
      </c>
      <c r="D22" s="2">
        <v>0</v>
      </c>
      <c r="H22" t="s">
        <v>9</v>
      </c>
      <c r="M22" s="2">
        <v>0</v>
      </c>
      <c r="V22" t="e">
        <f>+V21*60</f>
        <v>#DIV/0!</v>
      </c>
      <c r="W22" t="e">
        <f>+W21*60</f>
        <v>#DIV/0!</v>
      </c>
    </row>
    <row r="23" spans="1:23" ht="12">
      <c r="A23" t="s">
        <v>10</v>
      </c>
      <c r="D23">
        <f>+D20-D22</f>
        <v>0</v>
      </c>
      <c r="H23" t="s">
        <v>10</v>
      </c>
      <c r="M23">
        <f>+M20-M22</f>
        <v>0</v>
      </c>
      <c r="V23" t="e">
        <f>+V22-INT(V22)</f>
        <v>#DIV/0!</v>
      </c>
      <c r="W23" t="e">
        <f>+W22-INT(W22)</f>
        <v>#DIV/0!</v>
      </c>
    </row>
    <row r="24" spans="1:23" ht="12">
      <c r="A24" t="s">
        <v>11</v>
      </c>
      <c r="D24" s="7" t="e">
        <f>+D23/(D17+D21)</f>
        <v>#DIV/0!</v>
      </c>
      <c r="H24" t="s">
        <v>11</v>
      </c>
      <c r="M24" s="7" t="e">
        <f>+M23/(M17+M21)</f>
        <v>#DIV/0!</v>
      </c>
      <c r="V24" t="e">
        <f>+V23*60</f>
        <v>#DIV/0!</v>
      </c>
      <c r="W24" t="e">
        <f>+W23*60</f>
        <v>#DIV/0!</v>
      </c>
    </row>
    <row r="25" spans="1:23" ht="12">
      <c r="A25" t="s">
        <v>12</v>
      </c>
      <c r="D25" s="7" t="e">
        <f>+D20/D18</f>
        <v>#DIV/0!</v>
      </c>
      <c r="H25" t="s">
        <v>12</v>
      </c>
      <c r="M25" s="7" t="e">
        <f>+M20/M18</f>
        <v>#DIV/0!</v>
      </c>
      <c r="Q25" s="11"/>
      <c r="U25">
        <v>0</v>
      </c>
      <c r="V25" s="11" t="e">
        <f>ROUND(V24,0)</f>
        <v>#DIV/0!</v>
      </c>
      <c r="W25" t="e">
        <f>ROUND(W24,0)</f>
        <v>#DIV/0!</v>
      </c>
    </row>
    <row r="26" spans="22:23" ht="12">
      <c r="V26" t="e">
        <f>INT(V22)</f>
        <v>#DIV/0!</v>
      </c>
      <c r="W26" t="e">
        <f>INT(W22)</f>
        <v>#DIV/0!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0</v>
      </c>
      <c r="H28" t="s">
        <v>14</v>
      </c>
      <c r="M28">
        <f>+M23+M14</f>
        <v>0</v>
      </c>
      <c r="Q28" s="14"/>
      <c r="R28" s="9"/>
      <c r="V28" s="14" t="e">
        <f>+V26&amp;V27&amp;V25</f>
        <v>#DIV/0!</v>
      </c>
      <c r="W28" s="9" t="e">
        <f>+W26&amp;W27&amp;W25</f>
        <v>#DIV/0!</v>
      </c>
    </row>
    <row r="29" spans="1:23" ht="12">
      <c r="A29" t="s">
        <v>15</v>
      </c>
      <c r="D29" s="7" t="e">
        <f>+D14/D28*100</f>
        <v>#DIV/0!</v>
      </c>
      <c r="H29" t="s">
        <v>15</v>
      </c>
      <c r="M29" s="7" t="e">
        <f>+M14/M28*100</f>
        <v>#DIV/0!</v>
      </c>
      <c r="Q29" s="9"/>
      <c r="R29" s="9"/>
      <c r="V29" s="9" t="e">
        <f>IF(V25&lt;10,+V26&amp;V27&amp;$U$25&amp;V25,+V26&amp;V27&amp;V25)</f>
        <v>#DIV/0!</v>
      </c>
      <c r="W29" s="9" t="e">
        <f>IF(W25&lt;10,+W26&amp;W27&amp;$U$25&amp;W25,+W26&amp;W27&amp;W25)</f>
        <v>#DIV/0!</v>
      </c>
    </row>
    <row r="30" spans="1:16" ht="12">
      <c r="A30" s="1" t="s">
        <v>90</v>
      </c>
      <c r="D30" s="7" t="e">
        <f>+D23/D28*100</f>
        <v>#DIV/0!</v>
      </c>
      <c r="H30" s="1" t="s">
        <v>90</v>
      </c>
      <c r="M30" s="7" t="e">
        <f>+M23/M28*100</f>
        <v>#DIV/0!</v>
      </c>
      <c r="P30" s="13"/>
    </row>
    <row r="32" spans="1:13" ht="12">
      <c r="A32" t="s">
        <v>16</v>
      </c>
      <c r="D32">
        <f>+D13+D17+D21</f>
        <v>0</v>
      </c>
      <c r="H32" t="s">
        <v>16</v>
      </c>
      <c r="M32">
        <f>+M13+M17+M21</f>
        <v>0</v>
      </c>
    </row>
    <row r="33" spans="1:13" ht="12">
      <c r="A33" t="s">
        <v>17</v>
      </c>
      <c r="D33" s="8" t="e">
        <f>+D28/D32</f>
        <v>#DIV/0!</v>
      </c>
      <c r="E33" s="7"/>
      <c r="F33" s="7"/>
      <c r="G33" s="7"/>
      <c r="H33" s="7" t="s">
        <v>17</v>
      </c>
      <c r="I33" s="7"/>
      <c r="J33" s="7"/>
      <c r="K33" s="7"/>
      <c r="L33" s="7"/>
      <c r="M33" s="8" t="e">
        <f>+M28/M32</f>
        <v>#DIV/0!</v>
      </c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0</v>
      </c>
      <c r="H36" t="s">
        <v>19</v>
      </c>
      <c r="M36" s="2">
        <v>0</v>
      </c>
    </row>
    <row r="37" spans="1:13" ht="12">
      <c r="A37" t="s">
        <v>20</v>
      </c>
      <c r="D37" s="2">
        <v>0</v>
      </c>
      <c r="H37" t="s">
        <v>20</v>
      </c>
      <c r="M37" s="2">
        <v>0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0</v>
      </c>
      <c r="H40" t="s">
        <v>22</v>
      </c>
      <c r="M40" s="2">
        <v>0</v>
      </c>
    </row>
    <row r="41" spans="1:13" ht="12">
      <c r="A41" t="s">
        <v>23</v>
      </c>
      <c r="D41" s="2">
        <v>0</v>
      </c>
      <c r="H41" t="s">
        <v>23</v>
      </c>
      <c r="M41" s="2">
        <v>0</v>
      </c>
    </row>
    <row r="42" spans="1:13" ht="12">
      <c r="A42" t="s">
        <v>24</v>
      </c>
      <c r="D42" s="8" t="e">
        <f>+D41/D40</f>
        <v>#DIV/0!</v>
      </c>
      <c r="E42" s="7"/>
      <c r="F42" s="7"/>
      <c r="G42" s="7"/>
      <c r="H42" s="7" t="s">
        <v>24</v>
      </c>
      <c r="I42" s="7"/>
      <c r="J42" s="7"/>
      <c r="K42" s="7"/>
      <c r="L42" s="7"/>
      <c r="M42" s="8" t="e">
        <f>+M41/M40</f>
        <v>#DIV/0!</v>
      </c>
    </row>
    <row r="44" spans="1:13" ht="12">
      <c r="A44" t="s">
        <v>25</v>
      </c>
      <c r="D44" s="2">
        <v>0</v>
      </c>
      <c r="H44" t="s">
        <v>25</v>
      </c>
      <c r="M44" s="2">
        <v>0</v>
      </c>
    </row>
    <row r="45" spans="1:13" ht="12">
      <c r="A45" t="s">
        <v>26</v>
      </c>
      <c r="D45" s="2">
        <v>0</v>
      </c>
      <c r="H45" t="s">
        <v>26</v>
      </c>
      <c r="M45" s="2">
        <v>0</v>
      </c>
    </row>
    <row r="46" spans="1:13" ht="12">
      <c r="A46" t="s">
        <v>27</v>
      </c>
      <c r="D46" s="8" t="e">
        <f>+D45/D44</f>
        <v>#DIV/0!</v>
      </c>
      <c r="H46" t="s">
        <v>27</v>
      </c>
      <c r="M46" s="8" t="e">
        <f>+M45/M44</f>
        <v>#DIV/0!</v>
      </c>
    </row>
    <row r="47" spans="1:13" ht="12">
      <c r="A47" s="18" t="s">
        <v>131</v>
      </c>
      <c r="D47" s="2">
        <v>0</v>
      </c>
      <c r="H47" s="18" t="s">
        <v>131</v>
      </c>
      <c r="M47" s="2">
        <v>0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0</v>
      </c>
      <c r="H50" t="s">
        <v>30</v>
      </c>
      <c r="M50" s="2">
        <v>0</v>
      </c>
    </row>
    <row r="51" spans="1:13" ht="12">
      <c r="A51" t="s">
        <v>26</v>
      </c>
      <c r="D51" s="2">
        <v>0</v>
      </c>
      <c r="H51" t="s">
        <v>26</v>
      </c>
      <c r="M51" s="2">
        <v>0</v>
      </c>
    </row>
    <row r="52" spans="1:13" ht="12">
      <c r="A52" t="s">
        <v>27</v>
      </c>
      <c r="D52" s="8" t="e">
        <f>+D51/D50</f>
        <v>#DIV/0!</v>
      </c>
      <c r="H52" t="s">
        <v>27</v>
      </c>
      <c r="M52" s="8" t="e">
        <f>+M51/M50</f>
        <v>#DIV/0!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0</v>
      </c>
      <c r="G55" t="str">
        <f>IF(D55-D56=M50,"ok","err")</f>
        <v>ok</v>
      </c>
      <c r="H55" t="s">
        <v>127</v>
      </c>
      <c r="K55" s="2"/>
      <c r="M55" s="2">
        <v>0</v>
      </c>
      <c r="P55" s="2"/>
    </row>
    <row r="56" spans="1:16" ht="12">
      <c r="A56" t="s">
        <v>128</v>
      </c>
      <c r="D56" s="2">
        <v>0</v>
      </c>
      <c r="H56" t="s">
        <v>128</v>
      </c>
      <c r="K56" s="2"/>
      <c r="M56" s="2">
        <v>0</v>
      </c>
      <c r="P56" s="2"/>
    </row>
    <row r="57" spans="1:13" ht="12">
      <c r="A57" t="s">
        <v>129</v>
      </c>
      <c r="D57" t="e">
        <f>+D56/D55</f>
        <v>#DIV/0!</v>
      </c>
      <c r="H57" t="s">
        <v>129</v>
      </c>
      <c r="M57" t="e">
        <f>+M56/M55</f>
        <v>#DIV/0!</v>
      </c>
    </row>
    <row r="59" spans="1:13" ht="12">
      <c r="A59" t="s">
        <v>31</v>
      </c>
      <c r="D59" s="2">
        <v>0</v>
      </c>
      <c r="H59" t="s">
        <v>31</v>
      </c>
      <c r="M59" s="2">
        <v>0</v>
      </c>
    </row>
    <row r="60" spans="1:13" ht="12">
      <c r="A60" t="s">
        <v>32</v>
      </c>
      <c r="D60" s="2">
        <v>0</v>
      </c>
      <c r="H60" t="s">
        <v>32</v>
      </c>
      <c r="M60" s="2">
        <v>0</v>
      </c>
    </row>
    <row r="62" spans="1:13" ht="12">
      <c r="A62" t="s">
        <v>33</v>
      </c>
      <c r="D62" s="2">
        <v>0</v>
      </c>
      <c r="H62" t="s">
        <v>33</v>
      </c>
      <c r="M62" s="2">
        <v>0</v>
      </c>
    </row>
    <row r="63" spans="1:13" ht="12">
      <c r="A63" t="s">
        <v>34</v>
      </c>
      <c r="D63" s="2">
        <v>0</v>
      </c>
      <c r="H63" t="s">
        <v>34</v>
      </c>
      <c r="M63" s="2">
        <v>0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0</v>
      </c>
      <c r="H65" t="s">
        <v>36</v>
      </c>
      <c r="M65" s="2">
        <v>0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0</v>
      </c>
      <c r="H68" t="s">
        <v>38</v>
      </c>
      <c r="M68" s="2">
        <v>0</v>
      </c>
      <c r="N68" t="str">
        <f>IF(K68=K69*6+K75*2+K76*3+K73,"ok","ERR")</f>
        <v>ok</v>
      </c>
      <c r="P68" t="str">
        <f>IF(M68=M69*6+M75*2+M76*3+M73,"ok","ERR")</f>
        <v>ok</v>
      </c>
    </row>
    <row r="69" spans="1:13" ht="12">
      <c r="A69" t="s">
        <v>39</v>
      </c>
      <c r="D69" s="2">
        <v>0</v>
      </c>
      <c r="H69" t="s">
        <v>39</v>
      </c>
      <c r="M69" s="2">
        <v>0</v>
      </c>
    </row>
    <row r="70" spans="1:13" ht="12">
      <c r="A70" t="s">
        <v>40</v>
      </c>
      <c r="D70" s="2">
        <v>0</v>
      </c>
      <c r="H70" t="s">
        <v>40</v>
      </c>
      <c r="M70" s="2">
        <v>0</v>
      </c>
    </row>
    <row r="71" spans="1:13" ht="12">
      <c r="A71" t="s">
        <v>41</v>
      </c>
      <c r="D71" s="2">
        <v>0</v>
      </c>
      <c r="H71" t="s">
        <v>41</v>
      </c>
      <c r="M71" s="2">
        <v>0</v>
      </c>
    </row>
    <row r="72" spans="1:13" ht="12">
      <c r="A72" t="s">
        <v>42</v>
      </c>
      <c r="D72" s="2">
        <v>0</v>
      </c>
      <c r="H72" t="s">
        <v>42</v>
      </c>
      <c r="M72" s="2">
        <v>0</v>
      </c>
    </row>
    <row r="73" spans="1:13" ht="12">
      <c r="A73" t="s">
        <v>43</v>
      </c>
      <c r="D73" s="2">
        <v>0</v>
      </c>
      <c r="H73" t="s">
        <v>43</v>
      </c>
      <c r="M73" s="2">
        <v>0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0</v>
      </c>
      <c r="H76" t="s">
        <v>45</v>
      </c>
      <c r="M76" s="2">
        <v>0</v>
      </c>
    </row>
    <row r="77" spans="1:13" ht="12">
      <c r="A77" t="s">
        <v>46</v>
      </c>
      <c r="D77" s="2">
        <v>0</v>
      </c>
      <c r="H77" t="s">
        <v>46</v>
      </c>
      <c r="M77" s="2">
        <v>0</v>
      </c>
    </row>
    <row r="78" spans="1:13" ht="12">
      <c r="A78" t="s">
        <v>47</v>
      </c>
      <c r="D78" s="8" t="e">
        <f>+D76/D77*100</f>
        <v>#DIV/0!</v>
      </c>
      <c r="E78" s="7"/>
      <c r="F78" s="7"/>
      <c r="G78" s="7"/>
      <c r="H78" s="7" t="s">
        <v>47</v>
      </c>
      <c r="I78" s="7"/>
      <c r="J78" s="7"/>
      <c r="K78" s="7"/>
      <c r="L78" s="7"/>
      <c r="M78" s="8" t="e">
        <f>+M76/M77*100</f>
        <v>#DIV/0!</v>
      </c>
    </row>
    <row r="79" spans="1:13" ht="12">
      <c r="A79" t="s">
        <v>93</v>
      </c>
      <c r="D79" s="10" t="e">
        <f>IF(V25&lt;10,V29,V28)</f>
        <v>#DIV/0!</v>
      </c>
      <c r="E79" s="8"/>
      <c r="F79" s="8"/>
      <c r="H79" t="s">
        <v>93</v>
      </c>
      <c r="M79" s="10">
        <f>IF(AE25&lt;10,AE29,AE28)</f>
        <v>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5" ht="12">
      <c r="A84" t="s">
        <v>134</v>
      </c>
      <c r="E84" s="12" t="e">
        <f>+D84/C84</f>
        <v>#DIV/0!</v>
      </c>
    </row>
    <row r="85" spans="1:5" ht="12">
      <c r="A85" t="s">
        <v>135</v>
      </c>
      <c r="E85" s="12" t="e">
        <f>+D85/C85</f>
        <v>#DIV/0!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5" ht="12">
      <c r="A87" t="s">
        <v>137</v>
      </c>
      <c r="E87" s="12" t="e">
        <f t="shared" si="0"/>
        <v>#DIV/0!</v>
      </c>
    </row>
    <row r="88" spans="1:5" ht="12">
      <c r="A88" t="s">
        <v>138</v>
      </c>
      <c r="E88" s="12" t="e">
        <f t="shared" si="0"/>
        <v>#DIV/0!</v>
      </c>
    </row>
    <row r="89" spans="1:5" ht="12">
      <c r="A89" t="s">
        <v>139</v>
      </c>
      <c r="E89" s="12" t="e">
        <f t="shared" si="0"/>
        <v>#DIV/0!</v>
      </c>
    </row>
    <row r="90" spans="1:5" ht="12">
      <c r="A90" t="s">
        <v>140</v>
      </c>
      <c r="E90" s="12" t="e">
        <f t="shared" si="0"/>
        <v>#DIV/0!</v>
      </c>
    </row>
    <row r="91" spans="1:5" ht="12">
      <c r="A91" t="s">
        <v>141</v>
      </c>
      <c r="E91" s="12" t="e">
        <f t="shared" si="0"/>
        <v>#DIV/0!</v>
      </c>
    </row>
    <row r="92" spans="1:5" ht="12">
      <c r="A92" t="s">
        <v>142</v>
      </c>
      <c r="E92" s="12" t="e">
        <f t="shared" si="0"/>
        <v>#DIV/0!</v>
      </c>
    </row>
    <row r="93" spans="1:5" ht="12">
      <c r="A93" t="s">
        <v>143</v>
      </c>
      <c r="E93" s="12" t="e">
        <f>+D93/C93</f>
        <v>#DIV/0!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5" ht="12">
      <c r="A101" t="s">
        <v>134</v>
      </c>
      <c r="E101" s="12" t="e">
        <f aca="true" t="shared" si="1" ref="E101:E112">+D101/C101</f>
        <v>#DIV/0!</v>
      </c>
    </row>
    <row r="102" spans="1:5" ht="12">
      <c r="A102" t="s">
        <v>144</v>
      </c>
      <c r="E102" s="12" t="e">
        <f t="shared" si="1"/>
        <v>#DIV/0!</v>
      </c>
    </row>
    <row r="103" spans="1:5" ht="12">
      <c r="A103" t="s">
        <v>136</v>
      </c>
      <c r="E103" s="12" t="e">
        <f t="shared" si="1"/>
        <v>#DIV/0!</v>
      </c>
    </row>
    <row r="104" spans="1:5" ht="12">
      <c r="A104" t="s">
        <v>145</v>
      </c>
      <c r="E104" s="12" t="e">
        <f t="shared" si="1"/>
        <v>#DIV/0!</v>
      </c>
    </row>
    <row r="105" spans="1:5" ht="12">
      <c r="A105" t="s">
        <v>137</v>
      </c>
      <c r="E105" s="12" t="e">
        <f t="shared" si="1"/>
        <v>#DIV/0!</v>
      </c>
    </row>
    <row r="106" spans="1:5" ht="12">
      <c r="A106" t="s">
        <v>138</v>
      </c>
      <c r="E106" s="12" t="e">
        <f t="shared" si="1"/>
        <v>#DIV/0!</v>
      </c>
    </row>
    <row r="107" spans="1:5" ht="12">
      <c r="A107" t="s">
        <v>139</v>
      </c>
      <c r="E107" s="12" t="e">
        <f t="shared" si="1"/>
        <v>#DIV/0!</v>
      </c>
    </row>
    <row r="108" spans="1:5" ht="12">
      <c r="A108" t="s">
        <v>140</v>
      </c>
      <c r="E108" s="12" t="e">
        <f t="shared" si="1"/>
        <v>#DIV/0!</v>
      </c>
    </row>
    <row r="109" spans="1:5" ht="12">
      <c r="A109" t="s">
        <v>141</v>
      </c>
      <c r="E109" s="12" t="e">
        <f t="shared" si="1"/>
        <v>#DIV/0!</v>
      </c>
    </row>
    <row r="110" spans="1:5" ht="12">
      <c r="A110" t="s">
        <v>143</v>
      </c>
      <c r="E110" s="12" t="e">
        <f t="shared" si="1"/>
        <v>#DIV/0!</v>
      </c>
    </row>
    <row r="111" spans="1:5" ht="12">
      <c r="A111" t="s">
        <v>146</v>
      </c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133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E122" s="12" t="e">
        <f t="shared" si="2"/>
        <v>#DIV/0!</v>
      </c>
      <c r="J122" s="8" t="e">
        <f t="shared" si="3"/>
        <v>#DIV/0!</v>
      </c>
      <c r="K122" s="12" t="e">
        <f t="shared" si="4"/>
        <v>#DIV/0!</v>
      </c>
      <c r="L122" s="12" t="e">
        <f t="shared" si="5"/>
        <v>#DIV/0!</v>
      </c>
      <c r="M122" s="12" t="e">
        <f t="shared" si="6"/>
        <v>#DIV/0!</v>
      </c>
      <c r="R122" t="e">
        <f t="shared" si="7"/>
        <v>#DIV/0!</v>
      </c>
      <c r="S122" s="2" t="e">
        <f t="shared" si="8"/>
        <v>#DIV/0!</v>
      </c>
      <c r="T122" s="6" t="e">
        <f t="shared" si="9"/>
        <v>#DIV/0!</v>
      </c>
      <c r="U122" s="2" t="e">
        <f t="shared" si="10"/>
        <v>#DIV/0!</v>
      </c>
      <c r="V122" t="e">
        <f t="shared" si="11"/>
        <v>#DIV/0!</v>
      </c>
      <c r="W122" s="2" t="e">
        <f t="shared" si="12"/>
        <v>#DIV/0!</v>
      </c>
      <c r="X122" t="e">
        <f t="shared" si="13"/>
        <v>#DIV/0!</v>
      </c>
      <c r="Y122" s="2" t="e">
        <f t="shared" si="14"/>
        <v>#DIV/0!</v>
      </c>
    </row>
    <row r="123" spans="1:25" ht="12">
      <c r="A123" t="s">
        <v>147</v>
      </c>
      <c r="E123" s="12" t="e">
        <f t="shared" si="2"/>
        <v>#DIV/0!</v>
      </c>
      <c r="J123" s="8" t="e">
        <f t="shared" si="3"/>
        <v>#DIV/0!</v>
      </c>
      <c r="K123" s="12" t="e">
        <f t="shared" si="4"/>
        <v>#DIV/0!</v>
      </c>
      <c r="L123" s="12" t="e">
        <f t="shared" si="5"/>
        <v>#DIV/0!</v>
      </c>
      <c r="M123" s="12" t="e">
        <f t="shared" si="6"/>
        <v>#DIV/0!</v>
      </c>
      <c r="R123" t="e">
        <f t="shared" si="7"/>
        <v>#DIV/0!</v>
      </c>
      <c r="S123" s="2" t="e">
        <f t="shared" si="8"/>
        <v>#DIV/0!</v>
      </c>
      <c r="T123" s="6" t="e">
        <f t="shared" si="9"/>
        <v>#DIV/0!</v>
      </c>
      <c r="U123" s="2" t="e">
        <f t="shared" si="10"/>
        <v>#DIV/0!</v>
      </c>
      <c r="V123" t="e">
        <f t="shared" si="11"/>
        <v>#DIV/0!</v>
      </c>
      <c r="W123" s="2" t="e">
        <f t="shared" si="12"/>
        <v>#DIV/0!</v>
      </c>
      <c r="X123" t="e">
        <f t="shared" si="13"/>
        <v>#DIV/0!</v>
      </c>
      <c r="Y123" s="2" t="e">
        <f t="shared" si="14"/>
        <v>#DIV/0!</v>
      </c>
    </row>
    <row r="124" spans="1:25" ht="12">
      <c r="A124" t="s">
        <v>142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143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5:25" ht="12"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8" spans="1:9" ht="12">
      <c r="A128" s="2" t="s">
        <v>71</v>
      </c>
      <c r="C128" s="3" t="s">
        <v>72</v>
      </c>
      <c r="D128" s="3" t="s">
        <v>73</v>
      </c>
      <c r="E128" s="3" t="s">
        <v>74</v>
      </c>
      <c r="F128" s="3" t="s">
        <v>53</v>
      </c>
      <c r="G128" s="3" t="s">
        <v>64</v>
      </c>
      <c r="H128" s="3" t="s">
        <v>55</v>
      </c>
      <c r="I128" s="3" t="s">
        <v>84</v>
      </c>
    </row>
    <row r="129" spans="1:6" ht="12">
      <c r="A129" t="s">
        <v>148</v>
      </c>
      <c r="F129" s="12" t="e">
        <f aca="true" t="shared" si="15" ref="F129:F134">+E129/C129</f>
        <v>#DIV/0!</v>
      </c>
    </row>
    <row r="130" spans="1:6" ht="12">
      <c r="A130" t="s">
        <v>136</v>
      </c>
      <c r="F130" s="12" t="e">
        <f t="shared" si="15"/>
        <v>#DIV/0!</v>
      </c>
    </row>
    <row r="131" spans="1:6" ht="12">
      <c r="A131" t="s">
        <v>140</v>
      </c>
      <c r="F131" s="12" t="e">
        <f t="shared" si="15"/>
        <v>#DIV/0!</v>
      </c>
    </row>
    <row r="132" spans="1:6" ht="12">
      <c r="A132" t="s">
        <v>143</v>
      </c>
      <c r="F132" s="12" t="e">
        <f t="shared" si="15"/>
        <v>#DIV/0!</v>
      </c>
    </row>
    <row r="133" ht="12">
      <c r="F133" s="12" t="e">
        <f t="shared" si="15"/>
        <v>#DIV/0!</v>
      </c>
    </row>
    <row r="134" ht="12">
      <c r="F134" s="12" t="e">
        <f t="shared" si="15"/>
        <v>#DIV/0!</v>
      </c>
    </row>
    <row r="138" spans="1:8" ht="12">
      <c r="A138" s="2" t="s">
        <v>30</v>
      </c>
      <c r="C138" s="3" t="s">
        <v>72</v>
      </c>
      <c r="D138" s="3" t="s">
        <v>74</v>
      </c>
      <c r="E138" s="3" t="s">
        <v>53</v>
      </c>
      <c r="F138" s="3" t="s">
        <v>64</v>
      </c>
      <c r="G138" s="3" t="s">
        <v>55</v>
      </c>
      <c r="H138" s="3" t="s">
        <v>84</v>
      </c>
    </row>
    <row r="139" spans="1:5" ht="12">
      <c r="A139" t="s">
        <v>149</v>
      </c>
      <c r="E139" s="12" t="e">
        <f aca="true" t="shared" si="16" ref="E139:E144">+D139/C139</f>
        <v>#DIV/0!</v>
      </c>
    </row>
    <row r="140" spans="1:5" ht="12">
      <c r="A140" t="s">
        <v>148</v>
      </c>
      <c r="E140" s="12" t="e">
        <f t="shared" si="16"/>
        <v>#DIV/0!</v>
      </c>
    </row>
    <row r="141" spans="1:5" ht="12">
      <c r="A141" t="s">
        <v>136</v>
      </c>
      <c r="E141" s="12" t="e">
        <f t="shared" si="16"/>
        <v>#DIV/0!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151</v>
      </c>
      <c r="E143" s="12" t="e">
        <f t="shared" si="16"/>
        <v>#DIV/0!</v>
      </c>
    </row>
    <row r="144" spans="1:5" ht="12">
      <c r="A144" t="s">
        <v>152</v>
      </c>
      <c r="E144" s="12" t="e">
        <f t="shared" si="16"/>
        <v>#DIV/0!</v>
      </c>
    </row>
    <row r="145" spans="1:5" ht="12">
      <c r="A145" t="s">
        <v>138</v>
      </c>
      <c r="E145" s="12" t="e">
        <f aca="true" t="shared" si="17" ref="E145:E151">+D145/C145</f>
        <v>#DIV/0!</v>
      </c>
    </row>
    <row r="146" spans="1:5" ht="12">
      <c r="A146" t="s">
        <v>143</v>
      </c>
      <c r="E146" s="12" t="e">
        <f t="shared" si="17"/>
        <v>#DIV/0!</v>
      </c>
    </row>
    <row r="147" spans="1:5" ht="12">
      <c r="A147" t="s">
        <v>146</v>
      </c>
      <c r="E147" s="12" t="e">
        <f t="shared" si="17"/>
        <v>#DIV/0!</v>
      </c>
    </row>
    <row r="148" spans="1:5" ht="12">
      <c r="A148" t="s">
        <v>153</v>
      </c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3" spans="1:8" ht="12">
      <c r="A153" s="2" t="s">
        <v>75</v>
      </c>
      <c r="C153" s="3" t="s">
        <v>72</v>
      </c>
      <c r="D153" s="3" t="s">
        <v>74</v>
      </c>
      <c r="E153" s="3" t="s">
        <v>53</v>
      </c>
      <c r="F153" s="3" t="s">
        <v>64</v>
      </c>
      <c r="G153" s="3" t="s">
        <v>76</v>
      </c>
      <c r="H153" s="3" t="s">
        <v>84</v>
      </c>
    </row>
    <row r="154" spans="1:5" ht="12">
      <c r="A154" t="s">
        <v>154</v>
      </c>
      <c r="E154" s="12"/>
    </row>
    <row r="160" spans="9:21" ht="12">
      <c r="I160" s="5" t="s">
        <v>67</v>
      </c>
      <c r="L160" s="32" t="s">
        <v>99</v>
      </c>
      <c r="M160" s="32"/>
      <c r="N160" s="32" t="s">
        <v>100</v>
      </c>
      <c r="O160" s="32"/>
      <c r="P160" s="32" t="s">
        <v>101</v>
      </c>
      <c r="Q160" s="32"/>
      <c r="R160" s="32" t="s">
        <v>102</v>
      </c>
      <c r="S160" s="32"/>
      <c r="T160" s="32" t="s">
        <v>103</v>
      </c>
      <c r="U160" s="32"/>
    </row>
    <row r="161" spans="1:21" ht="12">
      <c r="A161" s="4" t="s">
        <v>83</v>
      </c>
      <c r="C161" s="3" t="s">
        <v>77</v>
      </c>
      <c r="D161" s="3" t="s">
        <v>78</v>
      </c>
      <c r="E161" s="3" t="s">
        <v>79</v>
      </c>
      <c r="F161" s="3" t="s">
        <v>80</v>
      </c>
      <c r="G161" s="3" t="s">
        <v>81</v>
      </c>
      <c r="H161" s="3" t="s">
        <v>82</v>
      </c>
      <c r="I161" s="3" t="s">
        <v>86</v>
      </c>
      <c r="J161" s="3" t="s">
        <v>64</v>
      </c>
      <c r="L161" s="3" t="s">
        <v>81</v>
      </c>
      <c r="M161" s="3" t="s">
        <v>82</v>
      </c>
      <c r="N161" s="3" t="s">
        <v>81</v>
      </c>
      <c r="O161" s="3" t="s">
        <v>82</v>
      </c>
      <c r="P161" s="3" t="s">
        <v>81</v>
      </c>
      <c r="Q161" s="3" t="s">
        <v>82</v>
      </c>
      <c r="R161" s="3" t="s">
        <v>81</v>
      </c>
      <c r="S161" s="3" t="s">
        <v>82</v>
      </c>
      <c r="T161" s="3" t="s">
        <v>81</v>
      </c>
      <c r="U161" s="3" t="s">
        <v>82</v>
      </c>
    </row>
    <row r="162" spans="1:9" ht="12">
      <c r="A162" t="s">
        <v>155</v>
      </c>
      <c r="I162" s="12" t="e">
        <f aca="true" t="shared" si="18" ref="I162:I169">+H162/G162*100</f>
        <v>#DIV/0!</v>
      </c>
    </row>
    <row r="163" spans="1:9" ht="12">
      <c r="A163" t="s">
        <v>154</v>
      </c>
      <c r="I163" s="12" t="e">
        <f t="shared" si="18"/>
        <v>#DIV/0!</v>
      </c>
    </row>
    <row r="164" ht="12">
      <c r="I164" s="12" t="e">
        <f t="shared" si="18"/>
        <v>#DIV/0!</v>
      </c>
    </row>
    <row r="165" ht="12">
      <c r="I165" s="12" t="e">
        <f t="shared" si="18"/>
        <v>#DIV/0!</v>
      </c>
    </row>
    <row r="166" ht="12">
      <c r="I166" s="12" t="e">
        <f t="shared" si="18"/>
        <v>#DIV/0!</v>
      </c>
    </row>
    <row r="167" ht="12"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2" spans="1:8" ht="12">
      <c r="A172" s="2" t="s">
        <v>85</v>
      </c>
      <c r="C172" s="3" t="s">
        <v>72</v>
      </c>
      <c r="D172" s="3" t="s">
        <v>74</v>
      </c>
      <c r="E172" s="3" t="s">
        <v>53</v>
      </c>
      <c r="F172" s="3" t="s">
        <v>64</v>
      </c>
      <c r="G172" s="3" t="s">
        <v>55</v>
      </c>
      <c r="H172" s="3" t="s">
        <v>84</v>
      </c>
    </row>
    <row r="173" spans="1:5" ht="12">
      <c r="A173" t="s">
        <v>156</v>
      </c>
      <c r="E173" s="12" t="e">
        <f>+D173/C173</f>
        <v>#DIV/0!</v>
      </c>
    </row>
    <row r="174" spans="1:5" ht="12">
      <c r="A174" t="s">
        <v>149</v>
      </c>
      <c r="E174" s="12" t="e">
        <f aca="true" t="shared" si="19" ref="E174:E180">+D174/C174</f>
        <v>#DIV/0!</v>
      </c>
    </row>
    <row r="175" spans="1:5" ht="12">
      <c r="A175" t="s">
        <v>157</v>
      </c>
      <c r="E175" s="12" t="e">
        <f t="shared" si="19"/>
        <v>#DIV/0!</v>
      </c>
    </row>
    <row r="176" spans="1:5" ht="12">
      <c r="A176" t="s">
        <v>158</v>
      </c>
      <c r="E176" s="12" t="e">
        <f t="shared" si="19"/>
        <v>#DIV/0!</v>
      </c>
    </row>
    <row r="177" spans="1:5" ht="12">
      <c r="A177" t="s">
        <v>159</v>
      </c>
      <c r="E177" s="12" t="e">
        <f t="shared" si="19"/>
        <v>#DIV/0!</v>
      </c>
    </row>
    <row r="178" spans="1:5" ht="12">
      <c r="A178" t="s">
        <v>160</v>
      </c>
      <c r="E178" s="12" t="e">
        <f t="shared" si="19"/>
        <v>#DIV/0!</v>
      </c>
    </row>
    <row r="179" spans="1:5" ht="12">
      <c r="A179" t="s">
        <v>161</v>
      </c>
      <c r="E179" s="12" t="e">
        <f t="shared" si="19"/>
        <v>#DIV/0!</v>
      </c>
    </row>
    <row r="180" spans="1:5" ht="12">
      <c r="A180" t="s">
        <v>147</v>
      </c>
      <c r="E180" s="12" t="e">
        <f t="shared" si="19"/>
        <v>#DIV/0!</v>
      </c>
    </row>
    <row r="181" spans="1:5" ht="12">
      <c r="A181" t="s">
        <v>153</v>
      </c>
      <c r="E181" s="12" t="e">
        <f>+D181/C181</f>
        <v>#DIV/0!</v>
      </c>
    </row>
    <row r="182" spans="1:5" ht="12">
      <c r="A182" t="s">
        <v>162</v>
      </c>
      <c r="E182" s="12" t="e">
        <f>+D182/C182</f>
        <v>#DIV/0!</v>
      </c>
    </row>
    <row r="183" spans="1:5" ht="12">
      <c r="A183" s="1"/>
      <c r="E183" s="12" t="e">
        <f>+D183/C183</f>
        <v>#DIV/0!</v>
      </c>
    </row>
    <row r="184" spans="1:5" ht="12">
      <c r="A184" s="1"/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/>
    </row>
    <row r="187" spans="1:4" ht="12">
      <c r="A187" s="2" t="s">
        <v>98</v>
      </c>
      <c r="C187" s="3" t="s">
        <v>72</v>
      </c>
      <c r="D187" s="3" t="s">
        <v>74</v>
      </c>
    </row>
    <row r="188" spans="1:4" ht="12">
      <c r="A188" s="20" t="s">
        <v>156</v>
      </c>
      <c r="C188" s="3"/>
      <c r="D188" s="3"/>
    </row>
    <row r="189" spans="1:4" ht="12">
      <c r="A189" s="20" t="s">
        <v>157</v>
      </c>
      <c r="C189" s="3"/>
      <c r="D189" s="3"/>
    </row>
    <row r="190" spans="1:4" ht="12">
      <c r="A190" s="20" t="s">
        <v>158</v>
      </c>
      <c r="C190" s="3"/>
      <c r="D190" s="3"/>
    </row>
    <row r="191" spans="1:4" ht="12">
      <c r="A191" s="20" t="s">
        <v>159</v>
      </c>
      <c r="C191" s="3"/>
      <c r="D191" s="3"/>
    </row>
    <row r="192" spans="1:4" ht="12">
      <c r="A192" s="20" t="s">
        <v>163</v>
      </c>
      <c r="C192" s="3"/>
      <c r="D192" s="3"/>
    </row>
    <row r="193" spans="1:4" ht="12">
      <c r="A193" s="20" t="s">
        <v>164</v>
      </c>
      <c r="C193" s="3"/>
      <c r="D193" s="3"/>
    </row>
    <row r="194" spans="1:4" ht="12">
      <c r="A194" s="20" t="s">
        <v>161</v>
      </c>
      <c r="C194" s="3"/>
      <c r="D194" s="3"/>
    </row>
    <row r="195" spans="1:4" ht="12">
      <c r="A195" s="20" t="s">
        <v>165</v>
      </c>
      <c r="C195" s="3"/>
      <c r="D195" s="3"/>
    </row>
    <row r="196" spans="1:4" ht="12">
      <c r="A196" s="20" t="s">
        <v>147</v>
      </c>
      <c r="C196" s="3"/>
      <c r="D196" s="3"/>
    </row>
    <row r="197" spans="1:4" ht="12">
      <c r="A197" s="20" t="s">
        <v>166</v>
      </c>
      <c r="C197" s="3"/>
      <c r="D197" s="3"/>
    </row>
    <row r="198" spans="1:4" ht="12">
      <c r="A198" s="20"/>
      <c r="C198" s="3"/>
      <c r="D198" s="3"/>
    </row>
    <row r="199" spans="1:4" ht="12">
      <c r="A199" s="20"/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"/>
      <c r="C202" s="3"/>
      <c r="D202" s="3"/>
    </row>
    <row r="203" spans="1:4" ht="12">
      <c r="A203" s="2"/>
      <c r="C203" s="3"/>
      <c r="D203" s="3"/>
    </row>
    <row r="204" spans="1:4" ht="12">
      <c r="A204" s="2"/>
      <c r="C204" s="3"/>
      <c r="D204" s="3"/>
    </row>
    <row r="205" spans="1:7" ht="12">
      <c r="A205" s="2" t="s">
        <v>94</v>
      </c>
      <c r="C205" s="3" t="s">
        <v>72</v>
      </c>
      <c r="D205" s="3" t="s">
        <v>74</v>
      </c>
      <c r="E205" s="3" t="s">
        <v>64</v>
      </c>
      <c r="F205" s="3" t="s">
        <v>55</v>
      </c>
      <c r="G205" s="5" t="s">
        <v>84</v>
      </c>
    </row>
    <row r="206" ht="12">
      <c r="A206" t="s">
        <v>167</v>
      </c>
    </row>
    <row r="207" ht="12">
      <c r="A207" t="s">
        <v>156</v>
      </c>
    </row>
    <row r="208" ht="12">
      <c r="A208" t="s">
        <v>149</v>
      </c>
    </row>
    <row r="209" ht="12">
      <c r="A209" t="s">
        <v>157</v>
      </c>
    </row>
    <row r="210" ht="12">
      <c r="A210" t="s">
        <v>133</v>
      </c>
    </row>
    <row r="211" ht="12">
      <c r="A211" t="s">
        <v>134</v>
      </c>
    </row>
    <row r="212" ht="12">
      <c r="A212" t="s">
        <v>158</v>
      </c>
    </row>
    <row r="213" ht="12">
      <c r="A213" t="s">
        <v>168</v>
      </c>
    </row>
    <row r="214" ht="12">
      <c r="A214" t="s">
        <v>135</v>
      </c>
    </row>
    <row r="215" ht="12">
      <c r="A215" t="s">
        <v>159</v>
      </c>
    </row>
    <row r="216" ht="12">
      <c r="A216" t="s">
        <v>169</v>
      </c>
    </row>
    <row r="217" ht="12">
      <c r="A217" t="s">
        <v>144</v>
      </c>
    </row>
    <row r="218" ht="12">
      <c r="A218" t="s">
        <v>148</v>
      </c>
    </row>
    <row r="219" ht="12">
      <c r="A219" t="s">
        <v>163</v>
      </c>
    </row>
    <row r="220" ht="12">
      <c r="A220" t="s">
        <v>160</v>
      </c>
    </row>
    <row r="221" ht="12">
      <c r="A221" t="s">
        <v>136</v>
      </c>
    </row>
    <row r="222" ht="12">
      <c r="A222" t="s">
        <v>170</v>
      </c>
    </row>
    <row r="223" ht="12">
      <c r="A223" t="s">
        <v>154</v>
      </c>
    </row>
    <row r="224" ht="12">
      <c r="A224" t="s">
        <v>150</v>
      </c>
    </row>
    <row r="225" ht="12">
      <c r="A225" t="s">
        <v>171</v>
      </c>
    </row>
    <row r="226" ht="12">
      <c r="A226" t="s">
        <v>164</v>
      </c>
    </row>
    <row r="227" ht="12">
      <c r="A227" t="s">
        <v>145</v>
      </c>
    </row>
    <row r="228" ht="12">
      <c r="A228" t="s">
        <v>137</v>
      </c>
    </row>
    <row r="229" ht="12">
      <c r="A229" t="s">
        <v>151</v>
      </c>
    </row>
    <row r="230" ht="12">
      <c r="A230" t="s">
        <v>152</v>
      </c>
    </row>
    <row r="231" ht="12">
      <c r="A231" t="s">
        <v>138</v>
      </c>
    </row>
    <row r="232" ht="12">
      <c r="A232" t="s">
        <v>139</v>
      </c>
    </row>
    <row r="233" ht="12">
      <c r="A233" t="s">
        <v>161</v>
      </c>
    </row>
    <row r="234" ht="12">
      <c r="A234" t="s">
        <v>172</v>
      </c>
    </row>
    <row r="235" ht="12">
      <c r="A235" t="s">
        <v>140</v>
      </c>
    </row>
    <row r="236" ht="12">
      <c r="A236" t="s">
        <v>165</v>
      </c>
    </row>
    <row r="237" ht="12">
      <c r="A237" t="s">
        <v>155</v>
      </c>
    </row>
    <row r="238" ht="12">
      <c r="A238" t="s">
        <v>147</v>
      </c>
    </row>
    <row r="239" ht="12">
      <c r="A239" t="s">
        <v>173</v>
      </c>
    </row>
    <row r="240" ht="12">
      <c r="A240" t="s">
        <v>141</v>
      </c>
    </row>
    <row r="241" ht="12">
      <c r="A241" t="s">
        <v>174</v>
      </c>
    </row>
    <row r="242" ht="12">
      <c r="A242" t="s">
        <v>166</v>
      </c>
    </row>
    <row r="243" ht="12">
      <c r="A243" t="s">
        <v>175</v>
      </c>
    </row>
    <row r="244" ht="12">
      <c r="A244" t="s">
        <v>176</v>
      </c>
    </row>
    <row r="245" ht="12">
      <c r="A245" t="s">
        <v>142</v>
      </c>
    </row>
    <row r="246" ht="12">
      <c r="A246" t="s">
        <v>177</v>
      </c>
    </row>
    <row r="247" ht="12">
      <c r="A247" t="s">
        <v>143</v>
      </c>
    </row>
    <row r="248" ht="12">
      <c r="A248" t="s">
        <v>178</v>
      </c>
    </row>
    <row r="249" ht="12">
      <c r="A249" t="s">
        <v>179</v>
      </c>
    </row>
    <row r="250" ht="12">
      <c r="A250" t="s">
        <v>146</v>
      </c>
    </row>
    <row r="251" ht="12">
      <c r="A251" t="s">
        <v>153</v>
      </c>
    </row>
    <row r="252" ht="12">
      <c r="A252" t="s">
        <v>162</v>
      </c>
    </row>
    <row r="253" ht="12">
      <c r="A253" t="s">
        <v>180</v>
      </c>
    </row>
  </sheetData>
  <sheetProtection/>
  <mergeCells count="5">
    <mergeCell ref="L160:M160"/>
    <mergeCell ref="N160:O160"/>
    <mergeCell ref="P160:Q160"/>
    <mergeCell ref="R160:S160"/>
    <mergeCell ref="T160:U160"/>
  </mergeCells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253"/>
  <sheetViews>
    <sheetView zoomScale="125" zoomScaleNormal="125" workbookViewId="0" topLeftCell="A1">
      <selection activeCell="N202" sqref="N202"/>
    </sheetView>
  </sheetViews>
  <sheetFormatPr defaultColWidth="11.42187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Chicago Bears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0</v>
      </c>
      <c r="H6" s="1" t="s">
        <v>29</v>
      </c>
      <c r="M6" s="2">
        <v>0</v>
      </c>
    </row>
    <row r="7" spans="1:13" ht="12">
      <c r="A7" s="16" t="s">
        <v>95</v>
      </c>
      <c r="D7" s="2">
        <v>0</v>
      </c>
      <c r="H7" s="16" t="s">
        <v>95</v>
      </c>
      <c r="M7" s="2">
        <v>0</v>
      </c>
    </row>
    <row r="8" spans="1:13" ht="12">
      <c r="A8" s="16" t="s">
        <v>96</v>
      </c>
      <c r="D8" s="2">
        <v>0</v>
      </c>
      <c r="H8" s="16" t="s">
        <v>96</v>
      </c>
      <c r="M8" s="2">
        <v>0</v>
      </c>
    </row>
    <row r="9" spans="1:13" ht="12">
      <c r="A9" s="16" t="s">
        <v>97</v>
      </c>
      <c r="D9" s="2">
        <v>0</v>
      </c>
      <c r="H9" s="16" t="s">
        <v>97</v>
      </c>
      <c r="M9" s="2">
        <v>0</v>
      </c>
    </row>
    <row r="10" spans="1:14" ht="12">
      <c r="A10" s="18" t="s">
        <v>108</v>
      </c>
      <c r="C10">
        <v>0</v>
      </c>
      <c r="D10" s="2">
        <v>0</v>
      </c>
      <c r="E10" s="19" t="e">
        <f>+C10/D10</f>
        <v>#DIV/0!</v>
      </c>
      <c r="H10" s="18" t="s">
        <v>108</v>
      </c>
      <c r="L10">
        <v>0</v>
      </c>
      <c r="M10" s="2">
        <v>0</v>
      </c>
      <c r="N10" s="19" t="e">
        <f>+L10/M10</f>
        <v>#DIV/0!</v>
      </c>
    </row>
    <row r="11" spans="1:14" ht="12">
      <c r="A11" s="18" t="s">
        <v>119</v>
      </c>
      <c r="C11">
        <v>0</v>
      </c>
      <c r="D11" s="2">
        <v>0</v>
      </c>
      <c r="E11" s="19"/>
      <c r="H11" s="18" t="s">
        <v>119</v>
      </c>
      <c r="L11">
        <v>0</v>
      </c>
      <c r="M11" s="2">
        <v>0</v>
      </c>
      <c r="N11" s="19"/>
    </row>
    <row r="13" spans="1:23" ht="12">
      <c r="A13" t="s">
        <v>1</v>
      </c>
      <c r="D13" s="2">
        <v>0</v>
      </c>
      <c r="H13" t="s">
        <v>1</v>
      </c>
      <c r="M13" s="2">
        <v>0</v>
      </c>
      <c r="V13">
        <f>+D13</f>
        <v>0</v>
      </c>
      <c r="W13">
        <f>+M13</f>
        <v>0</v>
      </c>
    </row>
    <row r="14" spans="1:23" ht="12">
      <c r="A14" t="s">
        <v>2</v>
      </c>
      <c r="D14" s="2">
        <v>0</v>
      </c>
      <c r="H14" t="s">
        <v>2</v>
      </c>
      <c r="M14" s="2">
        <v>0</v>
      </c>
      <c r="P14" s="13"/>
      <c r="U14" s="13"/>
      <c r="V14">
        <f>+D18</f>
        <v>0</v>
      </c>
      <c r="W14">
        <f>+M18</f>
        <v>0</v>
      </c>
    </row>
    <row r="15" spans="1:23" ht="12">
      <c r="A15" s="1" t="s">
        <v>3</v>
      </c>
      <c r="D15" s="8" t="e">
        <f>+D14/D13</f>
        <v>#DIV/0!</v>
      </c>
      <c r="H15" s="1" t="s">
        <v>3</v>
      </c>
      <c r="M15" s="8" t="e">
        <f>+M14/M13</f>
        <v>#DIV/0!</v>
      </c>
      <c r="V15">
        <f>+(D17-D18)/2</f>
        <v>0</v>
      </c>
      <c r="W15">
        <f>+(M17-M18)/2</f>
        <v>0</v>
      </c>
    </row>
    <row r="16" spans="22:23" ht="12">
      <c r="V16">
        <f>+D40/2</f>
        <v>0</v>
      </c>
      <c r="W16">
        <f>+M40/2</f>
        <v>0</v>
      </c>
    </row>
    <row r="17" spans="1:23" ht="12">
      <c r="A17" t="s">
        <v>4</v>
      </c>
      <c r="D17" s="2">
        <v>0</v>
      </c>
      <c r="H17" t="s">
        <v>4</v>
      </c>
      <c r="M17" s="2">
        <v>0</v>
      </c>
      <c r="V17">
        <f>+D44/2</f>
        <v>0</v>
      </c>
      <c r="W17">
        <f>+M44/2</f>
        <v>0</v>
      </c>
    </row>
    <row r="18" spans="1:23" ht="12">
      <c r="A18" t="s">
        <v>5</v>
      </c>
      <c r="D18" s="2">
        <v>0</v>
      </c>
      <c r="H18" t="s">
        <v>5</v>
      </c>
      <c r="M18" s="2">
        <v>0</v>
      </c>
      <c r="V18">
        <f>+D50/2</f>
        <v>0</v>
      </c>
      <c r="W18">
        <f>+M50/2</f>
        <v>0</v>
      </c>
    </row>
    <row r="19" spans="1:13" ht="12">
      <c r="A19" t="s">
        <v>6</v>
      </c>
      <c r="D19" s="8" t="e">
        <f>+D18/D17*100</f>
        <v>#DIV/0!</v>
      </c>
      <c r="H19" t="s">
        <v>6</v>
      </c>
      <c r="M19" s="8" t="e">
        <f>+M18/M17*100</f>
        <v>#DIV/0!</v>
      </c>
    </row>
    <row r="20" spans="1:24" ht="12">
      <c r="A20" t="s">
        <v>7</v>
      </c>
      <c r="D20" s="2">
        <v>0</v>
      </c>
      <c r="H20" t="s">
        <v>7</v>
      </c>
      <c r="M20" s="2">
        <v>0</v>
      </c>
      <c r="V20">
        <f>SUM(V13:V18)</f>
        <v>0</v>
      </c>
      <c r="W20">
        <f>SUM(W13:W18)</f>
        <v>0</v>
      </c>
      <c r="X20">
        <f>+W20+V20</f>
        <v>0</v>
      </c>
    </row>
    <row r="21" spans="1:23" ht="12">
      <c r="A21" t="s">
        <v>8</v>
      </c>
      <c r="D21" s="2">
        <v>0</v>
      </c>
      <c r="H21" t="s">
        <v>8</v>
      </c>
      <c r="M21" s="2">
        <v>0</v>
      </c>
      <c r="V21" t="e">
        <f>+V20/X20</f>
        <v>#DIV/0!</v>
      </c>
      <c r="W21" t="e">
        <f>+W20/X20</f>
        <v>#DIV/0!</v>
      </c>
    </row>
    <row r="22" spans="1:23" ht="12">
      <c r="A22" t="s">
        <v>9</v>
      </c>
      <c r="D22" s="2">
        <v>0</v>
      </c>
      <c r="H22" t="s">
        <v>9</v>
      </c>
      <c r="M22" s="2">
        <v>0</v>
      </c>
      <c r="V22" t="e">
        <f>+V21*60</f>
        <v>#DIV/0!</v>
      </c>
      <c r="W22" t="e">
        <f>+W21*60</f>
        <v>#DIV/0!</v>
      </c>
    </row>
    <row r="23" spans="1:23" ht="12">
      <c r="A23" t="s">
        <v>10</v>
      </c>
      <c r="D23">
        <f>+D20-D22</f>
        <v>0</v>
      </c>
      <c r="H23" t="s">
        <v>10</v>
      </c>
      <c r="M23">
        <f>+M20-M22</f>
        <v>0</v>
      </c>
      <c r="V23" t="e">
        <f>+V22-INT(V22)</f>
        <v>#DIV/0!</v>
      </c>
      <c r="W23" t="e">
        <f>+W22-INT(W22)</f>
        <v>#DIV/0!</v>
      </c>
    </row>
    <row r="24" spans="1:23" ht="12">
      <c r="A24" t="s">
        <v>11</v>
      </c>
      <c r="D24" s="7" t="e">
        <f>+D23/(D17+D21)</f>
        <v>#DIV/0!</v>
      </c>
      <c r="H24" t="s">
        <v>11</v>
      </c>
      <c r="M24" s="7" t="e">
        <f>+M23/(M17+M21)</f>
        <v>#DIV/0!</v>
      </c>
      <c r="V24" t="e">
        <f>+V23*60</f>
        <v>#DIV/0!</v>
      </c>
      <c r="W24" t="e">
        <f>+W23*60</f>
        <v>#DIV/0!</v>
      </c>
    </row>
    <row r="25" spans="1:23" ht="12">
      <c r="A25" t="s">
        <v>12</v>
      </c>
      <c r="D25" s="7" t="e">
        <f>+D20/D18</f>
        <v>#DIV/0!</v>
      </c>
      <c r="H25" t="s">
        <v>12</v>
      </c>
      <c r="M25" s="7" t="e">
        <f>+M20/M18</f>
        <v>#DIV/0!</v>
      </c>
      <c r="Q25" s="11"/>
      <c r="U25">
        <v>0</v>
      </c>
      <c r="V25" s="11" t="e">
        <f>ROUND(V24,0)</f>
        <v>#DIV/0!</v>
      </c>
      <c r="W25" t="e">
        <f>ROUND(W24,0)</f>
        <v>#DIV/0!</v>
      </c>
    </row>
    <row r="26" spans="22:23" ht="12">
      <c r="V26" t="e">
        <f>INT(V22)</f>
        <v>#DIV/0!</v>
      </c>
      <c r="W26" t="e">
        <f>INT(W22)</f>
        <v>#DIV/0!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0</v>
      </c>
      <c r="H28" t="s">
        <v>14</v>
      </c>
      <c r="M28">
        <f>+M23+M14</f>
        <v>0</v>
      </c>
      <c r="Q28" s="14"/>
      <c r="R28" s="9"/>
      <c r="V28" s="14" t="e">
        <f>+V26&amp;V27&amp;V25</f>
        <v>#DIV/0!</v>
      </c>
      <c r="W28" s="9" t="e">
        <f>+W26&amp;W27&amp;W25</f>
        <v>#DIV/0!</v>
      </c>
    </row>
    <row r="29" spans="1:23" ht="12">
      <c r="A29" t="s">
        <v>15</v>
      </c>
      <c r="D29" s="7" t="e">
        <f>+D14/D28*100</f>
        <v>#DIV/0!</v>
      </c>
      <c r="H29" t="s">
        <v>15</v>
      </c>
      <c r="M29" s="7" t="e">
        <f>+M14/M28*100</f>
        <v>#DIV/0!</v>
      </c>
      <c r="Q29" s="9"/>
      <c r="R29" s="9"/>
      <c r="V29" s="9" t="e">
        <f>IF(V25&lt;10,+V26&amp;V27&amp;$U$25&amp;V25,+V26&amp;V27&amp;V25)</f>
        <v>#DIV/0!</v>
      </c>
      <c r="W29" s="9" t="e">
        <f>IF(W25&lt;10,+W26&amp;W27&amp;$U$25&amp;W25,+W26&amp;W27&amp;W25)</f>
        <v>#DIV/0!</v>
      </c>
    </row>
    <row r="30" spans="1:16" ht="12">
      <c r="A30" s="1" t="s">
        <v>90</v>
      </c>
      <c r="D30" s="7" t="e">
        <f>+D23/D28*100</f>
        <v>#DIV/0!</v>
      </c>
      <c r="H30" s="1" t="s">
        <v>90</v>
      </c>
      <c r="M30" s="7" t="e">
        <f>+M23/M28*100</f>
        <v>#DIV/0!</v>
      </c>
      <c r="P30" s="13"/>
    </row>
    <row r="32" spans="1:13" ht="12">
      <c r="A32" t="s">
        <v>16</v>
      </c>
      <c r="D32">
        <f>+D13+D17+D21</f>
        <v>0</v>
      </c>
      <c r="H32" t="s">
        <v>16</v>
      </c>
      <c r="M32">
        <f>+M13+M17+M21</f>
        <v>0</v>
      </c>
    </row>
    <row r="33" spans="1:13" ht="12">
      <c r="A33" t="s">
        <v>17</v>
      </c>
      <c r="D33" s="8" t="e">
        <f>+D28/D32</f>
        <v>#DIV/0!</v>
      </c>
      <c r="E33" s="7"/>
      <c r="F33" s="7"/>
      <c r="G33" s="7"/>
      <c r="H33" s="7" t="s">
        <v>17</v>
      </c>
      <c r="I33" s="7"/>
      <c r="J33" s="7"/>
      <c r="K33" s="7"/>
      <c r="L33" s="7"/>
      <c r="M33" s="8" t="e">
        <f>+M28/M32</f>
        <v>#DIV/0!</v>
      </c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0</v>
      </c>
      <c r="H36" t="s">
        <v>19</v>
      </c>
      <c r="M36" s="2">
        <v>0</v>
      </c>
    </row>
    <row r="37" spans="1:13" ht="12">
      <c r="A37" t="s">
        <v>20</v>
      </c>
      <c r="D37" s="2">
        <v>0</v>
      </c>
      <c r="H37" t="s">
        <v>20</v>
      </c>
      <c r="M37" s="2">
        <v>0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0</v>
      </c>
      <c r="H40" t="s">
        <v>22</v>
      </c>
      <c r="M40" s="2">
        <v>0</v>
      </c>
    </row>
    <row r="41" spans="1:13" ht="12">
      <c r="A41" t="s">
        <v>23</v>
      </c>
      <c r="D41" s="2">
        <v>0</v>
      </c>
      <c r="H41" t="s">
        <v>23</v>
      </c>
      <c r="M41" s="2">
        <v>0</v>
      </c>
    </row>
    <row r="42" spans="1:13" ht="12">
      <c r="A42" t="s">
        <v>24</v>
      </c>
      <c r="D42" s="8" t="e">
        <f>+D41/D40</f>
        <v>#DIV/0!</v>
      </c>
      <c r="E42" s="7"/>
      <c r="F42" s="7"/>
      <c r="G42" s="7"/>
      <c r="H42" s="7" t="s">
        <v>24</v>
      </c>
      <c r="I42" s="7"/>
      <c r="J42" s="7"/>
      <c r="K42" s="7"/>
      <c r="L42" s="7"/>
      <c r="M42" s="8" t="e">
        <f>+M41/M40</f>
        <v>#DIV/0!</v>
      </c>
    </row>
    <row r="44" spans="1:13" ht="12">
      <c r="A44" t="s">
        <v>25</v>
      </c>
      <c r="D44" s="2">
        <v>0</v>
      </c>
      <c r="H44" t="s">
        <v>25</v>
      </c>
      <c r="M44" s="2">
        <v>0</v>
      </c>
    </row>
    <row r="45" spans="1:13" ht="12">
      <c r="A45" t="s">
        <v>26</v>
      </c>
      <c r="D45" s="2">
        <v>0</v>
      </c>
      <c r="H45" t="s">
        <v>26</v>
      </c>
      <c r="M45" s="2">
        <v>0</v>
      </c>
    </row>
    <row r="46" spans="1:13" ht="12">
      <c r="A46" t="s">
        <v>27</v>
      </c>
      <c r="D46" s="8" t="e">
        <f>+D45/D44</f>
        <v>#DIV/0!</v>
      </c>
      <c r="H46" t="s">
        <v>27</v>
      </c>
      <c r="M46" s="8" t="e">
        <f>+M45/M44</f>
        <v>#DIV/0!</v>
      </c>
    </row>
    <row r="47" spans="1:13" ht="12">
      <c r="A47" s="18" t="s">
        <v>131</v>
      </c>
      <c r="D47" s="2">
        <v>0</v>
      </c>
      <c r="H47" s="18" t="s">
        <v>131</v>
      </c>
      <c r="M47" s="2">
        <v>0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0</v>
      </c>
      <c r="H50" t="s">
        <v>30</v>
      </c>
      <c r="M50" s="2">
        <v>0</v>
      </c>
    </row>
    <row r="51" spans="1:13" ht="12">
      <c r="A51" t="s">
        <v>26</v>
      </c>
      <c r="D51" s="2">
        <v>0</v>
      </c>
      <c r="H51" t="s">
        <v>26</v>
      </c>
      <c r="M51" s="2">
        <v>0</v>
      </c>
    </row>
    <row r="52" spans="1:13" ht="12">
      <c r="A52" t="s">
        <v>27</v>
      </c>
      <c r="D52" s="8" t="e">
        <f>+D51/D50</f>
        <v>#DIV/0!</v>
      </c>
      <c r="H52" t="s">
        <v>27</v>
      </c>
      <c r="M52" s="8" t="e">
        <f>+M51/M50</f>
        <v>#DIV/0!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0</v>
      </c>
      <c r="G55" t="str">
        <f>IF(D55-D56=M50,"ok","err")</f>
        <v>ok</v>
      </c>
      <c r="H55" t="s">
        <v>127</v>
      </c>
      <c r="K55" s="2"/>
      <c r="M55" s="2">
        <v>0</v>
      </c>
      <c r="P55" s="2"/>
    </row>
    <row r="56" spans="1:16" ht="12">
      <c r="A56" t="s">
        <v>128</v>
      </c>
      <c r="D56" s="2">
        <v>0</v>
      </c>
      <c r="H56" t="s">
        <v>128</v>
      </c>
      <c r="K56" s="2"/>
      <c r="M56" s="2">
        <v>0</v>
      </c>
      <c r="P56" s="2"/>
    </row>
    <row r="57" spans="1:13" ht="12">
      <c r="A57" t="s">
        <v>129</v>
      </c>
      <c r="D57" t="e">
        <f>+D56/D55</f>
        <v>#DIV/0!</v>
      </c>
      <c r="H57" t="s">
        <v>129</v>
      </c>
      <c r="M57" t="e">
        <f>+M56/M55</f>
        <v>#DIV/0!</v>
      </c>
    </row>
    <row r="59" spans="1:13" ht="12">
      <c r="A59" t="s">
        <v>31</v>
      </c>
      <c r="D59" s="2">
        <v>0</v>
      </c>
      <c r="H59" t="s">
        <v>31</v>
      </c>
      <c r="M59" s="2">
        <v>0</v>
      </c>
    </row>
    <row r="60" spans="1:13" ht="12">
      <c r="A60" t="s">
        <v>32</v>
      </c>
      <c r="D60" s="2">
        <v>0</v>
      </c>
      <c r="H60" t="s">
        <v>32</v>
      </c>
      <c r="M60" s="2">
        <v>0</v>
      </c>
    </row>
    <row r="62" spans="1:13" ht="12">
      <c r="A62" t="s">
        <v>33</v>
      </c>
      <c r="D62" s="2">
        <v>0</v>
      </c>
      <c r="H62" t="s">
        <v>33</v>
      </c>
      <c r="M62" s="2">
        <v>0</v>
      </c>
    </row>
    <row r="63" spans="1:13" ht="12">
      <c r="A63" t="s">
        <v>34</v>
      </c>
      <c r="D63" s="2">
        <v>0</v>
      </c>
      <c r="H63" t="s">
        <v>34</v>
      </c>
      <c r="M63" s="2">
        <v>0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0</v>
      </c>
      <c r="H65" t="s">
        <v>36</v>
      </c>
      <c r="M65" s="2">
        <v>0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0</v>
      </c>
      <c r="H68" t="s">
        <v>38</v>
      </c>
      <c r="M68" s="2">
        <v>0</v>
      </c>
      <c r="N68" t="str">
        <f>IF(K68=K69*6+K75*2+K76*3+K73,"ok","ERR")</f>
        <v>ok</v>
      </c>
      <c r="P68" t="str">
        <f>IF(M68=M69*6+M75*2+M76*3+M73,"ok","ERR")</f>
        <v>ok</v>
      </c>
    </row>
    <row r="69" spans="1:13" ht="12">
      <c r="A69" t="s">
        <v>39</v>
      </c>
      <c r="D69" s="2">
        <v>0</v>
      </c>
      <c r="H69" t="s">
        <v>39</v>
      </c>
      <c r="M69" s="2">
        <v>0</v>
      </c>
    </row>
    <row r="70" spans="1:13" ht="12">
      <c r="A70" t="s">
        <v>40</v>
      </c>
      <c r="D70" s="2">
        <v>0</v>
      </c>
      <c r="H70" t="s">
        <v>40</v>
      </c>
      <c r="M70" s="2">
        <v>0</v>
      </c>
    </row>
    <row r="71" spans="1:13" ht="12">
      <c r="A71" t="s">
        <v>41</v>
      </c>
      <c r="D71" s="2">
        <v>0</v>
      </c>
      <c r="H71" t="s">
        <v>41</v>
      </c>
      <c r="M71" s="2">
        <v>0</v>
      </c>
    </row>
    <row r="72" spans="1:13" ht="12">
      <c r="A72" t="s">
        <v>42</v>
      </c>
      <c r="D72" s="2">
        <v>0</v>
      </c>
      <c r="H72" t="s">
        <v>42</v>
      </c>
      <c r="M72" s="2">
        <v>0</v>
      </c>
    </row>
    <row r="73" spans="1:13" ht="12">
      <c r="A73" t="s">
        <v>43</v>
      </c>
      <c r="D73" s="2">
        <v>0</v>
      </c>
      <c r="H73" t="s">
        <v>43</v>
      </c>
      <c r="M73" s="2">
        <v>0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0</v>
      </c>
      <c r="H76" t="s">
        <v>45</v>
      </c>
      <c r="M76" s="2">
        <v>0</v>
      </c>
    </row>
    <row r="77" spans="1:13" ht="12">
      <c r="A77" t="s">
        <v>46</v>
      </c>
      <c r="D77" s="2">
        <v>0</v>
      </c>
      <c r="H77" t="s">
        <v>46</v>
      </c>
      <c r="M77" s="2">
        <v>0</v>
      </c>
    </row>
    <row r="78" spans="1:13" ht="12">
      <c r="A78" t="s">
        <v>47</v>
      </c>
      <c r="D78" s="8" t="e">
        <f>+D76/D77*100</f>
        <v>#DIV/0!</v>
      </c>
      <c r="E78" s="7"/>
      <c r="F78" s="7"/>
      <c r="G78" s="7"/>
      <c r="H78" s="7" t="s">
        <v>47</v>
      </c>
      <c r="I78" s="7"/>
      <c r="J78" s="7"/>
      <c r="K78" s="7"/>
      <c r="L78" s="7"/>
      <c r="M78" s="8" t="e">
        <f>+M76/M77*100</f>
        <v>#DIV/0!</v>
      </c>
    </row>
    <row r="79" spans="1:13" ht="12">
      <c r="A79" t="s">
        <v>93</v>
      </c>
      <c r="D79" s="10" t="e">
        <f>IF(V25&lt;10,V29,V28)</f>
        <v>#DIV/0!</v>
      </c>
      <c r="E79" s="8"/>
      <c r="F79" s="8"/>
      <c r="H79" t="s">
        <v>93</v>
      </c>
      <c r="M79" s="10">
        <f>IF(AE25&lt;10,AE29,AE28)</f>
        <v>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5" ht="12">
      <c r="A84" t="s">
        <v>134</v>
      </c>
      <c r="E84" s="12" t="e">
        <f>+D84/C84</f>
        <v>#DIV/0!</v>
      </c>
    </row>
    <row r="85" spans="1:5" ht="12">
      <c r="A85" t="s">
        <v>135</v>
      </c>
      <c r="E85" s="12" t="e">
        <f>+D85/C85</f>
        <v>#DIV/0!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5" ht="12">
      <c r="A87" t="s">
        <v>137</v>
      </c>
      <c r="E87" s="12" t="e">
        <f t="shared" si="0"/>
        <v>#DIV/0!</v>
      </c>
    </row>
    <row r="88" spans="1:5" ht="12">
      <c r="A88" t="s">
        <v>138</v>
      </c>
      <c r="E88" s="12" t="e">
        <f t="shared" si="0"/>
        <v>#DIV/0!</v>
      </c>
    </row>
    <row r="89" spans="1:5" ht="12">
      <c r="A89" t="s">
        <v>139</v>
      </c>
      <c r="E89" s="12" t="e">
        <f t="shared" si="0"/>
        <v>#DIV/0!</v>
      </c>
    </row>
    <row r="90" spans="1:5" ht="12">
      <c r="A90" t="s">
        <v>140</v>
      </c>
      <c r="E90" s="12" t="e">
        <f t="shared" si="0"/>
        <v>#DIV/0!</v>
      </c>
    </row>
    <row r="91" spans="1:5" ht="12">
      <c r="A91" t="s">
        <v>141</v>
      </c>
      <c r="E91" s="12" t="e">
        <f t="shared" si="0"/>
        <v>#DIV/0!</v>
      </c>
    </row>
    <row r="92" spans="1:5" ht="12">
      <c r="A92" t="s">
        <v>142</v>
      </c>
      <c r="E92" s="12" t="e">
        <f t="shared" si="0"/>
        <v>#DIV/0!</v>
      </c>
    </row>
    <row r="93" spans="1:5" ht="12">
      <c r="A93" t="s">
        <v>143</v>
      </c>
      <c r="E93" s="12" t="e">
        <f>+D93/C93</f>
        <v>#DIV/0!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5" ht="12">
      <c r="A101" t="s">
        <v>134</v>
      </c>
      <c r="E101" s="12" t="e">
        <f aca="true" t="shared" si="1" ref="E101:E112">+D101/C101</f>
        <v>#DIV/0!</v>
      </c>
    </row>
    <row r="102" spans="1:5" ht="12">
      <c r="A102" t="s">
        <v>144</v>
      </c>
      <c r="E102" s="12" t="e">
        <f t="shared" si="1"/>
        <v>#DIV/0!</v>
      </c>
    </row>
    <row r="103" spans="1:5" ht="12">
      <c r="A103" t="s">
        <v>136</v>
      </c>
      <c r="E103" s="12" t="e">
        <f t="shared" si="1"/>
        <v>#DIV/0!</v>
      </c>
    </row>
    <row r="104" spans="1:5" ht="12">
      <c r="A104" t="s">
        <v>145</v>
      </c>
      <c r="E104" s="12" t="e">
        <f t="shared" si="1"/>
        <v>#DIV/0!</v>
      </c>
    </row>
    <row r="105" spans="1:5" ht="12">
      <c r="A105" t="s">
        <v>137</v>
      </c>
      <c r="E105" s="12" t="e">
        <f t="shared" si="1"/>
        <v>#DIV/0!</v>
      </c>
    </row>
    <row r="106" spans="1:5" ht="12">
      <c r="A106" t="s">
        <v>138</v>
      </c>
      <c r="E106" s="12" t="e">
        <f t="shared" si="1"/>
        <v>#DIV/0!</v>
      </c>
    </row>
    <row r="107" spans="1:5" ht="12">
      <c r="A107" t="s">
        <v>139</v>
      </c>
      <c r="E107" s="12" t="e">
        <f t="shared" si="1"/>
        <v>#DIV/0!</v>
      </c>
    </row>
    <row r="108" spans="1:5" ht="12">
      <c r="A108" t="s">
        <v>140</v>
      </c>
      <c r="E108" s="12" t="e">
        <f t="shared" si="1"/>
        <v>#DIV/0!</v>
      </c>
    </row>
    <row r="109" spans="1:5" ht="12">
      <c r="A109" t="s">
        <v>141</v>
      </c>
      <c r="E109" s="12" t="e">
        <f t="shared" si="1"/>
        <v>#DIV/0!</v>
      </c>
    </row>
    <row r="110" spans="1:5" ht="12">
      <c r="A110" t="s">
        <v>143</v>
      </c>
      <c r="E110" s="12" t="e">
        <f t="shared" si="1"/>
        <v>#DIV/0!</v>
      </c>
    </row>
    <row r="111" spans="1:5" ht="12">
      <c r="A111" t="s">
        <v>146</v>
      </c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133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E122" s="12" t="e">
        <f t="shared" si="2"/>
        <v>#DIV/0!</v>
      </c>
      <c r="J122" s="8" t="e">
        <f t="shared" si="3"/>
        <v>#DIV/0!</v>
      </c>
      <c r="K122" s="12" t="e">
        <f t="shared" si="4"/>
        <v>#DIV/0!</v>
      </c>
      <c r="L122" s="12" t="e">
        <f t="shared" si="5"/>
        <v>#DIV/0!</v>
      </c>
      <c r="M122" s="12" t="e">
        <f t="shared" si="6"/>
        <v>#DIV/0!</v>
      </c>
      <c r="R122" t="e">
        <f t="shared" si="7"/>
        <v>#DIV/0!</v>
      </c>
      <c r="S122" s="2" t="e">
        <f t="shared" si="8"/>
        <v>#DIV/0!</v>
      </c>
      <c r="T122" s="6" t="e">
        <f t="shared" si="9"/>
        <v>#DIV/0!</v>
      </c>
      <c r="U122" s="2" t="e">
        <f t="shared" si="10"/>
        <v>#DIV/0!</v>
      </c>
      <c r="V122" t="e">
        <f t="shared" si="11"/>
        <v>#DIV/0!</v>
      </c>
      <c r="W122" s="2" t="e">
        <f t="shared" si="12"/>
        <v>#DIV/0!</v>
      </c>
      <c r="X122" t="e">
        <f t="shared" si="13"/>
        <v>#DIV/0!</v>
      </c>
      <c r="Y122" s="2" t="e">
        <f t="shared" si="14"/>
        <v>#DIV/0!</v>
      </c>
    </row>
    <row r="123" spans="1:25" ht="12">
      <c r="A123" t="s">
        <v>147</v>
      </c>
      <c r="E123" s="12" t="e">
        <f t="shared" si="2"/>
        <v>#DIV/0!</v>
      </c>
      <c r="J123" s="8" t="e">
        <f t="shared" si="3"/>
        <v>#DIV/0!</v>
      </c>
      <c r="K123" s="12" t="e">
        <f t="shared" si="4"/>
        <v>#DIV/0!</v>
      </c>
      <c r="L123" s="12" t="e">
        <f t="shared" si="5"/>
        <v>#DIV/0!</v>
      </c>
      <c r="M123" s="12" t="e">
        <f t="shared" si="6"/>
        <v>#DIV/0!</v>
      </c>
      <c r="R123" t="e">
        <f t="shared" si="7"/>
        <v>#DIV/0!</v>
      </c>
      <c r="S123" s="2" t="e">
        <f t="shared" si="8"/>
        <v>#DIV/0!</v>
      </c>
      <c r="T123" s="6" t="e">
        <f t="shared" si="9"/>
        <v>#DIV/0!</v>
      </c>
      <c r="U123" s="2" t="e">
        <f t="shared" si="10"/>
        <v>#DIV/0!</v>
      </c>
      <c r="V123" t="e">
        <f t="shared" si="11"/>
        <v>#DIV/0!</v>
      </c>
      <c r="W123" s="2" t="e">
        <f t="shared" si="12"/>
        <v>#DIV/0!</v>
      </c>
      <c r="X123" t="e">
        <f t="shared" si="13"/>
        <v>#DIV/0!</v>
      </c>
      <c r="Y123" s="2" t="e">
        <f t="shared" si="14"/>
        <v>#DIV/0!</v>
      </c>
    </row>
    <row r="124" spans="1:25" ht="12">
      <c r="A124" t="s">
        <v>142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143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5:25" ht="12"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8" spans="1:9" ht="12">
      <c r="A128" s="2" t="s">
        <v>71</v>
      </c>
      <c r="C128" s="3" t="s">
        <v>72</v>
      </c>
      <c r="D128" s="3" t="s">
        <v>73</v>
      </c>
      <c r="E128" s="3" t="s">
        <v>74</v>
      </c>
      <c r="F128" s="3" t="s">
        <v>53</v>
      </c>
      <c r="G128" s="3" t="s">
        <v>64</v>
      </c>
      <c r="H128" s="3" t="s">
        <v>55</v>
      </c>
      <c r="I128" s="3" t="s">
        <v>84</v>
      </c>
    </row>
    <row r="129" spans="1:6" ht="12">
      <c r="A129" t="s">
        <v>148</v>
      </c>
      <c r="F129" s="12" t="e">
        <f aca="true" t="shared" si="15" ref="F129:F134">+E129/C129</f>
        <v>#DIV/0!</v>
      </c>
    </row>
    <row r="130" spans="1:6" ht="12">
      <c r="A130" t="s">
        <v>136</v>
      </c>
      <c r="F130" s="12" t="e">
        <f t="shared" si="15"/>
        <v>#DIV/0!</v>
      </c>
    </row>
    <row r="131" spans="1:6" ht="12">
      <c r="A131" t="s">
        <v>140</v>
      </c>
      <c r="F131" s="12" t="e">
        <f t="shared" si="15"/>
        <v>#DIV/0!</v>
      </c>
    </row>
    <row r="132" spans="1:6" ht="12">
      <c r="A132" t="s">
        <v>143</v>
      </c>
      <c r="F132" s="12" t="e">
        <f t="shared" si="15"/>
        <v>#DIV/0!</v>
      </c>
    </row>
    <row r="133" ht="12">
      <c r="F133" s="12" t="e">
        <f t="shared" si="15"/>
        <v>#DIV/0!</v>
      </c>
    </row>
    <row r="134" ht="12">
      <c r="F134" s="12" t="e">
        <f t="shared" si="15"/>
        <v>#DIV/0!</v>
      </c>
    </row>
    <row r="138" spans="1:8" ht="12">
      <c r="A138" s="2" t="s">
        <v>30</v>
      </c>
      <c r="C138" s="3" t="s">
        <v>72</v>
      </c>
      <c r="D138" s="3" t="s">
        <v>74</v>
      </c>
      <c r="E138" s="3" t="s">
        <v>53</v>
      </c>
      <c r="F138" s="3" t="s">
        <v>64</v>
      </c>
      <c r="G138" s="3" t="s">
        <v>55</v>
      </c>
      <c r="H138" s="3" t="s">
        <v>84</v>
      </c>
    </row>
    <row r="139" spans="1:5" ht="12">
      <c r="A139" t="s">
        <v>149</v>
      </c>
      <c r="E139" s="12" t="e">
        <f aca="true" t="shared" si="16" ref="E139:E144">+D139/C139</f>
        <v>#DIV/0!</v>
      </c>
    </row>
    <row r="140" spans="1:5" ht="12">
      <c r="A140" t="s">
        <v>148</v>
      </c>
      <c r="E140" s="12" t="e">
        <f t="shared" si="16"/>
        <v>#DIV/0!</v>
      </c>
    </row>
    <row r="141" spans="1:5" ht="12">
      <c r="A141" t="s">
        <v>136</v>
      </c>
      <c r="E141" s="12" t="e">
        <f t="shared" si="16"/>
        <v>#DIV/0!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151</v>
      </c>
      <c r="E143" s="12" t="e">
        <f t="shared" si="16"/>
        <v>#DIV/0!</v>
      </c>
    </row>
    <row r="144" spans="1:5" ht="12">
      <c r="A144" t="s">
        <v>152</v>
      </c>
      <c r="E144" s="12" t="e">
        <f t="shared" si="16"/>
        <v>#DIV/0!</v>
      </c>
    </row>
    <row r="145" spans="1:5" ht="12">
      <c r="A145" t="s">
        <v>138</v>
      </c>
      <c r="E145" s="12" t="e">
        <f aca="true" t="shared" si="17" ref="E145:E151">+D145/C145</f>
        <v>#DIV/0!</v>
      </c>
    </row>
    <row r="146" spans="1:5" ht="12">
      <c r="A146" t="s">
        <v>143</v>
      </c>
      <c r="E146" s="12" t="e">
        <f t="shared" si="17"/>
        <v>#DIV/0!</v>
      </c>
    </row>
    <row r="147" spans="1:5" ht="12">
      <c r="A147" t="s">
        <v>146</v>
      </c>
      <c r="E147" s="12" t="e">
        <f t="shared" si="17"/>
        <v>#DIV/0!</v>
      </c>
    </row>
    <row r="148" spans="1:5" ht="12">
      <c r="A148" t="s">
        <v>153</v>
      </c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3" spans="1:8" ht="12">
      <c r="A153" s="2" t="s">
        <v>75</v>
      </c>
      <c r="C153" s="3" t="s">
        <v>72</v>
      </c>
      <c r="D153" s="3" t="s">
        <v>74</v>
      </c>
      <c r="E153" s="3" t="s">
        <v>53</v>
      </c>
      <c r="F153" s="3" t="s">
        <v>64</v>
      </c>
      <c r="G153" s="3" t="s">
        <v>76</v>
      </c>
      <c r="H153" s="3" t="s">
        <v>84</v>
      </c>
    </row>
    <row r="154" spans="1:5" ht="12">
      <c r="A154" t="s">
        <v>154</v>
      </c>
      <c r="E154" s="12"/>
    </row>
    <row r="160" spans="9:21" ht="12">
      <c r="I160" s="5" t="s">
        <v>67</v>
      </c>
      <c r="L160" s="32" t="s">
        <v>99</v>
      </c>
      <c r="M160" s="32"/>
      <c r="N160" s="32" t="s">
        <v>100</v>
      </c>
      <c r="O160" s="32"/>
      <c r="P160" s="32" t="s">
        <v>101</v>
      </c>
      <c r="Q160" s="32"/>
      <c r="R160" s="32" t="s">
        <v>102</v>
      </c>
      <c r="S160" s="32"/>
      <c r="T160" s="32" t="s">
        <v>103</v>
      </c>
      <c r="U160" s="32"/>
    </row>
    <row r="161" spans="1:21" ht="12">
      <c r="A161" s="4" t="s">
        <v>83</v>
      </c>
      <c r="C161" s="3" t="s">
        <v>77</v>
      </c>
      <c r="D161" s="3" t="s">
        <v>78</v>
      </c>
      <c r="E161" s="3" t="s">
        <v>79</v>
      </c>
      <c r="F161" s="3" t="s">
        <v>80</v>
      </c>
      <c r="G161" s="3" t="s">
        <v>81</v>
      </c>
      <c r="H161" s="3" t="s">
        <v>82</v>
      </c>
      <c r="I161" s="3" t="s">
        <v>86</v>
      </c>
      <c r="J161" s="3" t="s">
        <v>64</v>
      </c>
      <c r="L161" s="3" t="s">
        <v>81</v>
      </c>
      <c r="M161" s="3" t="s">
        <v>82</v>
      </c>
      <c r="N161" s="3" t="s">
        <v>81</v>
      </c>
      <c r="O161" s="3" t="s">
        <v>82</v>
      </c>
      <c r="P161" s="3" t="s">
        <v>81</v>
      </c>
      <c r="Q161" s="3" t="s">
        <v>82</v>
      </c>
      <c r="R161" s="3" t="s">
        <v>81</v>
      </c>
      <c r="S161" s="3" t="s">
        <v>82</v>
      </c>
      <c r="T161" s="3" t="s">
        <v>81</v>
      </c>
      <c r="U161" s="3" t="s">
        <v>82</v>
      </c>
    </row>
    <row r="162" spans="1:9" ht="12">
      <c r="A162" t="s">
        <v>155</v>
      </c>
      <c r="I162" s="12" t="e">
        <f aca="true" t="shared" si="18" ref="I162:I169">+H162/G162*100</f>
        <v>#DIV/0!</v>
      </c>
    </row>
    <row r="163" spans="1:9" ht="12">
      <c r="A163" t="s">
        <v>154</v>
      </c>
      <c r="I163" s="12" t="e">
        <f t="shared" si="18"/>
        <v>#DIV/0!</v>
      </c>
    </row>
    <row r="164" ht="12">
      <c r="I164" s="12" t="e">
        <f t="shared" si="18"/>
        <v>#DIV/0!</v>
      </c>
    </row>
    <row r="165" ht="12">
      <c r="I165" s="12" t="e">
        <f t="shared" si="18"/>
        <v>#DIV/0!</v>
      </c>
    </row>
    <row r="166" ht="12">
      <c r="I166" s="12" t="e">
        <f t="shared" si="18"/>
        <v>#DIV/0!</v>
      </c>
    </row>
    <row r="167" ht="12"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2" spans="1:8" ht="12">
      <c r="A172" s="2" t="s">
        <v>85</v>
      </c>
      <c r="C172" s="3" t="s">
        <v>72</v>
      </c>
      <c r="D172" s="3" t="s">
        <v>74</v>
      </c>
      <c r="E172" s="3" t="s">
        <v>53</v>
      </c>
      <c r="F172" s="3" t="s">
        <v>64</v>
      </c>
      <c r="G172" s="3" t="s">
        <v>55</v>
      </c>
      <c r="H172" s="3" t="s">
        <v>84</v>
      </c>
    </row>
    <row r="173" spans="1:5" ht="12">
      <c r="A173" t="s">
        <v>156</v>
      </c>
      <c r="E173" s="12" t="e">
        <f>+D173/C173</f>
        <v>#DIV/0!</v>
      </c>
    </row>
    <row r="174" spans="1:5" ht="12">
      <c r="A174" t="s">
        <v>149</v>
      </c>
      <c r="E174" s="12" t="e">
        <f aca="true" t="shared" si="19" ref="E174:E180">+D174/C174</f>
        <v>#DIV/0!</v>
      </c>
    </row>
    <row r="175" spans="1:5" ht="12">
      <c r="A175" t="s">
        <v>157</v>
      </c>
      <c r="E175" s="12" t="e">
        <f t="shared" si="19"/>
        <v>#DIV/0!</v>
      </c>
    </row>
    <row r="176" spans="1:5" ht="12">
      <c r="A176" t="s">
        <v>158</v>
      </c>
      <c r="E176" s="12" t="e">
        <f t="shared" si="19"/>
        <v>#DIV/0!</v>
      </c>
    </row>
    <row r="177" spans="1:5" ht="12">
      <c r="A177" t="s">
        <v>159</v>
      </c>
      <c r="E177" s="12" t="e">
        <f t="shared" si="19"/>
        <v>#DIV/0!</v>
      </c>
    </row>
    <row r="178" spans="1:5" ht="12">
      <c r="A178" t="s">
        <v>160</v>
      </c>
      <c r="E178" s="12" t="e">
        <f t="shared" si="19"/>
        <v>#DIV/0!</v>
      </c>
    </row>
    <row r="179" spans="1:5" ht="12">
      <c r="A179" t="s">
        <v>161</v>
      </c>
      <c r="E179" s="12" t="e">
        <f t="shared" si="19"/>
        <v>#DIV/0!</v>
      </c>
    </row>
    <row r="180" spans="1:5" ht="12">
      <c r="A180" t="s">
        <v>147</v>
      </c>
      <c r="E180" s="12" t="e">
        <f t="shared" si="19"/>
        <v>#DIV/0!</v>
      </c>
    </row>
    <row r="181" spans="1:5" ht="12">
      <c r="A181" t="s">
        <v>153</v>
      </c>
      <c r="E181" s="12" t="e">
        <f>+D181/C181</f>
        <v>#DIV/0!</v>
      </c>
    </row>
    <row r="182" spans="1:5" ht="12">
      <c r="A182" t="s">
        <v>162</v>
      </c>
      <c r="E182" s="12" t="e">
        <f>+D182/C182</f>
        <v>#DIV/0!</v>
      </c>
    </row>
    <row r="183" spans="1:5" ht="12">
      <c r="A183" s="1"/>
      <c r="E183" s="12" t="e">
        <f>+D183/C183</f>
        <v>#DIV/0!</v>
      </c>
    </row>
    <row r="184" spans="1:5" ht="12">
      <c r="A184" s="1"/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/>
    </row>
    <row r="187" spans="1:4" ht="12">
      <c r="A187" s="2" t="s">
        <v>98</v>
      </c>
      <c r="C187" s="3" t="s">
        <v>72</v>
      </c>
      <c r="D187" s="3" t="s">
        <v>74</v>
      </c>
    </row>
    <row r="188" spans="1:4" ht="12">
      <c r="A188" s="20" t="s">
        <v>156</v>
      </c>
      <c r="C188" s="3"/>
      <c r="D188" s="3"/>
    </row>
    <row r="189" spans="1:4" ht="12">
      <c r="A189" s="20" t="s">
        <v>157</v>
      </c>
      <c r="C189" s="3"/>
      <c r="D189" s="3"/>
    </row>
    <row r="190" spans="1:4" ht="12">
      <c r="A190" s="20" t="s">
        <v>158</v>
      </c>
      <c r="C190" s="3"/>
      <c r="D190" s="3"/>
    </row>
    <row r="191" spans="1:4" ht="12">
      <c r="A191" s="20" t="s">
        <v>159</v>
      </c>
      <c r="C191" s="3"/>
      <c r="D191" s="3"/>
    </row>
    <row r="192" spans="1:4" ht="12">
      <c r="A192" s="20" t="s">
        <v>163</v>
      </c>
      <c r="C192" s="3"/>
      <c r="D192" s="3"/>
    </row>
    <row r="193" spans="1:4" ht="12">
      <c r="A193" s="20" t="s">
        <v>164</v>
      </c>
      <c r="C193" s="3"/>
      <c r="D193" s="3"/>
    </row>
    <row r="194" spans="1:4" ht="12">
      <c r="A194" s="20" t="s">
        <v>161</v>
      </c>
      <c r="C194" s="3"/>
      <c r="D194" s="3"/>
    </row>
    <row r="195" spans="1:4" ht="12">
      <c r="A195" s="20" t="s">
        <v>165</v>
      </c>
      <c r="C195" s="3"/>
      <c r="D195" s="3"/>
    </row>
    <row r="196" spans="1:4" ht="12">
      <c r="A196" s="20" t="s">
        <v>147</v>
      </c>
      <c r="C196" s="3"/>
      <c r="D196" s="3"/>
    </row>
    <row r="197" spans="1:4" ht="12">
      <c r="A197" s="20" t="s">
        <v>166</v>
      </c>
      <c r="C197" s="3"/>
      <c r="D197" s="3"/>
    </row>
    <row r="198" spans="1:4" ht="12">
      <c r="A198" s="20"/>
      <c r="C198" s="3"/>
      <c r="D198" s="3"/>
    </row>
    <row r="199" spans="1:4" ht="12">
      <c r="A199" s="20"/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"/>
      <c r="C202" s="3"/>
      <c r="D202" s="3"/>
    </row>
    <row r="203" spans="1:4" ht="12">
      <c r="A203" s="2"/>
      <c r="C203" s="3"/>
      <c r="D203" s="3"/>
    </row>
    <row r="204" spans="1:4" ht="12">
      <c r="A204" s="2"/>
      <c r="C204" s="3"/>
      <c r="D204" s="3"/>
    </row>
    <row r="205" spans="1:7" ht="12">
      <c r="A205" s="2" t="s">
        <v>94</v>
      </c>
      <c r="C205" s="3" t="s">
        <v>72</v>
      </c>
      <c r="D205" s="3" t="s">
        <v>74</v>
      </c>
      <c r="E205" s="3" t="s">
        <v>64</v>
      </c>
      <c r="F205" s="3" t="s">
        <v>55</v>
      </c>
      <c r="G205" s="5" t="s">
        <v>84</v>
      </c>
    </row>
    <row r="206" ht="12">
      <c r="A206" t="s">
        <v>167</v>
      </c>
    </row>
    <row r="207" ht="12">
      <c r="A207" t="s">
        <v>156</v>
      </c>
    </row>
    <row r="208" ht="12">
      <c r="A208" t="s">
        <v>149</v>
      </c>
    </row>
    <row r="209" ht="12">
      <c r="A209" t="s">
        <v>157</v>
      </c>
    </row>
    <row r="210" ht="12">
      <c r="A210" t="s">
        <v>133</v>
      </c>
    </row>
    <row r="211" ht="12">
      <c r="A211" t="s">
        <v>134</v>
      </c>
    </row>
    <row r="212" ht="12">
      <c r="A212" t="s">
        <v>158</v>
      </c>
    </row>
    <row r="213" ht="12">
      <c r="A213" t="s">
        <v>168</v>
      </c>
    </row>
    <row r="214" ht="12">
      <c r="A214" t="s">
        <v>135</v>
      </c>
    </row>
    <row r="215" ht="12">
      <c r="A215" t="s">
        <v>159</v>
      </c>
    </row>
    <row r="216" ht="12">
      <c r="A216" t="s">
        <v>169</v>
      </c>
    </row>
    <row r="217" ht="12">
      <c r="A217" t="s">
        <v>144</v>
      </c>
    </row>
    <row r="218" ht="12">
      <c r="A218" t="s">
        <v>148</v>
      </c>
    </row>
    <row r="219" ht="12">
      <c r="A219" t="s">
        <v>163</v>
      </c>
    </row>
    <row r="220" ht="12">
      <c r="A220" t="s">
        <v>160</v>
      </c>
    </row>
    <row r="221" ht="12">
      <c r="A221" t="s">
        <v>136</v>
      </c>
    </row>
    <row r="222" ht="12">
      <c r="A222" t="s">
        <v>170</v>
      </c>
    </row>
    <row r="223" ht="12">
      <c r="A223" t="s">
        <v>154</v>
      </c>
    </row>
    <row r="224" ht="12">
      <c r="A224" t="s">
        <v>150</v>
      </c>
    </row>
    <row r="225" ht="12">
      <c r="A225" t="s">
        <v>171</v>
      </c>
    </row>
    <row r="226" ht="12">
      <c r="A226" t="s">
        <v>164</v>
      </c>
    </row>
    <row r="227" ht="12">
      <c r="A227" t="s">
        <v>145</v>
      </c>
    </row>
    <row r="228" ht="12">
      <c r="A228" t="s">
        <v>137</v>
      </c>
    </row>
    <row r="229" ht="12">
      <c r="A229" t="s">
        <v>151</v>
      </c>
    </row>
    <row r="230" ht="12">
      <c r="A230" t="s">
        <v>152</v>
      </c>
    </row>
    <row r="231" ht="12">
      <c r="A231" t="s">
        <v>138</v>
      </c>
    </row>
    <row r="232" ht="12">
      <c r="A232" t="s">
        <v>139</v>
      </c>
    </row>
    <row r="233" ht="12">
      <c r="A233" t="s">
        <v>161</v>
      </c>
    </row>
    <row r="234" ht="12">
      <c r="A234" t="s">
        <v>172</v>
      </c>
    </row>
    <row r="235" ht="12">
      <c r="A235" t="s">
        <v>140</v>
      </c>
    </row>
    <row r="236" ht="12">
      <c r="A236" t="s">
        <v>165</v>
      </c>
    </row>
    <row r="237" ht="12">
      <c r="A237" t="s">
        <v>155</v>
      </c>
    </row>
    <row r="238" ht="12">
      <c r="A238" t="s">
        <v>147</v>
      </c>
    </row>
    <row r="239" ht="12">
      <c r="A239" t="s">
        <v>173</v>
      </c>
    </row>
    <row r="240" ht="12">
      <c r="A240" t="s">
        <v>141</v>
      </c>
    </row>
    <row r="241" ht="12">
      <c r="A241" t="s">
        <v>174</v>
      </c>
    </row>
    <row r="242" ht="12">
      <c r="A242" t="s">
        <v>166</v>
      </c>
    </row>
    <row r="243" ht="12">
      <c r="A243" t="s">
        <v>175</v>
      </c>
    </row>
    <row r="244" ht="12">
      <c r="A244" t="s">
        <v>176</v>
      </c>
    </row>
    <row r="245" ht="12">
      <c r="A245" t="s">
        <v>142</v>
      </c>
    </row>
    <row r="246" ht="12">
      <c r="A246" t="s">
        <v>177</v>
      </c>
    </row>
    <row r="247" ht="12">
      <c r="A247" t="s">
        <v>143</v>
      </c>
    </row>
    <row r="248" ht="12">
      <c r="A248" t="s">
        <v>178</v>
      </c>
    </row>
    <row r="249" ht="12">
      <c r="A249" t="s">
        <v>179</v>
      </c>
    </row>
    <row r="250" ht="12">
      <c r="A250" t="s">
        <v>146</v>
      </c>
    </row>
    <row r="251" ht="12">
      <c r="A251" t="s">
        <v>153</v>
      </c>
    </row>
    <row r="252" ht="12">
      <c r="A252" t="s">
        <v>162</v>
      </c>
    </row>
    <row r="253" ht="12">
      <c r="A253" t="s">
        <v>180</v>
      </c>
    </row>
  </sheetData>
  <sheetProtection/>
  <mergeCells count="5">
    <mergeCell ref="L160:M160"/>
    <mergeCell ref="N160:O160"/>
    <mergeCell ref="P160:Q160"/>
    <mergeCell ref="R160:S160"/>
    <mergeCell ref="T160:U160"/>
  </mergeCells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253"/>
  <sheetViews>
    <sheetView zoomScale="125" zoomScaleNormal="125" workbookViewId="0" topLeftCell="A1">
      <selection activeCell="N202" sqref="N202"/>
    </sheetView>
  </sheetViews>
  <sheetFormatPr defaultColWidth="11.42187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Chicago Bears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0</v>
      </c>
      <c r="H6" s="1" t="s">
        <v>29</v>
      </c>
      <c r="M6" s="2">
        <v>0</v>
      </c>
    </row>
    <row r="7" spans="1:13" ht="12">
      <c r="A7" s="16" t="s">
        <v>95</v>
      </c>
      <c r="D7" s="2">
        <v>0</v>
      </c>
      <c r="H7" s="16" t="s">
        <v>95</v>
      </c>
      <c r="M7" s="2">
        <v>0</v>
      </c>
    </row>
    <row r="8" spans="1:13" ht="12">
      <c r="A8" s="16" t="s">
        <v>96</v>
      </c>
      <c r="D8" s="2">
        <v>0</v>
      </c>
      <c r="H8" s="16" t="s">
        <v>96</v>
      </c>
      <c r="M8" s="2">
        <v>0</v>
      </c>
    </row>
    <row r="9" spans="1:13" ht="12">
      <c r="A9" s="16" t="s">
        <v>97</v>
      </c>
      <c r="D9" s="2">
        <v>0</v>
      </c>
      <c r="H9" s="16" t="s">
        <v>97</v>
      </c>
      <c r="M9" s="2">
        <v>0</v>
      </c>
    </row>
    <row r="10" spans="1:14" ht="12">
      <c r="A10" s="18" t="s">
        <v>108</v>
      </c>
      <c r="C10">
        <v>0</v>
      </c>
      <c r="D10" s="2">
        <v>0</v>
      </c>
      <c r="E10" s="19" t="e">
        <f>+C10/D10</f>
        <v>#DIV/0!</v>
      </c>
      <c r="H10" s="18" t="s">
        <v>108</v>
      </c>
      <c r="L10">
        <v>0</v>
      </c>
      <c r="M10" s="2">
        <v>0</v>
      </c>
      <c r="N10" s="19" t="e">
        <f>+L10/M10</f>
        <v>#DIV/0!</v>
      </c>
    </row>
    <row r="11" spans="1:14" ht="12">
      <c r="A11" s="18" t="s">
        <v>119</v>
      </c>
      <c r="C11">
        <v>0</v>
      </c>
      <c r="D11" s="2">
        <v>0</v>
      </c>
      <c r="E11" s="19"/>
      <c r="H11" s="18" t="s">
        <v>119</v>
      </c>
      <c r="L11">
        <v>0</v>
      </c>
      <c r="M11" s="2">
        <v>0</v>
      </c>
      <c r="N11" s="19"/>
    </row>
    <row r="13" spans="1:23" ht="12">
      <c r="A13" t="s">
        <v>1</v>
      </c>
      <c r="D13" s="2">
        <v>0</v>
      </c>
      <c r="H13" t="s">
        <v>1</v>
      </c>
      <c r="M13" s="2">
        <v>0</v>
      </c>
      <c r="V13">
        <f>+D13</f>
        <v>0</v>
      </c>
      <c r="W13">
        <f>+M13</f>
        <v>0</v>
      </c>
    </row>
    <row r="14" spans="1:23" ht="12">
      <c r="A14" t="s">
        <v>2</v>
      </c>
      <c r="D14" s="2">
        <v>0</v>
      </c>
      <c r="H14" t="s">
        <v>2</v>
      </c>
      <c r="M14" s="2">
        <v>0</v>
      </c>
      <c r="P14" s="13"/>
      <c r="U14" s="13"/>
      <c r="V14">
        <f>+D18</f>
        <v>0</v>
      </c>
      <c r="W14">
        <f>+M18</f>
        <v>0</v>
      </c>
    </row>
    <row r="15" spans="1:23" ht="12">
      <c r="A15" s="1" t="s">
        <v>3</v>
      </c>
      <c r="D15" s="8" t="e">
        <f>+D14/D13</f>
        <v>#DIV/0!</v>
      </c>
      <c r="H15" s="1" t="s">
        <v>3</v>
      </c>
      <c r="M15" s="8" t="e">
        <f>+M14/M13</f>
        <v>#DIV/0!</v>
      </c>
      <c r="V15">
        <f>+(D17-D18)/2</f>
        <v>0</v>
      </c>
      <c r="W15">
        <f>+(M17-M18)/2</f>
        <v>0</v>
      </c>
    </row>
    <row r="16" spans="22:23" ht="12">
      <c r="V16">
        <f>+D40/2</f>
        <v>0</v>
      </c>
      <c r="W16">
        <f>+M40/2</f>
        <v>0</v>
      </c>
    </row>
    <row r="17" spans="1:23" ht="12">
      <c r="A17" t="s">
        <v>4</v>
      </c>
      <c r="D17" s="2">
        <v>0</v>
      </c>
      <c r="H17" t="s">
        <v>4</v>
      </c>
      <c r="M17" s="2">
        <v>0</v>
      </c>
      <c r="V17">
        <f>+D44/2</f>
        <v>0</v>
      </c>
      <c r="W17">
        <f>+M44/2</f>
        <v>0</v>
      </c>
    </row>
    <row r="18" spans="1:23" ht="12">
      <c r="A18" t="s">
        <v>5</v>
      </c>
      <c r="D18" s="2">
        <v>0</v>
      </c>
      <c r="H18" t="s">
        <v>5</v>
      </c>
      <c r="M18" s="2">
        <v>0</v>
      </c>
      <c r="V18">
        <f>+D50/2</f>
        <v>0</v>
      </c>
      <c r="W18">
        <f>+M50/2</f>
        <v>0</v>
      </c>
    </row>
    <row r="19" spans="1:13" ht="12">
      <c r="A19" t="s">
        <v>6</v>
      </c>
      <c r="D19" s="8" t="e">
        <f>+D18/D17*100</f>
        <v>#DIV/0!</v>
      </c>
      <c r="H19" t="s">
        <v>6</v>
      </c>
      <c r="M19" s="8" t="e">
        <f>+M18/M17*100</f>
        <v>#DIV/0!</v>
      </c>
    </row>
    <row r="20" spans="1:24" ht="12">
      <c r="A20" t="s">
        <v>7</v>
      </c>
      <c r="D20" s="2">
        <v>0</v>
      </c>
      <c r="H20" t="s">
        <v>7</v>
      </c>
      <c r="M20" s="2">
        <v>0</v>
      </c>
      <c r="V20">
        <f>SUM(V13:V18)</f>
        <v>0</v>
      </c>
      <c r="W20">
        <f>SUM(W13:W18)</f>
        <v>0</v>
      </c>
      <c r="X20">
        <f>+W20+V20</f>
        <v>0</v>
      </c>
    </row>
    <row r="21" spans="1:23" ht="12">
      <c r="A21" t="s">
        <v>8</v>
      </c>
      <c r="D21" s="2">
        <v>0</v>
      </c>
      <c r="H21" t="s">
        <v>8</v>
      </c>
      <c r="M21" s="2">
        <v>0</v>
      </c>
      <c r="V21" t="e">
        <f>+V20/X20</f>
        <v>#DIV/0!</v>
      </c>
      <c r="W21" t="e">
        <f>+W20/X20</f>
        <v>#DIV/0!</v>
      </c>
    </row>
    <row r="22" spans="1:23" ht="12">
      <c r="A22" t="s">
        <v>9</v>
      </c>
      <c r="D22" s="2">
        <v>0</v>
      </c>
      <c r="H22" t="s">
        <v>9</v>
      </c>
      <c r="M22" s="2">
        <v>0</v>
      </c>
      <c r="V22" t="e">
        <f>+V21*60</f>
        <v>#DIV/0!</v>
      </c>
      <c r="W22" t="e">
        <f>+W21*60</f>
        <v>#DIV/0!</v>
      </c>
    </row>
    <row r="23" spans="1:23" ht="12">
      <c r="A23" t="s">
        <v>10</v>
      </c>
      <c r="D23">
        <f>+D20-D22</f>
        <v>0</v>
      </c>
      <c r="H23" t="s">
        <v>10</v>
      </c>
      <c r="M23">
        <f>+M20-M22</f>
        <v>0</v>
      </c>
      <c r="V23" t="e">
        <f>+V22-INT(V22)</f>
        <v>#DIV/0!</v>
      </c>
      <c r="W23" t="e">
        <f>+W22-INT(W22)</f>
        <v>#DIV/0!</v>
      </c>
    </row>
    <row r="24" spans="1:23" ht="12">
      <c r="A24" t="s">
        <v>11</v>
      </c>
      <c r="D24" s="7" t="e">
        <f>+D23/(D17+D21)</f>
        <v>#DIV/0!</v>
      </c>
      <c r="H24" t="s">
        <v>11</v>
      </c>
      <c r="M24" s="7" t="e">
        <f>+M23/(M17+M21)</f>
        <v>#DIV/0!</v>
      </c>
      <c r="V24" t="e">
        <f>+V23*60</f>
        <v>#DIV/0!</v>
      </c>
      <c r="W24" t="e">
        <f>+W23*60</f>
        <v>#DIV/0!</v>
      </c>
    </row>
    <row r="25" spans="1:23" ht="12">
      <c r="A25" t="s">
        <v>12</v>
      </c>
      <c r="D25" s="7" t="e">
        <f>+D20/D18</f>
        <v>#DIV/0!</v>
      </c>
      <c r="H25" t="s">
        <v>12</v>
      </c>
      <c r="M25" s="7" t="e">
        <f>+M20/M18</f>
        <v>#DIV/0!</v>
      </c>
      <c r="Q25" s="11"/>
      <c r="U25">
        <v>0</v>
      </c>
      <c r="V25" s="11" t="e">
        <f>ROUND(V24,0)</f>
        <v>#DIV/0!</v>
      </c>
      <c r="W25" t="e">
        <f>ROUND(W24,0)</f>
        <v>#DIV/0!</v>
      </c>
    </row>
    <row r="26" spans="22:23" ht="12">
      <c r="V26" t="e">
        <f>INT(V22)</f>
        <v>#DIV/0!</v>
      </c>
      <c r="W26" t="e">
        <f>INT(W22)</f>
        <v>#DIV/0!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0</v>
      </c>
      <c r="H28" t="s">
        <v>14</v>
      </c>
      <c r="M28">
        <f>+M23+M14</f>
        <v>0</v>
      </c>
      <c r="Q28" s="14"/>
      <c r="R28" s="9"/>
      <c r="V28" s="14" t="e">
        <f>+V26&amp;V27&amp;V25</f>
        <v>#DIV/0!</v>
      </c>
      <c r="W28" s="9" t="e">
        <f>+W26&amp;W27&amp;W25</f>
        <v>#DIV/0!</v>
      </c>
    </row>
    <row r="29" spans="1:23" ht="12">
      <c r="A29" t="s">
        <v>15</v>
      </c>
      <c r="D29" s="7" t="e">
        <f>+D14/D28*100</f>
        <v>#DIV/0!</v>
      </c>
      <c r="H29" t="s">
        <v>15</v>
      </c>
      <c r="M29" s="7" t="e">
        <f>+M14/M28*100</f>
        <v>#DIV/0!</v>
      </c>
      <c r="Q29" s="9"/>
      <c r="R29" s="9"/>
      <c r="V29" s="9" t="e">
        <f>IF(V25&lt;10,+V26&amp;V27&amp;$U$25&amp;V25,+V26&amp;V27&amp;V25)</f>
        <v>#DIV/0!</v>
      </c>
      <c r="W29" s="9" t="e">
        <f>IF(W25&lt;10,+W26&amp;W27&amp;$U$25&amp;W25,+W26&amp;W27&amp;W25)</f>
        <v>#DIV/0!</v>
      </c>
    </row>
    <row r="30" spans="1:16" ht="12">
      <c r="A30" s="1" t="s">
        <v>90</v>
      </c>
      <c r="D30" s="7" t="e">
        <f>+D23/D28*100</f>
        <v>#DIV/0!</v>
      </c>
      <c r="H30" s="1" t="s">
        <v>90</v>
      </c>
      <c r="M30" s="7" t="e">
        <f>+M23/M28*100</f>
        <v>#DIV/0!</v>
      </c>
      <c r="P30" s="13"/>
    </row>
    <row r="32" spans="1:13" ht="12">
      <c r="A32" t="s">
        <v>16</v>
      </c>
      <c r="D32">
        <f>+D13+D17+D21</f>
        <v>0</v>
      </c>
      <c r="H32" t="s">
        <v>16</v>
      </c>
      <c r="M32">
        <f>+M13+M17+M21</f>
        <v>0</v>
      </c>
    </row>
    <row r="33" spans="1:13" ht="12">
      <c r="A33" t="s">
        <v>17</v>
      </c>
      <c r="D33" s="8" t="e">
        <f>+D28/D32</f>
        <v>#DIV/0!</v>
      </c>
      <c r="E33" s="7"/>
      <c r="F33" s="7"/>
      <c r="G33" s="7"/>
      <c r="H33" s="7" t="s">
        <v>17</v>
      </c>
      <c r="I33" s="7"/>
      <c r="J33" s="7"/>
      <c r="K33" s="7"/>
      <c r="L33" s="7"/>
      <c r="M33" s="8" t="e">
        <f>+M28/M32</f>
        <v>#DIV/0!</v>
      </c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0</v>
      </c>
      <c r="H36" t="s">
        <v>19</v>
      </c>
      <c r="M36" s="2">
        <v>0</v>
      </c>
    </row>
    <row r="37" spans="1:13" ht="12">
      <c r="A37" t="s">
        <v>20</v>
      </c>
      <c r="D37" s="2">
        <v>0</v>
      </c>
      <c r="H37" t="s">
        <v>20</v>
      </c>
      <c r="M37" s="2">
        <v>0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0</v>
      </c>
      <c r="H40" t="s">
        <v>22</v>
      </c>
      <c r="M40" s="2">
        <v>0</v>
      </c>
    </row>
    <row r="41" spans="1:13" ht="12">
      <c r="A41" t="s">
        <v>23</v>
      </c>
      <c r="D41" s="2">
        <v>0</v>
      </c>
      <c r="H41" t="s">
        <v>23</v>
      </c>
      <c r="M41" s="2">
        <v>0</v>
      </c>
    </row>
    <row r="42" spans="1:13" ht="12">
      <c r="A42" t="s">
        <v>24</v>
      </c>
      <c r="D42" s="8" t="e">
        <f>+D41/D40</f>
        <v>#DIV/0!</v>
      </c>
      <c r="E42" s="7"/>
      <c r="F42" s="7"/>
      <c r="G42" s="7"/>
      <c r="H42" s="7" t="s">
        <v>24</v>
      </c>
      <c r="I42" s="7"/>
      <c r="J42" s="7"/>
      <c r="K42" s="7"/>
      <c r="L42" s="7"/>
      <c r="M42" s="8" t="e">
        <f>+M41/M40</f>
        <v>#DIV/0!</v>
      </c>
    </row>
    <row r="44" spans="1:13" ht="12">
      <c r="A44" t="s">
        <v>25</v>
      </c>
      <c r="D44" s="2">
        <v>0</v>
      </c>
      <c r="H44" t="s">
        <v>25</v>
      </c>
      <c r="M44" s="2">
        <v>0</v>
      </c>
    </row>
    <row r="45" spans="1:13" ht="12">
      <c r="A45" t="s">
        <v>26</v>
      </c>
      <c r="D45" s="2">
        <v>0</v>
      </c>
      <c r="H45" t="s">
        <v>26</v>
      </c>
      <c r="M45" s="2">
        <v>0</v>
      </c>
    </row>
    <row r="46" spans="1:13" ht="12">
      <c r="A46" t="s">
        <v>27</v>
      </c>
      <c r="D46" s="8" t="e">
        <f>+D45/D44</f>
        <v>#DIV/0!</v>
      </c>
      <c r="H46" t="s">
        <v>27</v>
      </c>
      <c r="M46" s="8" t="e">
        <f>+M45/M44</f>
        <v>#DIV/0!</v>
      </c>
    </row>
    <row r="47" spans="1:13" ht="12">
      <c r="A47" s="18" t="s">
        <v>131</v>
      </c>
      <c r="D47" s="2">
        <v>0</v>
      </c>
      <c r="H47" s="18" t="s">
        <v>131</v>
      </c>
      <c r="M47" s="2">
        <v>0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0</v>
      </c>
      <c r="H50" t="s">
        <v>30</v>
      </c>
      <c r="M50" s="2">
        <v>0</v>
      </c>
    </row>
    <row r="51" spans="1:13" ht="12">
      <c r="A51" t="s">
        <v>26</v>
      </c>
      <c r="D51" s="2">
        <v>0</v>
      </c>
      <c r="H51" t="s">
        <v>26</v>
      </c>
      <c r="M51" s="2">
        <v>0</v>
      </c>
    </row>
    <row r="52" spans="1:13" ht="12">
      <c r="A52" t="s">
        <v>27</v>
      </c>
      <c r="D52" s="8" t="e">
        <f>+D51/D50</f>
        <v>#DIV/0!</v>
      </c>
      <c r="H52" t="s">
        <v>27</v>
      </c>
      <c r="M52" s="8" t="e">
        <f>+M51/M50</f>
        <v>#DIV/0!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0</v>
      </c>
      <c r="G55" t="str">
        <f>IF(D55-D56=M50,"ok","err")</f>
        <v>ok</v>
      </c>
      <c r="H55" t="s">
        <v>127</v>
      </c>
      <c r="K55" s="2"/>
      <c r="M55" s="2">
        <v>0</v>
      </c>
      <c r="P55" s="2"/>
    </row>
    <row r="56" spans="1:16" ht="12">
      <c r="A56" t="s">
        <v>128</v>
      </c>
      <c r="D56" s="2">
        <v>0</v>
      </c>
      <c r="H56" t="s">
        <v>128</v>
      </c>
      <c r="K56" s="2"/>
      <c r="M56" s="2">
        <v>0</v>
      </c>
      <c r="P56" s="2"/>
    </row>
    <row r="57" spans="1:13" ht="12">
      <c r="A57" t="s">
        <v>129</v>
      </c>
      <c r="D57" t="e">
        <f>+D56/D55</f>
        <v>#DIV/0!</v>
      </c>
      <c r="H57" t="s">
        <v>129</v>
      </c>
      <c r="M57" t="e">
        <f>+M56/M55</f>
        <v>#DIV/0!</v>
      </c>
    </row>
    <row r="59" spans="1:13" ht="12">
      <c r="A59" t="s">
        <v>31</v>
      </c>
      <c r="D59" s="2">
        <v>0</v>
      </c>
      <c r="H59" t="s">
        <v>31</v>
      </c>
      <c r="M59" s="2">
        <v>0</v>
      </c>
    </row>
    <row r="60" spans="1:13" ht="12">
      <c r="A60" t="s">
        <v>32</v>
      </c>
      <c r="D60" s="2">
        <v>0</v>
      </c>
      <c r="H60" t="s">
        <v>32</v>
      </c>
      <c r="M60" s="2">
        <v>0</v>
      </c>
    </row>
    <row r="62" spans="1:13" ht="12">
      <c r="A62" t="s">
        <v>33</v>
      </c>
      <c r="D62" s="2">
        <v>0</v>
      </c>
      <c r="H62" t="s">
        <v>33</v>
      </c>
      <c r="M62" s="2">
        <v>0</v>
      </c>
    </row>
    <row r="63" spans="1:13" ht="12">
      <c r="A63" t="s">
        <v>34</v>
      </c>
      <c r="D63" s="2">
        <v>0</v>
      </c>
      <c r="H63" t="s">
        <v>34</v>
      </c>
      <c r="M63" s="2">
        <v>0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0</v>
      </c>
      <c r="H65" t="s">
        <v>36</v>
      </c>
      <c r="M65" s="2">
        <v>0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0</v>
      </c>
      <c r="H68" t="s">
        <v>38</v>
      </c>
      <c r="M68" s="2">
        <v>0</v>
      </c>
      <c r="N68" t="str">
        <f>IF(K68=K69*6+K75*2+K76*3+K73,"ok","ERR")</f>
        <v>ok</v>
      </c>
      <c r="P68" t="str">
        <f>IF(M68=M69*6+M75*2+M76*3+M73,"ok","ERR")</f>
        <v>ok</v>
      </c>
    </row>
    <row r="69" spans="1:13" ht="12">
      <c r="A69" t="s">
        <v>39</v>
      </c>
      <c r="D69" s="2">
        <v>0</v>
      </c>
      <c r="H69" t="s">
        <v>39</v>
      </c>
      <c r="M69" s="2">
        <v>0</v>
      </c>
    </row>
    <row r="70" spans="1:13" ht="12">
      <c r="A70" t="s">
        <v>40</v>
      </c>
      <c r="D70" s="2">
        <v>0</v>
      </c>
      <c r="H70" t="s">
        <v>40</v>
      </c>
      <c r="M70" s="2">
        <v>0</v>
      </c>
    </row>
    <row r="71" spans="1:13" ht="12">
      <c r="A71" t="s">
        <v>41</v>
      </c>
      <c r="D71" s="2">
        <v>0</v>
      </c>
      <c r="H71" t="s">
        <v>41</v>
      </c>
      <c r="M71" s="2">
        <v>0</v>
      </c>
    </row>
    <row r="72" spans="1:13" ht="12">
      <c r="A72" t="s">
        <v>42</v>
      </c>
      <c r="D72" s="2">
        <v>0</v>
      </c>
      <c r="H72" t="s">
        <v>42</v>
      </c>
      <c r="M72" s="2">
        <v>0</v>
      </c>
    </row>
    <row r="73" spans="1:13" ht="12">
      <c r="A73" t="s">
        <v>43</v>
      </c>
      <c r="D73" s="2">
        <v>0</v>
      </c>
      <c r="H73" t="s">
        <v>43</v>
      </c>
      <c r="M73" s="2">
        <v>0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0</v>
      </c>
      <c r="H76" t="s">
        <v>45</v>
      </c>
      <c r="M76" s="2">
        <v>0</v>
      </c>
    </row>
    <row r="77" spans="1:13" ht="12">
      <c r="A77" t="s">
        <v>46</v>
      </c>
      <c r="D77" s="2">
        <v>0</v>
      </c>
      <c r="H77" t="s">
        <v>46</v>
      </c>
      <c r="M77" s="2">
        <v>0</v>
      </c>
    </row>
    <row r="78" spans="1:13" ht="12">
      <c r="A78" t="s">
        <v>47</v>
      </c>
      <c r="D78" s="8" t="e">
        <f>+D76/D77*100</f>
        <v>#DIV/0!</v>
      </c>
      <c r="E78" s="7"/>
      <c r="F78" s="7"/>
      <c r="G78" s="7"/>
      <c r="H78" s="7" t="s">
        <v>47</v>
      </c>
      <c r="I78" s="7"/>
      <c r="J78" s="7"/>
      <c r="K78" s="7"/>
      <c r="L78" s="7"/>
      <c r="M78" s="8" t="e">
        <f>+M76/M77*100</f>
        <v>#DIV/0!</v>
      </c>
    </row>
    <row r="79" spans="1:13" ht="12">
      <c r="A79" t="s">
        <v>93</v>
      </c>
      <c r="D79" s="10" t="e">
        <f>IF(V25&lt;10,V29,V28)</f>
        <v>#DIV/0!</v>
      </c>
      <c r="E79" s="8"/>
      <c r="F79" s="8"/>
      <c r="H79" t="s">
        <v>93</v>
      </c>
      <c r="M79" s="10">
        <f>IF(AE25&lt;10,AE29,AE28)</f>
        <v>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5" ht="12">
      <c r="A84" t="s">
        <v>134</v>
      </c>
      <c r="E84" s="12" t="e">
        <f>+D84/C84</f>
        <v>#DIV/0!</v>
      </c>
    </row>
    <row r="85" spans="1:5" ht="12">
      <c r="A85" t="s">
        <v>135</v>
      </c>
      <c r="E85" s="12" t="e">
        <f>+D85/C85</f>
        <v>#DIV/0!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5" ht="12">
      <c r="A87" t="s">
        <v>137</v>
      </c>
      <c r="E87" s="12" t="e">
        <f t="shared" si="0"/>
        <v>#DIV/0!</v>
      </c>
    </row>
    <row r="88" spans="1:5" ht="12">
      <c r="A88" t="s">
        <v>138</v>
      </c>
      <c r="E88" s="12" t="e">
        <f t="shared" si="0"/>
        <v>#DIV/0!</v>
      </c>
    </row>
    <row r="89" spans="1:5" ht="12">
      <c r="A89" t="s">
        <v>139</v>
      </c>
      <c r="E89" s="12" t="e">
        <f t="shared" si="0"/>
        <v>#DIV/0!</v>
      </c>
    </row>
    <row r="90" spans="1:5" ht="12">
      <c r="A90" t="s">
        <v>140</v>
      </c>
      <c r="E90" s="12" t="e">
        <f t="shared" si="0"/>
        <v>#DIV/0!</v>
      </c>
    </row>
    <row r="91" spans="1:5" ht="12">
      <c r="A91" t="s">
        <v>141</v>
      </c>
      <c r="E91" s="12" t="e">
        <f t="shared" si="0"/>
        <v>#DIV/0!</v>
      </c>
    </row>
    <row r="92" spans="1:5" ht="12">
      <c r="A92" t="s">
        <v>142</v>
      </c>
      <c r="E92" s="12" t="e">
        <f t="shared" si="0"/>
        <v>#DIV/0!</v>
      </c>
    </row>
    <row r="93" spans="1:5" ht="12">
      <c r="A93" t="s">
        <v>143</v>
      </c>
      <c r="E93" s="12" t="e">
        <f>+D93/C93</f>
        <v>#DIV/0!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5" ht="12">
      <c r="A101" t="s">
        <v>134</v>
      </c>
      <c r="E101" s="12" t="e">
        <f aca="true" t="shared" si="1" ref="E101:E112">+D101/C101</f>
        <v>#DIV/0!</v>
      </c>
    </row>
    <row r="102" spans="1:5" ht="12">
      <c r="A102" t="s">
        <v>144</v>
      </c>
      <c r="E102" s="12" t="e">
        <f t="shared" si="1"/>
        <v>#DIV/0!</v>
      </c>
    </row>
    <row r="103" spans="1:5" ht="12">
      <c r="A103" t="s">
        <v>136</v>
      </c>
      <c r="E103" s="12" t="e">
        <f t="shared" si="1"/>
        <v>#DIV/0!</v>
      </c>
    </row>
    <row r="104" spans="1:5" ht="12">
      <c r="A104" t="s">
        <v>145</v>
      </c>
      <c r="E104" s="12" t="e">
        <f t="shared" si="1"/>
        <v>#DIV/0!</v>
      </c>
    </row>
    <row r="105" spans="1:5" ht="12">
      <c r="A105" t="s">
        <v>137</v>
      </c>
      <c r="E105" s="12" t="e">
        <f t="shared" si="1"/>
        <v>#DIV/0!</v>
      </c>
    </row>
    <row r="106" spans="1:5" ht="12">
      <c r="A106" t="s">
        <v>138</v>
      </c>
      <c r="E106" s="12" t="e">
        <f t="shared" si="1"/>
        <v>#DIV/0!</v>
      </c>
    </row>
    <row r="107" spans="1:5" ht="12">
      <c r="A107" t="s">
        <v>139</v>
      </c>
      <c r="E107" s="12" t="e">
        <f t="shared" si="1"/>
        <v>#DIV/0!</v>
      </c>
    </row>
    <row r="108" spans="1:5" ht="12">
      <c r="A108" t="s">
        <v>140</v>
      </c>
      <c r="E108" s="12" t="e">
        <f t="shared" si="1"/>
        <v>#DIV/0!</v>
      </c>
    </row>
    <row r="109" spans="1:5" ht="12">
      <c r="A109" t="s">
        <v>141</v>
      </c>
      <c r="E109" s="12" t="e">
        <f t="shared" si="1"/>
        <v>#DIV/0!</v>
      </c>
    </row>
    <row r="110" spans="1:5" ht="12">
      <c r="A110" t="s">
        <v>143</v>
      </c>
      <c r="E110" s="12" t="e">
        <f t="shared" si="1"/>
        <v>#DIV/0!</v>
      </c>
    </row>
    <row r="111" spans="1:5" ht="12">
      <c r="A111" t="s">
        <v>146</v>
      </c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133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E122" s="12" t="e">
        <f t="shared" si="2"/>
        <v>#DIV/0!</v>
      </c>
      <c r="J122" s="8" t="e">
        <f t="shared" si="3"/>
        <v>#DIV/0!</v>
      </c>
      <c r="K122" s="12" t="e">
        <f t="shared" si="4"/>
        <v>#DIV/0!</v>
      </c>
      <c r="L122" s="12" t="e">
        <f t="shared" si="5"/>
        <v>#DIV/0!</v>
      </c>
      <c r="M122" s="12" t="e">
        <f t="shared" si="6"/>
        <v>#DIV/0!</v>
      </c>
      <c r="R122" t="e">
        <f t="shared" si="7"/>
        <v>#DIV/0!</v>
      </c>
      <c r="S122" s="2" t="e">
        <f t="shared" si="8"/>
        <v>#DIV/0!</v>
      </c>
      <c r="T122" s="6" t="e">
        <f t="shared" si="9"/>
        <v>#DIV/0!</v>
      </c>
      <c r="U122" s="2" t="e">
        <f t="shared" si="10"/>
        <v>#DIV/0!</v>
      </c>
      <c r="V122" t="e">
        <f t="shared" si="11"/>
        <v>#DIV/0!</v>
      </c>
      <c r="W122" s="2" t="e">
        <f t="shared" si="12"/>
        <v>#DIV/0!</v>
      </c>
      <c r="X122" t="e">
        <f t="shared" si="13"/>
        <v>#DIV/0!</v>
      </c>
      <c r="Y122" s="2" t="e">
        <f t="shared" si="14"/>
        <v>#DIV/0!</v>
      </c>
    </row>
    <row r="123" spans="1:25" ht="12">
      <c r="A123" t="s">
        <v>147</v>
      </c>
      <c r="E123" s="12" t="e">
        <f t="shared" si="2"/>
        <v>#DIV/0!</v>
      </c>
      <c r="J123" s="8" t="e">
        <f t="shared" si="3"/>
        <v>#DIV/0!</v>
      </c>
      <c r="K123" s="12" t="e">
        <f t="shared" si="4"/>
        <v>#DIV/0!</v>
      </c>
      <c r="L123" s="12" t="e">
        <f t="shared" si="5"/>
        <v>#DIV/0!</v>
      </c>
      <c r="M123" s="12" t="e">
        <f t="shared" si="6"/>
        <v>#DIV/0!</v>
      </c>
      <c r="R123" t="e">
        <f t="shared" si="7"/>
        <v>#DIV/0!</v>
      </c>
      <c r="S123" s="2" t="e">
        <f t="shared" si="8"/>
        <v>#DIV/0!</v>
      </c>
      <c r="T123" s="6" t="e">
        <f t="shared" si="9"/>
        <v>#DIV/0!</v>
      </c>
      <c r="U123" s="2" t="e">
        <f t="shared" si="10"/>
        <v>#DIV/0!</v>
      </c>
      <c r="V123" t="e">
        <f t="shared" si="11"/>
        <v>#DIV/0!</v>
      </c>
      <c r="W123" s="2" t="e">
        <f t="shared" si="12"/>
        <v>#DIV/0!</v>
      </c>
      <c r="X123" t="e">
        <f t="shared" si="13"/>
        <v>#DIV/0!</v>
      </c>
      <c r="Y123" s="2" t="e">
        <f t="shared" si="14"/>
        <v>#DIV/0!</v>
      </c>
    </row>
    <row r="124" spans="1:25" ht="12">
      <c r="A124" t="s">
        <v>142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143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5:25" ht="12"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8" spans="1:9" ht="12">
      <c r="A128" s="2" t="s">
        <v>71</v>
      </c>
      <c r="C128" s="3" t="s">
        <v>72</v>
      </c>
      <c r="D128" s="3" t="s">
        <v>73</v>
      </c>
      <c r="E128" s="3" t="s">
        <v>74</v>
      </c>
      <c r="F128" s="3" t="s">
        <v>53</v>
      </c>
      <c r="G128" s="3" t="s">
        <v>64</v>
      </c>
      <c r="H128" s="3" t="s">
        <v>55</v>
      </c>
      <c r="I128" s="3" t="s">
        <v>84</v>
      </c>
    </row>
    <row r="129" spans="1:6" ht="12">
      <c r="A129" t="s">
        <v>148</v>
      </c>
      <c r="F129" s="12" t="e">
        <f aca="true" t="shared" si="15" ref="F129:F134">+E129/C129</f>
        <v>#DIV/0!</v>
      </c>
    </row>
    <row r="130" spans="1:6" ht="12">
      <c r="A130" t="s">
        <v>136</v>
      </c>
      <c r="F130" s="12" t="e">
        <f t="shared" si="15"/>
        <v>#DIV/0!</v>
      </c>
    </row>
    <row r="131" spans="1:6" ht="12">
      <c r="A131" t="s">
        <v>140</v>
      </c>
      <c r="F131" s="12" t="e">
        <f t="shared" si="15"/>
        <v>#DIV/0!</v>
      </c>
    </row>
    <row r="132" spans="1:6" ht="12">
      <c r="A132" t="s">
        <v>143</v>
      </c>
      <c r="F132" s="12" t="e">
        <f t="shared" si="15"/>
        <v>#DIV/0!</v>
      </c>
    </row>
    <row r="133" ht="12">
      <c r="F133" s="12" t="e">
        <f t="shared" si="15"/>
        <v>#DIV/0!</v>
      </c>
    </row>
    <row r="134" ht="12">
      <c r="F134" s="12" t="e">
        <f t="shared" si="15"/>
        <v>#DIV/0!</v>
      </c>
    </row>
    <row r="138" spans="1:8" ht="12">
      <c r="A138" s="2" t="s">
        <v>30</v>
      </c>
      <c r="C138" s="3" t="s">
        <v>72</v>
      </c>
      <c r="D138" s="3" t="s">
        <v>74</v>
      </c>
      <c r="E138" s="3" t="s">
        <v>53</v>
      </c>
      <c r="F138" s="3" t="s">
        <v>64</v>
      </c>
      <c r="G138" s="3" t="s">
        <v>55</v>
      </c>
      <c r="H138" s="3" t="s">
        <v>84</v>
      </c>
    </row>
    <row r="139" spans="1:5" ht="12">
      <c r="A139" t="s">
        <v>149</v>
      </c>
      <c r="E139" s="12" t="e">
        <f aca="true" t="shared" si="16" ref="E139:E144">+D139/C139</f>
        <v>#DIV/0!</v>
      </c>
    </row>
    <row r="140" spans="1:5" ht="12">
      <c r="A140" t="s">
        <v>148</v>
      </c>
      <c r="E140" s="12" t="e">
        <f t="shared" si="16"/>
        <v>#DIV/0!</v>
      </c>
    </row>
    <row r="141" spans="1:5" ht="12">
      <c r="A141" t="s">
        <v>136</v>
      </c>
      <c r="E141" s="12" t="e">
        <f t="shared" si="16"/>
        <v>#DIV/0!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151</v>
      </c>
      <c r="E143" s="12" t="e">
        <f t="shared" si="16"/>
        <v>#DIV/0!</v>
      </c>
    </row>
    <row r="144" spans="1:5" ht="12">
      <c r="A144" t="s">
        <v>152</v>
      </c>
      <c r="E144" s="12" t="e">
        <f t="shared" si="16"/>
        <v>#DIV/0!</v>
      </c>
    </row>
    <row r="145" spans="1:5" ht="12">
      <c r="A145" t="s">
        <v>138</v>
      </c>
      <c r="E145" s="12" t="e">
        <f aca="true" t="shared" si="17" ref="E145:E151">+D145/C145</f>
        <v>#DIV/0!</v>
      </c>
    </row>
    <row r="146" spans="1:5" ht="12">
      <c r="A146" t="s">
        <v>143</v>
      </c>
      <c r="E146" s="12" t="e">
        <f t="shared" si="17"/>
        <v>#DIV/0!</v>
      </c>
    </row>
    <row r="147" spans="1:5" ht="12">
      <c r="A147" t="s">
        <v>146</v>
      </c>
      <c r="E147" s="12" t="e">
        <f t="shared" si="17"/>
        <v>#DIV/0!</v>
      </c>
    </row>
    <row r="148" spans="1:5" ht="12">
      <c r="A148" t="s">
        <v>153</v>
      </c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3" spans="1:8" ht="12">
      <c r="A153" s="2" t="s">
        <v>75</v>
      </c>
      <c r="C153" s="3" t="s">
        <v>72</v>
      </c>
      <c r="D153" s="3" t="s">
        <v>74</v>
      </c>
      <c r="E153" s="3" t="s">
        <v>53</v>
      </c>
      <c r="F153" s="3" t="s">
        <v>64</v>
      </c>
      <c r="G153" s="3" t="s">
        <v>76</v>
      </c>
      <c r="H153" s="3" t="s">
        <v>84</v>
      </c>
    </row>
    <row r="154" spans="1:5" ht="12">
      <c r="A154" t="s">
        <v>154</v>
      </c>
      <c r="E154" s="12"/>
    </row>
    <row r="160" spans="9:21" ht="12">
      <c r="I160" s="5" t="s">
        <v>67</v>
      </c>
      <c r="L160" s="32" t="s">
        <v>99</v>
      </c>
      <c r="M160" s="32"/>
      <c r="N160" s="32" t="s">
        <v>100</v>
      </c>
      <c r="O160" s="32"/>
      <c r="P160" s="32" t="s">
        <v>101</v>
      </c>
      <c r="Q160" s="32"/>
      <c r="R160" s="32" t="s">
        <v>102</v>
      </c>
      <c r="S160" s="32"/>
      <c r="T160" s="32" t="s">
        <v>103</v>
      </c>
      <c r="U160" s="32"/>
    </row>
    <row r="161" spans="1:21" ht="12">
      <c r="A161" s="4" t="s">
        <v>83</v>
      </c>
      <c r="C161" s="3" t="s">
        <v>77</v>
      </c>
      <c r="D161" s="3" t="s">
        <v>78</v>
      </c>
      <c r="E161" s="3" t="s">
        <v>79</v>
      </c>
      <c r="F161" s="3" t="s">
        <v>80</v>
      </c>
      <c r="G161" s="3" t="s">
        <v>81</v>
      </c>
      <c r="H161" s="3" t="s">
        <v>82</v>
      </c>
      <c r="I161" s="3" t="s">
        <v>86</v>
      </c>
      <c r="J161" s="3" t="s">
        <v>64</v>
      </c>
      <c r="L161" s="3" t="s">
        <v>81</v>
      </c>
      <c r="M161" s="3" t="s">
        <v>82</v>
      </c>
      <c r="N161" s="3" t="s">
        <v>81</v>
      </c>
      <c r="O161" s="3" t="s">
        <v>82</v>
      </c>
      <c r="P161" s="3" t="s">
        <v>81</v>
      </c>
      <c r="Q161" s="3" t="s">
        <v>82</v>
      </c>
      <c r="R161" s="3" t="s">
        <v>81</v>
      </c>
      <c r="S161" s="3" t="s">
        <v>82</v>
      </c>
      <c r="T161" s="3" t="s">
        <v>81</v>
      </c>
      <c r="U161" s="3" t="s">
        <v>82</v>
      </c>
    </row>
    <row r="162" spans="1:9" ht="12">
      <c r="A162" t="s">
        <v>155</v>
      </c>
      <c r="I162" s="12" t="e">
        <f aca="true" t="shared" si="18" ref="I162:I169">+H162/G162*100</f>
        <v>#DIV/0!</v>
      </c>
    </row>
    <row r="163" spans="1:9" ht="12">
      <c r="A163" t="s">
        <v>154</v>
      </c>
      <c r="I163" s="12" t="e">
        <f t="shared" si="18"/>
        <v>#DIV/0!</v>
      </c>
    </row>
    <row r="164" ht="12">
      <c r="I164" s="12" t="e">
        <f t="shared" si="18"/>
        <v>#DIV/0!</v>
      </c>
    </row>
    <row r="165" ht="12">
      <c r="I165" s="12" t="e">
        <f t="shared" si="18"/>
        <v>#DIV/0!</v>
      </c>
    </row>
    <row r="166" ht="12">
      <c r="I166" s="12" t="e">
        <f t="shared" si="18"/>
        <v>#DIV/0!</v>
      </c>
    </row>
    <row r="167" ht="12"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2" spans="1:8" ht="12">
      <c r="A172" s="2" t="s">
        <v>85</v>
      </c>
      <c r="C172" s="3" t="s">
        <v>72</v>
      </c>
      <c r="D172" s="3" t="s">
        <v>74</v>
      </c>
      <c r="E172" s="3" t="s">
        <v>53</v>
      </c>
      <c r="F172" s="3" t="s">
        <v>64</v>
      </c>
      <c r="G172" s="3" t="s">
        <v>55</v>
      </c>
      <c r="H172" s="3" t="s">
        <v>84</v>
      </c>
    </row>
    <row r="173" spans="1:5" ht="12">
      <c r="A173" t="s">
        <v>156</v>
      </c>
      <c r="E173" s="12" t="e">
        <f>+D173/C173</f>
        <v>#DIV/0!</v>
      </c>
    </row>
    <row r="174" spans="1:5" ht="12">
      <c r="A174" t="s">
        <v>149</v>
      </c>
      <c r="E174" s="12" t="e">
        <f aca="true" t="shared" si="19" ref="E174:E180">+D174/C174</f>
        <v>#DIV/0!</v>
      </c>
    </row>
    <row r="175" spans="1:5" ht="12">
      <c r="A175" t="s">
        <v>157</v>
      </c>
      <c r="E175" s="12" t="e">
        <f t="shared" si="19"/>
        <v>#DIV/0!</v>
      </c>
    </row>
    <row r="176" spans="1:5" ht="12">
      <c r="A176" t="s">
        <v>158</v>
      </c>
      <c r="E176" s="12" t="e">
        <f t="shared" si="19"/>
        <v>#DIV/0!</v>
      </c>
    </row>
    <row r="177" spans="1:5" ht="12">
      <c r="A177" t="s">
        <v>159</v>
      </c>
      <c r="E177" s="12" t="e">
        <f t="shared" si="19"/>
        <v>#DIV/0!</v>
      </c>
    </row>
    <row r="178" spans="1:5" ht="12">
      <c r="A178" t="s">
        <v>160</v>
      </c>
      <c r="E178" s="12" t="e">
        <f t="shared" si="19"/>
        <v>#DIV/0!</v>
      </c>
    </row>
    <row r="179" spans="1:5" ht="12">
      <c r="A179" t="s">
        <v>161</v>
      </c>
      <c r="E179" s="12" t="e">
        <f t="shared" si="19"/>
        <v>#DIV/0!</v>
      </c>
    </row>
    <row r="180" spans="1:5" ht="12">
      <c r="A180" t="s">
        <v>147</v>
      </c>
      <c r="E180" s="12" t="e">
        <f t="shared" si="19"/>
        <v>#DIV/0!</v>
      </c>
    </row>
    <row r="181" spans="1:5" ht="12">
      <c r="A181" t="s">
        <v>153</v>
      </c>
      <c r="E181" s="12" t="e">
        <f>+D181/C181</f>
        <v>#DIV/0!</v>
      </c>
    </row>
    <row r="182" spans="1:5" ht="12">
      <c r="A182" t="s">
        <v>162</v>
      </c>
      <c r="E182" s="12" t="e">
        <f>+D182/C182</f>
        <v>#DIV/0!</v>
      </c>
    </row>
    <row r="183" spans="1:5" ht="12">
      <c r="A183" s="1"/>
      <c r="E183" s="12" t="e">
        <f>+D183/C183</f>
        <v>#DIV/0!</v>
      </c>
    </row>
    <row r="184" spans="1:5" ht="12">
      <c r="A184" s="1"/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/>
    </row>
    <row r="187" spans="1:4" ht="12">
      <c r="A187" s="2" t="s">
        <v>98</v>
      </c>
      <c r="C187" s="3" t="s">
        <v>72</v>
      </c>
      <c r="D187" s="3" t="s">
        <v>74</v>
      </c>
    </row>
    <row r="188" spans="1:4" ht="12">
      <c r="A188" s="20" t="s">
        <v>156</v>
      </c>
      <c r="C188" s="3"/>
      <c r="D188" s="3"/>
    </row>
    <row r="189" spans="1:4" ht="12">
      <c r="A189" s="20" t="s">
        <v>157</v>
      </c>
      <c r="C189" s="3"/>
      <c r="D189" s="3"/>
    </row>
    <row r="190" spans="1:4" ht="12">
      <c r="A190" s="20" t="s">
        <v>158</v>
      </c>
      <c r="C190" s="3"/>
      <c r="D190" s="3"/>
    </row>
    <row r="191" spans="1:4" ht="12">
      <c r="A191" s="20" t="s">
        <v>159</v>
      </c>
      <c r="C191" s="3"/>
      <c r="D191" s="3"/>
    </row>
    <row r="192" spans="1:4" ht="12">
      <c r="A192" s="20" t="s">
        <v>163</v>
      </c>
      <c r="C192" s="3"/>
      <c r="D192" s="3"/>
    </row>
    <row r="193" spans="1:4" ht="12">
      <c r="A193" s="20" t="s">
        <v>164</v>
      </c>
      <c r="C193" s="3"/>
      <c r="D193" s="3"/>
    </row>
    <row r="194" spans="1:4" ht="12">
      <c r="A194" s="20" t="s">
        <v>161</v>
      </c>
      <c r="C194" s="3"/>
      <c r="D194" s="3"/>
    </row>
    <row r="195" spans="1:4" ht="12">
      <c r="A195" s="20" t="s">
        <v>165</v>
      </c>
      <c r="C195" s="3"/>
      <c r="D195" s="3"/>
    </row>
    <row r="196" spans="1:4" ht="12">
      <c r="A196" s="20" t="s">
        <v>147</v>
      </c>
      <c r="C196" s="3"/>
      <c r="D196" s="3"/>
    </row>
    <row r="197" spans="1:4" ht="12">
      <c r="A197" s="20" t="s">
        <v>166</v>
      </c>
      <c r="C197" s="3"/>
      <c r="D197" s="3"/>
    </row>
    <row r="198" spans="1:4" ht="12">
      <c r="A198" s="20"/>
      <c r="C198" s="3"/>
      <c r="D198" s="3"/>
    </row>
    <row r="199" spans="1:4" ht="12">
      <c r="A199" s="20"/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"/>
      <c r="C202" s="3"/>
      <c r="D202" s="3"/>
    </row>
    <row r="203" spans="1:4" ht="12">
      <c r="A203" s="2"/>
      <c r="C203" s="3"/>
      <c r="D203" s="3"/>
    </row>
    <row r="204" spans="1:4" ht="12">
      <c r="A204" s="2"/>
      <c r="C204" s="3"/>
      <c r="D204" s="3"/>
    </row>
    <row r="205" spans="1:7" ht="12">
      <c r="A205" s="2" t="s">
        <v>94</v>
      </c>
      <c r="C205" s="3" t="s">
        <v>72</v>
      </c>
      <c r="D205" s="3" t="s">
        <v>74</v>
      </c>
      <c r="E205" s="3" t="s">
        <v>64</v>
      </c>
      <c r="F205" s="3" t="s">
        <v>55</v>
      </c>
      <c r="G205" s="5" t="s">
        <v>84</v>
      </c>
    </row>
    <row r="206" ht="12">
      <c r="A206" t="s">
        <v>167</v>
      </c>
    </row>
    <row r="207" ht="12">
      <c r="A207" t="s">
        <v>156</v>
      </c>
    </row>
    <row r="208" ht="12">
      <c r="A208" t="s">
        <v>149</v>
      </c>
    </row>
    <row r="209" ht="12">
      <c r="A209" t="s">
        <v>157</v>
      </c>
    </row>
    <row r="210" ht="12">
      <c r="A210" t="s">
        <v>133</v>
      </c>
    </row>
    <row r="211" ht="12">
      <c r="A211" t="s">
        <v>134</v>
      </c>
    </row>
    <row r="212" ht="12">
      <c r="A212" t="s">
        <v>158</v>
      </c>
    </row>
    <row r="213" ht="12">
      <c r="A213" t="s">
        <v>168</v>
      </c>
    </row>
    <row r="214" ht="12">
      <c r="A214" t="s">
        <v>135</v>
      </c>
    </row>
    <row r="215" ht="12">
      <c r="A215" t="s">
        <v>159</v>
      </c>
    </row>
    <row r="216" ht="12">
      <c r="A216" t="s">
        <v>169</v>
      </c>
    </row>
    <row r="217" ht="12">
      <c r="A217" t="s">
        <v>144</v>
      </c>
    </row>
    <row r="218" ht="12">
      <c r="A218" t="s">
        <v>148</v>
      </c>
    </row>
    <row r="219" ht="12">
      <c r="A219" t="s">
        <v>163</v>
      </c>
    </row>
    <row r="220" ht="12">
      <c r="A220" t="s">
        <v>160</v>
      </c>
    </row>
    <row r="221" ht="12">
      <c r="A221" t="s">
        <v>136</v>
      </c>
    </row>
    <row r="222" ht="12">
      <c r="A222" t="s">
        <v>170</v>
      </c>
    </row>
    <row r="223" ht="12">
      <c r="A223" t="s">
        <v>154</v>
      </c>
    </row>
    <row r="224" ht="12">
      <c r="A224" t="s">
        <v>150</v>
      </c>
    </row>
    <row r="225" ht="12">
      <c r="A225" t="s">
        <v>171</v>
      </c>
    </row>
    <row r="226" ht="12">
      <c r="A226" t="s">
        <v>164</v>
      </c>
    </row>
    <row r="227" ht="12">
      <c r="A227" t="s">
        <v>145</v>
      </c>
    </row>
    <row r="228" ht="12">
      <c r="A228" t="s">
        <v>137</v>
      </c>
    </row>
    <row r="229" ht="12">
      <c r="A229" t="s">
        <v>151</v>
      </c>
    </row>
    <row r="230" ht="12">
      <c r="A230" t="s">
        <v>152</v>
      </c>
    </row>
    <row r="231" ht="12">
      <c r="A231" t="s">
        <v>138</v>
      </c>
    </row>
    <row r="232" ht="12">
      <c r="A232" t="s">
        <v>139</v>
      </c>
    </row>
    <row r="233" ht="12">
      <c r="A233" t="s">
        <v>161</v>
      </c>
    </row>
    <row r="234" ht="12">
      <c r="A234" t="s">
        <v>172</v>
      </c>
    </row>
    <row r="235" ht="12">
      <c r="A235" t="s">
        <v>140</v>
      </c>
    </row>
    <row r="236" ht="12">
      <c r="A236" t="s">
        <v>165</v>
      </c>
    </row>
    <row r="237" ht="12">
      <c r="A237" t="s">
        <v>155</v>
      </c>
    </row>
    <row r="238" ht="12">
      <c r="A238" t="s">
        <v>147</v>
      </c>
    </row>
    <row r="239" ht="12">
      <c r="A239" t="s">
        <v>173</v>
      </c>
    </row>
    <row r="240" ht="12">
      <c r="A240" t="s">
        <v>141</v>
      </c>
    </row>
    <row r="241" ht="12">
      <c r="A241" t="s">
        <v>174</v>
      </c>
    </row>
    <row r="242" ht="12">
      <c r="A242" t="s">
        <v>166</v>
      </c>
    </row>
    <row r="243" ht="12">
      <c r="A243" t="s">
        <v>175</v>
      </c>
    </row>
    <row r="244" ht="12">
      <c r="A244" t="s">
        <v>176</v>
      </c>
    </row>
    <row r="245" ht="12">
      <c r="A245" t="s">
        <v>142</v>
      </c>
    </row>
    <row r="246" ht="12">
      <c r="A246" t="s">
        <v>177</v>
      </c>
    </row>
    <row r="247" ht="12">
      <c r="A247" t="s">
        <v>143</v>
      </c>
    </row>
    <row r="248" ht="12">
      <c r="A248" t="s">
        <v>178</v>
      </c>
    </row>
    <row r="249" ht="12">
      <c r="A249" t="s">
        <v>179</v>
      </c>
    </row>
    <row r="250" ht="12">
      <c r="A250" t="s">
        <v>146</v>
      </c>
    </row>
    <row r="251" ht="12">
      <c r="A251" t="s">
        <v>153</v>
      </c>
    </row>
    <row r="252" ht="12">
      <c r="A252" t="s">
        <v>162</v>
      </c>
    </row>
    <row r="253" ht="12">
      <c r="A253" t="s">
        <v>180</v>
      </c>
    </row>
  </sheetData>
  <sheetProtection/>
  <mergeCells count="5">
    <mergeCell ref="L160:M160"/>
    <mergeCell ref="N160:O160"/>
    <mergeCell ref="P160:Q160"/>
    <mergeCell ref="R160:S160"/>
    <mergeCell ref="T160:U160"/>
  </mergeCells>
  <printOptions/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253"/>
  <sheetViews>
    <sheetView zoomScale="125" zoomScaleNormal="125" workbookViewId="0" topLeftCell="A1">
      <selection activeCell="N202" sqref="N202"/>
    </sheetView>
  </sheetViews>
  <sheetFormatPr defaultColWidth="11.42187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Chicago Bears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0</v>
      </c>
      <c r="H6" s="1" t="s">
        <v>29</v>
      </c>
      <c r="M6" s="2">
        <v>0</v>
      </c>
    </row>
    <row r="7" spans="1:13" ht="12">
      <c r="A7" s="16" t="s">
        <v>95</v>
      </c>
      <c r="D7" s="2">
        <v>0</v>
      </c>
      <c r="H7" s="16" t="s">
        <v>95</v>
      </c>
      <c r="M7" s="2">
        <v>0</v>
      </c>
    </row>
    <row r="8" spans="1:13" ht="12">
      <c r="A8" s="16" t="s">
        <v>96</v>
      </c>
      <c r="D8" s="2">
        <v>0</v>
      </c>
      <c r="H8" s="16" t="s">
        <v>96</v>
      </c>
      <c r="M8" s="2">
        <v>0</v>
      </c>
    </row>
    <row r="9" spans="1:13" ht="12">
      <c r="A9" s="16" t="s">
        <v>97</v>
      </c>
      <c r="D9" s="2">
        <v>0</v>
      </c>
      <c r="H9" s="16" t="s">
        <v>97</v>
      </c>
      <c r="M9" s="2">
        <v>0</v>
      </c>
    </row>
    <row r="10" spans="1:14" ht="12">
      <c r="A10" s="18" t="s">
        <v>108</v>
      </c>
      <c r="C10">
        <v>0</v>
      </c>
      <c r="D10" s="2">
        <v>0</v>
      </c>
      <c r="E10" s="19" t="e">
        <f>+C10/D10</f>
        <v>#DIV/0!</v>
      </c>
      <c r="H10" s="18" t="s">
        <v>108</v>
      </c>
      <c r="L10">
        <v>0</v>
      </c>
      <c r="M10" s="2">
        <v>0</v>
      </c>
      <c r="N10" s="19" t="e">
        <f>+L10/M10</f>
        <v>#DIV/0!</v>
      </c>
    </row>
    <row r="11" spans="1:14" ht="12">
      <c r="A11" s="18" t="s">
        <v>119</v>
      </c>
      <c r="C11">
        <v>0</v>
      </c>
      <c r="D11" s="2">
        <v>0</v>
      </c>
      <c r="E11" s="19"/>
      <c r="H11" s="18" t="s">
        <v>119</v>
      </c>
      <c r="L11">
        <v>0</v>
      </c>
      <c r="M11" s="2">
        <v>0</v>
      </c>
      <c r="N11" s="19"/>
    </row>
    <row r="13" spans="1:23" ht="12">
      <c r="A13" t="s">
        <v>1</v>
      </c>
      <c r="D13" s="2">
        <v>0</v>
      </c>
      <c r="H13" t="s">
        <v>1</v>
      </c>
      <c r="M13" s="2">
        <v>0</v>
      </c>
      <c r="V13">
        <f>+D13</f>
        <v>0</v>
      </c>
      <c r="W13">
        <f>+M13</f>
        <v>0</v>
      </c>
    </row>
    <row r="14" spans="1:23" ht="12">
      <c r="A14" t="s">
        <v>2</v>
      </c>
      <c r="D14" s="2">
        <v>0</v>
      </c>
      <c r="H14" t="s">
        <v>2</v>
      </c>
      <c r="M14" s="2">
        <v>0</v>
      </c>
      <c r="P14" s="13"/>
      <c r="U14" s="13"/>
      <c r="V14">
        <f>+D18</f>
        <v>0</v>
      </c>
      <c r="W14">
        <f>+M18</f>
        <v>0</v>
      </c>
    </row>
    <row r="15" spans="1:23" ht="12">
      <c r="A15" s="1" t="s">
        <v>3</v>
      </c>
      <c r="D15" s="8" t="e">
        <f>+D14/D13</f>
        <v>#DIV/0!</v>
      </c>
      <c r="H15" s="1" t="s">
        <v>3</v>
      </c>
      <c r="M15" s="8" t="e">
        <f>+M14/M13</f>
        <v>#DIV/0!</v>
      </c>
      <c r="V15">
        <f>+(D17-D18)/2</f>
        <v>0</v>
      </c>
      <c r="W15">
        <f>+(M17-M18)/2</f>
        <v>0</v>
      </c>
    </row>
    <row r="16" spans="22:23" ht="12">
      <c r="V16">
        <f>+D40/2</f>
        <v>0</v>
      </c>
      <c r="W16">
        <f>+M40/2</f>
        <v>0</v>
      </c>
    </row>
    <row r="17" spans="1:23" ht="12">
      <c r="A17" t="s">
        <v>4</v>
      </c>
      <c r="D17" s="2">
        <v>0</v>
      </c>
      <c r="H17" t="s">
        <v>4</v>
      </c>
      <c r="M17" s="2">
        <v>0</v>
      </c>
      <c r="V17">
        <f>+D44/2</f>
        <v>0</v>
      </c>
      <c r="W17">
        <f>+M44/2</f>
        <v>0</v>
      </c>
    </row>
    <row r="18" spans="1:23" ht="12">
      <c r="A18" t="s">
        <v>5</v>
      </c>
      <c r="D18" s="2">
        <v>0</v>
      </c>
      <c r="H18" t="s">
        <v>5</v>
      </c>
      <c r="M18" s="2">
        <v>0</v>
      </c>
      <c r="V18">
        <f>+D50/2</f>
        <v>0</v>
      </c>
      <c r="W18">
        <f>+M50/2</f>
        <v>0</v>
      </c>
    </row>
    <row r="19" spans="1:13" ht="12">
      <c r="A19" t="s">
        <v>6</v>
      </c>
      <c r="D19" s="8" t="e">
        <f>+D18/D17*100</f>
        <v>#DIV/0!</v>
      </c>
      <c r="H19" t="s">
        <v>6</v>
      </c>
      <c r="M19" s="8" t="e">
        <f>+M18/M17*100</f>
        <v>#DIV/0!</v>
      </c>
    </row>
    <row r="20" spans="1:24" ht="12">
      <c r="A20" t="s">
        <v>7</v>
      </c>
      <c r="D20" s="2">
        <v>0</v>
      </c>
      <c r="H20" t="s">
        <v>7</v>
      </c>
      <c r="M20" s="2">
        <v>0</v>
      </c>
      <c r="V20">
        <f>SUM(V13:V18)</f>
        <v>0</v>
      </c>
      <c r="W20">
        <f>SUM(W13:W18)</f>
        <v>0</v>
      </c>
      <c r="X20">
        <f>+W20+V20</f>
        <v>0</v>
      </c>
    </row>
    <row r="21" spans="1:23" ht="12">
      <c r="A21" t="s">
        <v>8</v>
      </c>
      <c r="D21" s="2">
        <v>0</v>
      </c>
      <c r="H21" t="s">
        <v>8</v>
      </c>
      <c r="M21" s="2">
        <v>0</v>
      </c>
      <c r="V21" t="e">
        <f>+V20/X20</f>
        <v>#DIV/0!</v>
      </c>
      <c r="W21" t="e">
        <f>+W20/X20</f>
        <v>#DIV/0!</v>
      </c>
    </row>
    <row r="22" spans="1:23" ht="12">
      <c r="A22" t="s">
        <v>9</v>
      </c>
      <c r="D22" s="2">
        <v>0</v>
      </c>
      <c r="H22" t="s">
        <v>9</v>
      </c>
      <c r="M22" s="2">
        <v>0</v>
      </c>
      <c r="V22" t="e">
        <f>+V21*60</f>
        <v>#DIV/0!</v>
      </c>
      <c r="W22" t="e">
        <f>+W21*60</f>
        <v>#DIV/0!</v>
      </c>
    </row>
    <row r="23" spans="1:23" ht="12">
      <c r="A23" t="s">
        <v>10</v>
      </c>
      <c r="D23">
        <f>+D20-D22</f>
        <v>0</v>
      </c>
      <c r="H23" t="s">
        <v>10</v>
      </c>
      <c r="M23">
        <f>+M20-M22</f>
        <v>0</v>
      </c>
      <c r="V23" t="e">
        <f>+V22-INT(V22)</f>
        <v>#DIV/0!</v>
      </c>
      <c r="W23" t="e">
        <f>+W22-INT(W22)</f>
        <v>#DIV/0!</v>
      </c>
    </row>
    <row r="24" spans="1:23" ht="12">
      <c r="A24" t="s">
        <v>11</v>
      </c>
      <c r="D24" s="7" t="e">
        <f>+D23/(D17+D21)</f>
        <v>#DIV/0!</v>
      </c>
      <c r="H24" t="s">
        <v>11</v>
      </c>
      <c r="M24" s="7" t="e">
        <f>+M23/(M17+M21)</f>
        <v>#DIV/0!</v>
      </c>
      <c r="V24" t="e">
        <f>+V23*60</f>
        <v>#DIV/0!</v>
      </c>
      <c r="W24" t="e">
        <f>+W23*60</f>
        <v>#DIV/0!</v>
      </c>
    </row>
    <row r="25" spans="1:23" ht="12">
      <c r="A25" t="s">
        <v>12</v>
      </c>
      <c r="D25" s="7" t="e">
        <f>+D20/D18</f>
        <v>#DIV/0!</v>
      </c>
      <c r="H25" t="s">
        <v>12</v>
      </c>
      <c r="M25" s="7" t="e">
        <f>+M20/M18</f>
        <v>#DIV/0!</v>
      </c>
      <c r="Q25" s="11"/>
      <c r="U25">
        <v>0</v>
      </c>
      <c r="V25" s="11" t="e">
        <f>ROUND(V24,0)</f>
        <v>#DIV/0!</v>
      </c>
      <c r="W25" t="e">
        <f>ROUND(W24,0)</f>
        <v>#DIV/0!</v>
      </c>
    </row>
    <row r="26" spans="22:23" ht="12">
      <c r="V26" t="e">
        <f>INT(V22)</f>
        <v>#DIV/0!</v>
      </c>
      <c r="W26" t="e">
        <f>INT(W22)</f>
        <v>#DIV/0!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0</v>
      </c>
      <c r="H28" t="s">
        <v>14</v>
      </c>
      <c r="M28">
        <f>+M23+M14</f>
        <v>0</v>
      </c>
      <c r="Q28" s="14"/>
      <c r="R28" s="9"/>
      <c r="V28" s="14" t="e">
        <f>+V26&amp;V27&amp;V25</f>
        <v>#DIV/0!</v>
      </c>
      <c r="W28" s="9" t="e">
        <f>+W26&amp;W27&amp;W25</f>
        <v>#DIV/0!</v>
      </c>
    </row>
    <row r="29" spans="1:23" ht="12">
      <c r="A29" t="s">
        <v>15</v>
      </c>
      <c r="D29" s="7" t="e">
        <f>+D14/D28*100</f>
        <v>#DIV/0!</v>
      </c>
      <c r="H29" t="s">
        <v>15</v>
      </c>
      <c r="M29" s="7" t="e">
        <f>+M14/M28*100</f>
        <v>#DIV/0!</v>
      </c>
      <c r="Q29" s="9"/>
      <c r="R29" s="9"/>
      <c r="V29" s="9" t="e">
        <f>IF(V25&lt;10,+V26&amp;V27&amp;$U$25&amp;V25,+V26&amp;V27&amp;V25)</f>
        <v>#DIV/0!</v>
      </c>
      <c r="W29" s="9" t="e">
        <f>IF(W25&lt;10,+W26&amp;W27&amp;$U$25&amp;W25,+W26&amp;W27&amp;W25)</f>
        <v>#DIV/0!</v>
      </c>
    </row>
    <row r="30" spans="1:16" ht="12">
      <c r="A30" s="1" t="s">
        <v>90</v>
      </c>
      <c r="D30" s="7" t="e">
        <f>+D23/D28*100</f>
        <v>#DIV/0!</v>
      </c>
      <c r="H30" s="1" t="s">
        <v>90</v>
      </c>
      <c r="M30" s="7" t="e">
        <f>+M23/M28*100</f>
        <v>#DIV/0!</v>
      </c>
      <c r="P30" s="13"/>
    </row>
    <row r="32" spans="1:13" ht="12">
      <c r="A32" t="s">
        <v>16</v>
      </c>
      <c r="D32">
        <f>+D13+D17+D21</f>
        <v>0</v>
      </c>
      <c r="H32" t="s">
        <v>16</v>
      </c>
      <c r="M32">
        <f>+M13+M17+M21</f>
        <v>0</v>
      </c>
    </row>
    <row r="33" spans="1:13" ht="12">
      <c r="A33" t="s">
        <v>17</v>
      </c>
      <c r="D33" s="8" t="e">
        <f>+D28/D32</f>
        <v>#DIV/0!</v>
      </c>
      <c r="E33" s="7"/>
      <c r="F33" s="7"/>
      <c r="G33" s="7"/>
      <c r="H33" s="7" t="s">
        <v>17</v>
      </c>
      <c r="I33" s="7"/>
      <c r="J33" s="7"/>
      <c r="K33" s="7"/>
      <c r="L33" s="7"/>
      <c r="M33" s="8" t="e">
        <f>+M28/M32</f>
        <v>#DIV/0!</v>
      </c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0</v>
      </c>
      <c r="H36" t="s">
        <v>19</v>
      </c>
      <c r="M36" s="2">
        <v>0</v>
      </c>
    </row>
    <row r="37" spans="1:13" ht="12">
      <c r="A37" t="s">
        <v>20</v>
      </c>
      <c r="D37" s="2">
        <v>0</v>
      </c>
      <c r="H37" t="s">
        <v>20</v>
      </c>
      <c r="M37" s="2">
        <v>0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0</v>
      </c>
      <c r="H40" t="s">
        <v>22</v>
      </c>
      <c r="M40" s="2">
        <v>0</v>
      </c>
    </row>
    <row r="41" spans="1:13" ht="12">
      <c r="A41" t="s">
        <v>23</v>
      </c>
      <c r="D41" s="2">
        <v>0</v>
      </c>
      <c r="H41" t="s">
        <v>23</v>
      </c>
      <c r="M41" s="2">
        <v>0</v>
      </c>
    </row>
    <row r="42" spans="1:13" ht="12">
      <c r="A42" t="s">
        <v>24</v>
      </c>
      <c r="D42" s="8" t="e">
        <f>+D41/D40</f>
        <v>#DIV/0!</v>
      </c>
      <c r="E42" s="7"/>
      <c r="F42" s="7"/>
      <c r="G42" s="7"/>
      <c r="H42" s="7" t="s">
        <v>24</v>
      </c>
      <c r="I42" s="7"/>
      <c r="J42" s="7"/>
      <c r="K42" s="7"/>
      <c r="L42" s="7"/>
      <c r="M42" s="8" t="e">
        <f>+M41/M40</f>
        <v>#DIV/0!</v>
      </c>
    </row>
    <row r="44" spans="1:13" ht="12">
      <c r="A44" t="s">
        <v>25</v>
      </c>
      <c r="D44" s="2">
        <v>0</v>
      </c>
      <c r="H44" t="s">
        <v>25</v>
      </c>
      <c r="M44" s="2">
        <v>0</v>
      </c>
    </row>
    <row r="45" spans="1:13" ht="12">
      <c r="A45" t="s">
        <v>26</v>
      </c>
      <c r="D45" s="2">
        <v>0</v>
      </c>
      <c r="H45" t="s">
        <v>26</v>
      </c>
      <c r="M45" s="2">
        <v>0</v>
      </c>
    </row>
    <row r="46" spans="1:13" ht="12">
      <c r="A46" t="s">
        <v>27</v>
      </c>
      <c r="D46" s="8" t="e">
        <f>+D45/D44</f>
        <v>#DIV/0!</v>
      </c>
      <c r="H46" t="s">
        <v>27</v>
      </c>
      <c r="M46" s="8" t="e">
        <f>+M45/M44</f>
        <v>#DIV/0!</v>
      </c>
    </row>
    <row r="47" spans="1:13" ht="12">
      <c r="A47" s="18" t="s">
        <v>131</v>
      </c>
      <c r="D47" s="2">
        <v>0</v>
      </c>
      <c r="H47" s="18" t="s">
        <v>131</v>
      </c>
      <c r="M47" s="2">
        <v>0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0</v>
      </c>
      <c r="H50" t="s">
        <v>30</v>
      </c>
      <c r="M50" s="2">
        <v>0</v>
      </c>
    </row>
    <row r="51" spans="1:13" ht="12">
      <c r="A51" t="s">
        <v>26</v>
      </c>
      <c r="D51" s="2">
        <v>0</v>
      </c>
      <c r="H51" t="s">
        <v>26</v>
      </c>
      <c r="M51" s="2">
        <v>0</v>
      </c>
    </row>
    <row r="52" spans="1:13" ht="12">
      <c r="A52" t="s">
        <v>27</v>
      </c>
      <c r="D52" s="8" t="e">
        <f>+D51/D50</f>
        <v>#DIV/0!</v>
      </c>
      <c r="H52" t="s">
        <v>27</v>
      </c>
      <c r="M52" s="8" t="e">
        <f>+M51/M50</f>
        <v>#DIV/0!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0</v>
      </c>
      <c r="G55" t="str">
        <f>IF(D55-D56=M50,"ok","err")</f>
        <v>ok</v>
      </c>
      <c r="H55" t="s">
        <v>127</v>
      </c>
      <c r="K55" s="2"/>
      <c r="M55" s="2">
        <v>0</v>
      </c>
      <c r="P55" s="2"/>
    </row>
    <row r="56" spans="1:16" ht="12">
      <c r="A56" t="s">
        <v>128</v>
      </c>
      <c r="D56" s="2">
        <v>0</v>
      </c>
      <c r="H56" t="s">
        <v>128</v>
      </c>
      <c r="K56" s="2"/>
      <c r="M56" s="2">
        <v>0</v>
      </c>
      <c r="P56" s="2"/>
    </row>
    <row r="57" spans="1:13" ht="12">
      <c r="A57" t="s">
        <v>129</v>
      </c>
      <c r="D57" t="e">
        <f>+D56/D55</f>
        <v>#DIV/0!</v>
      </c>
      <c r="H57" t="s">
        <v>129</v>
      </c>
      <c r="M57" t="e">
        <f>+M56/M55</f>
        <v>#DIV/0!</v>
      </c>
    </row>
    <row r="59" spans="1:13" ht="12">
      <c r="A59" t="s">
        <v>31</v>
      </c>
      <c r="D59" s="2">
        <v>0</v>
      </c>
      <c r="H59" t="s">
        <v>31</v>
      </c>
      <c r="M59" s="2">
        <v>0</v>
      </c>
    </row>
    <row r="60" spans="1:13" ht="12">
      <c r="A60" t="s">
        <v>32</v>
      </c>
      <c r="D60" s="2">
        <v>0</v>
      </c>
      <c r="H60" t="s">
        <v>32</v>
      </c>
      <c r="M60" s="2">
        <v>0</v>
      </c>
    </row>
    <row r="62" spans="1:13" ht="12">
      <c r="A62" t="s">
        <v>33</v>
      </c>
      <c r="D62" s="2">
        <v>0</v>
      </c>
      <c r="H62" t="s">
        <v>33</v>
      </c>
      <c r="M62" s="2">
        <v>0</v>
      </c>
    </row>
    <row r="63" spans="1:13" ht="12">
      <c r="A63" t="s">
        <v>34</v>
      </c>
      <c r="D63" s="2">
        <v>0</v>
      </c>
      <c r="H63" t="s">
        <v>34</v>
      </c>
      <c r="M63" s="2">
        <v>0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0</v>
      </c>
      <c r="H65" t="s">
        <v>36</v>
      </c>
      <c r="M65" s="2">
        <v>0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0</v>
      </c>
      <c r="H68" t="s">
        <v>38</v>
      </c>
      <c r="M68" s="2">
        <v>0</v>
      </c>
      <c r="N68" t="str">
        <f>IF(K68=K69*6+K75*2+K76*3+K73,"ok","ERR")</f>
        <v>ok</v>
      </c>
      <c r="P68" t="str">
        <f>IF(M68=M69*6+M75*2+M76*3+M73,"ok","ERR")</f>
        <v>ok</v>
      </c>
    </row>
    <row r="69" spans="1:13" ht="12">
      <c r="A69" t="s">
        <v>39</v>
      </c>
      <c r="D69" s="2">
        <v>0</v>
      </c>
      <c r="H69" t="s">
        <v>39</v>
      </c>
      <c r="M69" s="2">
        <v>0</v>
      </c>
    </row>
    <row r="70" spans="1:13" ht="12">
      <c r="A70" t="s">
        <v>40</v>
      </c>
      <c r="D70" s="2">
        <v>0</v>
      </c>
      <c r="H70" t="s">
        <v>40</v>
      </c>
      <c r="M70" s="2">
        <v>0</v>
      </c>
    </row>
    <row r="71" spans="1:13" ht="12">
      <c r="A71" t="s">
        <v>41</v>
      </c>
      <c r="D71" s="2">
        <v>0</v>
      </c>
      <c r="H71" t="s">
        <v>41</v>
      </c>
      <c r="M71" s="2">
        <v>0</v>
      </c>
    </row>
    <row r="72" spans="1:13" ht="12">
      <c r="A72" t="s">
        <v>42</v>
      </c>
      <c r="D72" s="2">
        <v>0</v>
      </c>
      <c r="H72" t="s">
        <v>42</v>
      </c>
      <c r="M72" s="2">
        <v>0</v>
      </c>
    </row>
    <row r="73" spans="1:13" ht="12">
      <c r="A73" t="s">
        <v>43</v>
      </c>
      <c r="D73" s="2">
        <v>0</v>
      </c>
      <c r="H73" t="s">
        <v>43</v>
      </c>
      <c r="M73" s="2">
        <v>0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0</v>
      </c>
      <c r="H76" t="s">
        <v>45</v>
      </c>
      <c r="M76" s="2">
        <v>0</v>
      </c>
    </row>
    <row r="77" spans="1:13" ht="12">
      <c r="A77" t="s">
        <v>46</v>
      </c>
      <c r="D77" s="2">
        <v>0</v>
      </c>
      <c r="H77" t="s">
        <v>46</v>
      </c>
      <c r="M77" s="2">
        <v>0</v>
      </c>
    </row>
    <row r="78" spans="1:13" ht="12">
      <c r="A78" t="s">
        <v>47</v>
      </c>
      <c r="D78" s="8" t="e">
        <f>+D76/D77*100</f>
        <v>#DIV/0!</v>
      </c>
      <c r="E78" s="7"/>
      <c r="F78" s="7"/>
      <c r="G78" s="7"/>
      <c r="H78" s="7" t="s">
        <v>47</v>
      </c>
      <c r="I78" s="7"/>
      <c r="J78" s="7"/>
      <c r="K78" s="7"/>
      <c r="L78" s="7"/>
      <c r="M78" s="8" t="e">
        <f>+M76/M77*100</f>
        <v>#DIV/0!</v>
      </c>
    </row>
    <row r="79" spans="1:13" ht="12">
      <c r="A79" t="s">
        <v>93</v>
      </c>
      <c r="D79" s="10" t="e">
        <f>IF(V25&lt;10,V29,V28)</f>
        <v>#DIV/0!</v>
      </c>
      <c r="E79" s="8"/>
      <c r="F79" s="8"/>
      <c r="H79" t="s">
        <v>93</v>
      </c>
      <c r="M79" s="10">
        <f>IF(AE25&lt;10,AE29,AE28)</f>
        <v>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5" ht="12">
      <c r="A84" t="s">
        <v>134</v>
      </c>
      <c r="E84" s="12" t="e">
        <f>+D84/C84</f>
        <v>#DIV/0!</v>
      </c>
    </row>
    <row r="85" spans="1:5" ht="12">
      <c r="A85" t="s">
        <v>135</v>
      </c>
      <c r="E85" s="12" t="e">
        <f>+D85/C85</f>
        <v>#DIV/0!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5" ht="12">
      <c r="A87" t="s">
        <v>137</v>
      </c>
      <c r="E87" s="12" t="e">
        <f t="shared" si="0"/>
        <v>#DIV/0!</v>
      </c>
    </row>
    <row r="88" spans="1:5" ht="12">
      <c r="A88" t="s">
        <v>138</v>
      </c>
      <c r="E88" s="12" t="e">
        <f t="shared" si="0"/>
        <v>#DIV/0!</v>
      </c>
    </row>
    <row r="89" spans="1:5" ht="12">
      <c r="A89" t="s">
        <v>139</v>
      </c>
      <c r="E89" s="12" t="e">
        <f t="shared" si="0"/>
        <v>#DIV/0!</v>
      </c>
    </row>
    <row r="90" spans="1:5" ht="12">
      <c r="A90" t="s">
        <v>140</v>
      </c>
      <c r="E90" s="12" t="e">
        <f t="shared" si="0"/>
        <v>#DIV/0!</v>
      </c>
    </row>
    <row r="91" spans="1:5" ht="12">
      <c r="A91" t="s">
        <v>141</v>
      </c>
      <c r="E91" s="12" t="e">
        <f t="shared" si="0"/>
        <v>#DIV/0!</v>
      </c>
    </row>
    <row r="92" spans="1:5" ht="12">
      <c r="A92" t="s">
        <v>142</v>
      </c>
      <c r="E92" s="12" t="e">
        <f t="shared" si="0"/>
        <v>#DIV/0!</v>
      </c>
    </row>
    <row r="93" spans="1:5" ht="12">
      <c r="A93" t="s">
        <v>143</v>
      </c>
      <c r="E93" s="12" t="e">
        <f>+D93/C93</f>
        <v>#DIV/0!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5" ht="12">
      <c r="A101" t="s">
        <v>134</v>
      </c>
      <c r="E101" s="12" t="e">
        <f aca="true" t="shared" si="1" ref="E101:E112">+D101/C101</f>
        <v>#DIV/0!</v>
      </c>
    </row>
    <row r="102" spans="1:5" ht="12">
      <c r="A102" t="s">
        <v>144</v>
      </c>
      <c r="E102" s="12" t="e">
        <f t="shared" si="1"/>
        <v>#DIV/0!</v>
      </c>
    </row>
    <row r="103" spans="1:5" ht="12">
      <c r="A103" t="s">
        <v>136</v>
      </c>
      <c r="E103" s="12" t="e">
        <f t="shared" si="1"/>
        <v>#DIV/0!</v>
      </c>
    </row>
    <row r="104" spans="1:5" ht="12">
      <c r="A104" t="s">
        <v>145</v>
      </c>
      <c r="E104" s="12" t="e">
        <f t="shared" si="1"/>
        <v>#DIV/0!</v>
      </c>
    </row>
    <row r="105" spans="1:5" ht="12">
      <c r="A105" t="s">
        <v>137</v>
      </c>
      <c r="E105" s="12" t="e">
        <f t="shared" si="1"/>
        <v>#DIV/0!</v>
      </c>
    </row>
    <row r="106" spans="1:5" ht="12">
      <c r="A106" t="s">
        <v>138</v>
      </c>
      <c r="E106" s="12" t="e">
        <f t="shared" si="1"/>
        <v>#DIV/0!</v>
      </c>
    </row>
    <row r="107" spans="1:5" ht="12">
      <c r="A107" t="s">
        <v>139</v>
      </c>
      <c r="E107" s="12" t="e">
        <f t="shared" si="1"/>
        <v>#DIV/0!</v>
      </c>
    </row>
    <row r="108" spans="1:5" ht="12">
      <c r="A108" t="s">
        <v>140</v>
      </c>
      <c r="E108" s="12" t="e">
        <f t="shared" si="1"/>
        <v>#DIV/0!</v>
      </c>
    </row>
    <row r="109" spans="1:5" ht="12">
      <c r="A109" t="s">
        <v>141</v>
      </c>
      <c r="E109" s="12" t="e">
        <f t="shared" si="1"/>
        <v>#DIV/0!</v>
      </c>
    </row>
    <row r="110" spans="1:5" ht="12">
      <c r="A110" t="s">
        <v>143</v>
      </c>
      <c r="E110" s="12" t="e">
        <f t="shared" si="1"/>
        <v>#DIV/0!</v>
      </c>
    </row>
    <row r="111" spans="1:5" ht="12">
      <c r="A111" t="s">
        <v>146</v>
      </c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133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E122" s="12" t="e">
        <f t="shared" si="2"/>
        <v>#DIV/0!</v>
      </c>
      <c r="J122" s="8" t="e">
        <f t="shared" si="3"/>
        <v>#DIV/0!</v>
      </c>
      <c r="K122" s="12" t="e">
        <f t="shared" si="4"/>
        <v>#DIV/0!</v>
      </c>
      <c r="L122" s="12" t="e">
        <f t="shared" si="5"/>
        <v>#DIV/0!</v>
      </c>
      <c r="M122" s="12" t="e">
        <f t="shared" si="6"/>
        <v>#DIV/0!</v>
      </c>
      <c r="R122" t="e">
        <f t="shared" si="7"/>
        <v>#DIV/0!</v>
      </c>
      <c r="S122" s="2" t="e">
        <f t="shared" si="8"/>
        <v>#DIV/0!</v>
      </c>
      <c r="T122" s="6" t="e">
        <f t="shared" si="9"/>
        <v>#DIV/0!</v>
      </c>
      <c r="U122" s="2" t="e">
        <f t="shared" si="10"/>
        <v>#DIV/0!</v>
      </c>
      <c r="V122" t="e">
        <f t="shared" si="11"/>
        <v>#DIV/0!</v>
      </c>
      <c r="W122" s="2" t="e">
        <f t="shared" si="12"/>
        <v>#DIV/0!</v>
      </c>
      <c r="X122" t="e">
        <f t="shared" si="13"/>
        <v>#DIV/0!</v>
      </c>
      <c r="Y122" s="2" t="e">
        <f t="shared" si="14"/>
        <v>#DIV/0!</v>
      </c>
    </row>
    <row r="123" spans="1:25" ht="12">
      <c r="A123" t="s">
        <v>147</v>
      </c>
      <c r="E123" s="12" t="e">
        <f t="shared" si="2"/>
        <v>#DIV/0!</v>
      </c>
      <c r="J123" s="8" t="e">
        <f t="shared" si="3"/>
        <v>#DIV/0!</v>
      </c>
      <c r="K123" s="12" t="e">
        <f t="shared" si="4"/>
        <v>#DIV/0!</v>
      </c>
      <c r="L123" s="12" t="e">
        <f t="shared" si="5"/>
        <v>#DIV/0!</v>
      </c>
      <c r="M123" s="12" t="e">
        <f t="shared" si="6"/>
        <v>#DIV/0!</v>
      </c>
      <c r="R123" t="e">
        <f t="shared" si="7"/>
        <v>#DIV/0!</v>
      </c>
      <c r="S123" s="2" t="e">
        <f t="shared" si="8"/>
        <v>#DIV/0!</v>
      </c>
      <c r="T123" s="6" t="e">
        <f t="shared" si="9"/>
        <v>#DIV/0!</v>
      </c>
      <c r="U123" s="2" t="e">
        <f t="shared" si="10"/>
        <v>#DIV/0!</v>
      </c>
      <c r="V123" t="e">
        <f t="shared" si="11"/>
        <v>#DIV/0!</v>
      </c>
      <c r="W123" s="2" t="e">
        <f t="shared" si="12"/>
        <v>#DIV/0!</v>
      </c>
      <c r="X123" t="e">
        <f t="shared" si="13"/>
        <v>#DIV/0!</v>
      </c>
      <c r="Y123" s="2" t="e">
        <f t="shared" si="14"/>
        <v>#DIV/0!</v>
      </c>
    </row>
    <row r="124" spans="1:25" ht="12">
      <c r="A124" t="s">
        <v>142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143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5:25" ht="12"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8" spans="1:9" ht="12">
      <c r="A128" s="2" t="s">
        <v>71</v>
      </c>
      <c r="C128" s="3" t="s">
        <v>72</v>
      </c>
      <c r="D128" s="3" t="s">
        <v>73</v>
      </c>
      <c r="E128" s="3" t="s">
        <v>74</v>
      </c>
      <c r="F128" s="3" t="s">
        <v>53</v>
      </c>
      <c r="G128" s="3" t="s">
        <v>64</v>
      </c>
      <c r="H128" s="3" t="s">
        <v>55</v>
      </c>
      <c r="I128" s="3" t="s">
        <v>84</v>
      </c>
    </row>
    <row r="129" spans="1:6" ht="12">
      <c r="A129" t="s">
        <v>148</v>
      </c>
      <c r="F129" s="12" t="e">
        <f aca="true" t="shared" si="15" ref="F129:F134">+E129/C129</f>
        <v>#DIV/0!</v>
      </c>
    </row>
    <row r="130" spans="1:6" ht="12">
      <c r="A130" t="s">
        <v>136</v>
      </c>
      <c r="F130" s="12" t="e">
        <f t="shared" si="15"/>
        <v>#DIV/0!</v>
      </c>
    </row>
    <row r="131" spans="1:6" ht="12">
      <c r="A131" t="s">
        <v>140</v>
      </c>
      <c r="F131" s="12" t="e">
        <f t="shared" si="15"/>
        <v>#DIV/0!</v>
      </c>
    </row>
    <row r="132" spans="1:6" ht="12">
      <c r="A132" t="s">
        <v>143</v>
      </c>
      <c r="F132" s="12" t="e">
        <f t="shared" si="15"/>
        <v>#DIV/0!</v>
      </c>
    </row>
    <row r="133" ht="12">
      <c r="F133" s="12" t="e">
        <f t="shared" si="15"/>
        <v>#DIV/0!</v>
      </c>
    </row>
    <row r="134" ht="12">
      <c r="F134" s="12" t="e">
        <f t="shared" si="15"/>
        <v>#DIV/0!</v>
      </c>
    </row>
    <row r="138" spans="1:8" ht="12">
      <c r="A138" s="2" t="s">
        <v>30</v>
      </c>
      <c r="C138" s="3" t="s">
        <v>72</v>
      </c>
      <c r="D138" s="3" t="s">
        <v>74</v>
      </c>
      <c r="E138" s="3" t="s">
        <v>53</v>
      </c>
      <c r="F138" s="3" t="s">
        <v>64</v>
      </c>
      <c r="G138" s="3" t="s">
        <v>55</v>
      </c>
      <c r="H138" s="3" t="s">
        <v>84</v>
      </c>
    </row>
    <row r="139" spans="1:5" ht="12">
      <c r="A139" t="s">
        <v>149</v>
      </c>
      <c r="E139" s="12" t="e">
        <f aca="true" t="shared" si="16" ref="E139:E144">+D139/C139</f>
        <v>#DIV/0!</v>
      </c>
    </row>
    <row r="140" spans="1:5" ht="12">
      <c r="A140" t="s">
        <v>148</v>
      </c>
      <c r="E140" s="12" t="e">
        <f t="shared" si="16"/>
        <v>#DIV/0!</v>
      </c>
    </row>
    <row r="141" spans="1:5" ht="12">
      <c r="A141" t="s">
        <v>136</v>
      </c>
      <c r="E141" s="12" t="e">
        <f t="shared" si="16"/>
        <v>#DIV/0!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151</v>
      </c>
      <c r="E143" s="12" t="e">
        <f t="shared" si="16"/>
        <v>#DIV/0!</v>
      </c>
    </row>
    <row r="144" spans="1:5" ht="12">
      <c r="A144" t="s">
        <v>152</v>
      </c>
      <c r="E144" s="12" t="e">
        <f t="shared" si="16"/>
        <v>#DIV/0!</v>
      </c>
    </row>
    <row r="145" spans="1:5" ht="12">
      <c r="A145" t="s">
        <v>138</v>
      </c>
      <c r="E145" s="12" t="e">
        <f aca="true" t="shared" si="17" ref="E145:E151">+D145/C145</f>
        <v>#DIV/0!</v>
      </c>
    </row>
    <row r="146" spans="1:5" ht="12">
      <c r="A146" t="s">
        <v>143</v>
      </c>
      <c r="E146" s="12" t="e">
        <f t="shared" si="17"/>
        <v>#DIV/0!</v>
      </c>
    </row>
    <row r="147" spans="1:5" ht="12">
      <c r="A147" t="s">
        <v>146</v>
      </c>
      <c r="E147" s="12" t="e">
        <f t="shared" si="17"/>
        <v>#DIV/0!</v>
      </c>
    </row>
    <row r="148" spans="1:5" ht="12">
      <c r="A148" t="s">
        <v>153</v>
      </c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3" spans="1:8" ht="12">
      <c r="A153" s="2" t="s">
        <v>75</v>
      </c>
      <c r="C153" s="3" t="s">
        <v>72</v>
      </c>
      <c r="D153" s="3" t="s">
        <v>74</v>
      </c>
      <c r="E153" s="3" t="s">
        <v>53</v>
      </c>
      <c r="F153" s="3" t="s">
        <v>64</v>
      </c>
      <c r="G153" s="3" t="s">
        <v>76</v>
      </c>
      <c r="H153" s="3" t="s">
        <v>84</v>
      </c>
    </row>
    <row r="154" spans="1:5" ht="12">
      <c r="A154" t="s">
        <v>154</v>
      </c>
      <c r="E154" s="12"/>
    </row>
    <row r="160" spans="9:21" ht="12">
      <c r="I160" s="5" t="s">
        <v>67</v>
      </c>
      <c r="L160" s="32" t="s">
        <v>99</v>
      </c>
      <c r="M160" s="32"/>
      <c r="N160" s="32" t="s">
        <v>100</v>
      </c>
      <c r="O160" s="32"/>
      <c r="P160" s="32" t="s">
        <v>101</v>
      </c>
      <c r="Q160" s="32"/>
      <c r="R160" s="32" t="s">
        <v>102</v>
      </c>
      <c r="S160" s="32"/>
      <c r="T160" s="32" t="s">
        <v>103</v>
      </c>
      <c r="U160" s="32"/>
    </row>
    <row r="161" spans="1:21" ht="12">
      <c r="A161" s="4" t="s">
        <v>83</v>
      </c>
      <c r="C161" s="3" t="s">
        <v>77</v>
      </c>
      <c r="D161" s="3" t="s">
        <v>78</v>
      </c>
      <c r="E161" s="3" t="s">
        <v>79</v>
      </c>
      <c r="F161" s="3" t="s">
        <v>80</v>
      </c>
      <c r="G161" s="3" t="s">
        <v>81</v>
      </c>
      <c r="H161" s="3" t="s">
        <v>82</v>
      </c>
      <c r="I161" s="3" t="s">
        <v>86</v>
      </c>
      <c r="J161" s="3" t="s">
        <v>64</v>
      </c>
      <c r="L161" s="3" t="s">
        <v>81</v>
      </c>
      <c r="M161" s="3" t="s">
        <v>82</v>
      </c>
      <c r="N161" s="3" t="s">
        <v>81</v>
      </c>
      <c r="O161" s="3" t="s">
        <v>82</v>
      </c>
      <c r="P161" s="3" t="s">
        <v>81</v>
      </c>
      <c r="Q161" s="3" t="s">
        <v>82</v>
      </c>
      <c r="R161" s="3" t="s">
        <v>81</v>
      </c>
      <c r="S161" s="3" t="s">
        <v>82</v>
      </c>
      <c r="T161" s="3" t="s">
        <v>81</v>
      </c>
      <c r="U161" s="3" t="s">
        <v>82</v>
      </c>
    </row>
    <row r="162" spans="1:9" ht="12">
      <c r="A162" t="s">
        <v>155</v>
      </c>
      <c r="I162" s="12" t="e">
        <f aca="true" t="shared" si="18" ref="I162:I169">+H162/G162*100</f>
        <v>#DIV/0!</v>
      </c>
    </row>
    <row r="163" spans="1:9" ht="12">
      <c r="A163" t="s">
        <v>154</v>
      </c>
      <c r="I163" s="12" t="e">
        <f t="shared" si="18"/>
        <v>#DIV/0!</v>
      </c>
    </row>
    <row r="164" ht="12">
      <c r="I164" s="12" t="e">
        <f t="shared" si="18"/>
        <v>#DIV/0!</v>
      </c>
    </row>
    <row r="165" ht="12">
      <c r="I165" s="12" t="e">
        <f t="shared" si="18"/>
        <v>#DIV/0!</v>
      </c>
    </row>
    <row r="166" ht="12">
      <c r="I166" s="12" t="e">
        <f t="shared" si="18"/>
        <v>#DIV/0!</v>
      </c>
    </row>
    <row r="167" ht="12"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2" spans="1:8" ht="12">
      <c r="A172" s="2" t="s">
        <v>85</v>
      </c>
      <c r="C172" s="3" t="s">
        <v>72</v>
      </c>
      <c r="D172" s="3" t="s">
        <v>74</v>
      </c>
      <c r="E172" s="3" t="s">
        <v>53</v>
      </c>
      <c r="F172" s="3" t="s">
        <v>64</v>
      </c>
      <c r="G172" s="3" t="s">
        <v>55</v>
      </c>
      <c r="H172" s="3" t="s">
        <v>84</v>
      </c>
    </row>
    <row r="173" spans="1:5" ht="12">
      <c r="A173" t="s">
        <v>156</v>
      </c>
      <c r="E173" s="12" t="e">
        <f>+D173/C173</f>
        <v>#DIV/0!</v>
      </c>
    </row>
    <row r="174" spans="1:5" ht="12">
      <c r="A174" t="s">
        <v>149</v>
      </c>
      <c r="E174" s="12" t="e">
        <f aca="true" t="shared" si="19" ref="E174:E180">+D174/C174</f>
        <v>#DIV/0!</v>
      </c>
    </row>
    <row r="175" spans="1:5" ht="12">
      <c r="A175" t="s">
        <v>157</v>
      </c>
      <c r="E175" s="12" t="e">
        <f t="shared" si="19"/>
        <v>#DIV/0!</v>
      </c>
    </row>
    <row r="176" spans="1:5" ht="12">
      <c r="A176" t="s">
        <v>158</v>
      </c>
      <c r="E176" s="12" t="e">
        <f t="shared" si="19"/>
        <v>#DIV/0!</v>
      </c>
    </row>
    <row r="177" spans="1:5" ht="12">
      <c r="A177" t="s">
        <v>159</v>
      </c>
      <c r="E177" s="12" t="e">
        <f t="shared" si="19"/>
        <v>#DIV/0!</v>
      </c>
    </row>
    <row r="178" spans="1:5" ht="12">
      <c r="A178" t="s">
        <v>160</v>
      </c>
      <c r="E178" s="12" t="e">
        <f t="shared" si="19"/>
        <v>#DIV/0!</v>
      </c>
    </row>
    <row r="179" spans="1:5" ht="12">
      <c r="A179" t="s">
        <v>161</v>
      </c>
      <c r="E179" s="12" t="e">
        <f t="shared" si="19"/>
        <v>#DIV/0!</v>
      </c>
    </row>
    <row r="180" spans="1:5" ht="12">
      <c r="A180" t="s">
        <v>147</v>
      </c>
      <c r="E180" s="12" t="e">
        <f t="shared" si="19"/>
        <v>#DIV/0!</v>
      </c>
    </row>
    <row r="181" spans="1:5" ht="12">
      <c r="A181" t="s">
        <v>153</v>
      </c>
      <c r="E181" s="12" t="e">
        <f>+D181/C181</f>
        <v>#DIV/0!</v>
      </c>
    </row>
    <row r="182" spans="1:5" ht="12">
      <c r="A182" t="s">
        <v>162</v>
      </c>
      <c r="E182" s="12" t="e">
        <f>+D182/C182</f>
        <v>#DIV/0!</v>
      </c>
    </row>
    <row r="183" spans="1:5" ht="12">
      <c r="A183" s="1"/>
      <c r="E183" s="12" t="e">
        <f>+D183/C183</f>
        <v>#DIV/0!</v>
      </c>
    </row>
    <row r="184" spans="1:5" ht="12">
      <c r="A184" s="1"/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/>
    </row>
    <row r="187" spans="1:4" ht="12">
      <c r="A187" s="2" t="s">
        <v>98</v>
      </c>
      <c r="C187" s="3" t="s">
        <v>72</v>
      </c>
      <c r="D187" s="3" t="s">
        <v>74</v>
      </c>
    </row>
    <row r="188" spans="1:4" ht="12">
      <c r="A188" s="20" t="s">
        <v>156</v>
      </c>
      <c r="C188" s="3"/>
      <c r="D188" s="3"/>
    </row>
    <row r="189" spans="1:4" ht="12">
      <c r="A189" s="20" t="s">
        <v>157</v>
      </c>
      <c r="C189" s="3"/>
      <c r="D189" s="3"/>
    </row>
    <row r="190" spans="1:4" ht="12">
      <c r="A190" s="20" t="s">
        <v>158</v>
      </c>
      <c r="C190" s="3"/>
      <c r="D190" s="3"/>
    </row>
    <row r="191" spans="1:4" ht="12">
      <c r="A191" s="20" t="s">
        <v>159</v>
      </c>
      <c r="C191" s="3"/>
      <c r="D191" s="3"/>
    </row>
    <row r="192" spans="1:4" ht="12">
      <c r="A192" s="20" t="s">
        <v>163</v>
      </c>
      <c r="C192" s="3"/>
      <c r="D192" s="3"/>
    </row>
    <row r="193" spans="1:4" ht="12">
      <c r="A193" s="20" t="s">
        <v>164</v>
      </c>
      <c r="C193" s="3"/>
      <c r="D193" s="3"/>
    </row>
    <row r="194" spans="1:4" ht="12">
      <c r="A194" s="20" t="s">
        <v>161</v>
      </c>
      <c r="C194" s="3"/>
      <c r="D194" s="3"/>
    </row>
    <row r="195" spans="1:4" ht="12">
      <c r="A195" s="20" t="s">
        <v>165</v>
      </c>
      <c r="C195" s="3"/>
      <c r="D195" s="3"/>
    </row>
    <row r="196" spans="1:4" ht="12">
      <c r="A196" s="20" t="s">
        <v>147</v>
      </c>
      <c r="C196" s="3"/>
      <c r="D196" s="3"/>
    </row>
    <row r="197" spans="1:4" ht="12">
      <c r="A197" s="20" t="s">
        <v>166</v>
      </c>
      <c r="C197" s="3"/>
      <c r="D197" s="3"/>
    </row>
    <row r="198" spans="1:4" ht="12">
      <c r="A198" s="20"/>
      <c r="C198" s="3"/>
      <c r="D198" s="3"/>
    </row>
    <row r="199" spans="1:4" ht="12">
      <c r="A199" s="20"/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"/>
      <c r="C202" s="3"/>
      <c r="D202" s="3"/>
    </row>
    <row r="203" spans="1:4" ht="12">
      <c r="A203" s="2"/>
      <c r="C203" s="3"/>
      <c r="D203" s="3"/>
    </row>
    <row r="204" spans="1:4" ht="12">
      <c r="A204" s="2"/>
      <c r="C204" s="3"/>
      <c r="D204" s="3"/>
    </row>
    <row r="205" spans="1:7" ht="12">
      <c r="A205" s="2" t="s">
        <v>94</v>
      </c>
      <c r="C205" s="3" t="s">
        <v>72</v>
      </c>
      <c r="D205" s="3" t="s">
        <v>74</v>
      </c>
      <c r="E205" s="3" t="s">
        <v>64</v>
      </c>
      <c r="F205" s="3" t="s">
        <v>55</v>
      </c>
      <c r="G205" s="5" t="s">
        <v>84</v>
      </c>
    </row>
    <row r="206" ht="12">
      <c r="A206" t="s">
        <v>167</v>
      </c>
    </row>
    <row r="207" ht="12">
      <c r="A207" t="s">
        <v>156</v>
      </c>
    </row>
    <row r="208" ht="12">
      <c r="A208" t="s">
        <v>149</v>
      </c>
    </row>
    <row r="209" ht="12">
      <c r="A209" t="s">
        <v>157</v>
      </c>
    </row>
    <row r="210" ht="12">
      <c r="A210" t="s">
        <v>133</v>
      </c>
    </row>
    <row r="211" ht="12">
      <c r="A211" t="s">
        <v>134</v>
      </c>
    </row>
    <row r="212" ht="12">
      <c r="A212" t="s">
        <v>158</v>
      </c>
    </row>
    <row r="213" ht="12">
      <c r="A213" t="s">
        <v>168</v>
      </c>
    </row>
    <row r="214" ht="12">
      <c r="A214" t="s">
        <v>135</v>
      </c>
    </row>
    <row r="215" ht="12">
      <c r="A215" t="s">
        <v>159</v>
      </c>
    </row>
    <row r="216" ht="12">
      <c r="A216" t="s">
        <v>169</v>
      </c>
    </row>
    <row r="217" ht="12">
      <c r="A217" t="s">
        <v>144</v>
      </c>
    </row>
    <row r="218" ht="12">
      <c r="A218" t="s">
        <v>148</v>
      </c>
    </row>
    <row r="219" ht="12">
      <c r="A219" t="s">
        <v>163</v>
      </c>
    </row>
    <row r="220" ht="12">
      <c r="A220" t="s">
        <v>160</v>
      </c>
    </row>
    <row r="221" ht="12">
      <c r="A221" t="s">
        <v>136</v>
      </c>
    </row>
    <row r="222" ht="12">
      <c r="A222" t="s">
        <v>170</v>
      </c>
    </row>
    <row r="223" ht="12">
      <c r="A223" t="s">
        <v>154</v>
      </c>
    </row>
    <row r="224" ht="12">
      <c r="A224" t="s">
        <v>150</v>
      </c>
    </row>
    <row r="225" ht="12">
      <c r="A225" t="s">
        <v>171</v>
      </c>
    </row>
    <row r="226" ht="12">
      <c r="A226" t="s">
        <v>164</v>
      </c>
    </row>
    <row r="227" ht="12">
      <c r="A227" t="s">
        <v>145</v>
      </c>
    </row>
    <row r="228" ht="12">
      <c r="A228" t="s">
        <v>137</v>
      </c>
    </row>
    <row r="229" ht="12">
      <c r="A229" t="s">
        <v>151</v>
      </c>
    </row>
    <row r="230" ht="12">
      <c r="A230" t="s">
        <v>152</v>
      </c>
    </row>
    <row r="231" ht="12">
      <c r="A231" t="s">
        <v>138</v>
      </c>
    </row>
    <row r="232" ht="12">
      <c r="A232" t="s">
        <v>139</v>
      </c>
    </row>
    <row r="233" ht="12">
      <c r="A233" t="s">
        <v>161</v>
      </c>
    </row>
    <row r="234" ht="12">
      <c r="A234" t="s">
        <v>172</v>
      </c>
    </row>
    <row r="235" ht="12">
      <c r="A235" t="s">
        <v>140</v>
      </c>
    </row>
    <row r="236" ht="12">
      <c r="A236" t="s">
        <v>165</v>
      </c>
    </row>
    <row r="237" ht="12">
      <c r="A237" t="s">
        <v>155</v>
      </c>
    </row>
    <row r="238" ht="12">
      <c r="A238" t="s">
        <v>147</v>
      </c>
    </row>
    <row r="239" ht="12">
      <c r="A239" t="s">
        <v>173</v>
      </c>
    </row>
    <row r="240" ht="12">
      <c r="A240" t="s">
        <v>141</v>
      </c>
    </row>
    <row r="241" ht="12">
      <c r="A241" t="s">
        <v>174</v>
      </c>
    </row>
    <row r="242" ht="12">
      <c r="A242" t="s">
        <v>166</v>
      </c>
    </row>
    <row r="243" ht="12">
      <c r="A243" t="s">
        <v>175</v>
      </c>
    </row>
    <row r="244" ht="12">
      <c r="A244" t="s">
        <v>176</v>
      </c>
    </row>
    <row r="245" ht="12">
      <c r="A245" t="s">
        <v>142</v>
      </c>
    </row>
    <row r="246" ht="12">
      <c r="A246" t="s">
        <v>177</v>
      </c>
    </row>
    <row r="247" ht="12">
      <c r="A247" t="s">
        <v>143</v>
      </c>
    </row>
    <row r="248" ht="12">
      <c r="A248" t="s">
        <v>178</v>
      </c>
    </row>
    <row r="249" ht="12">
      <c r="A249" t="s">
        <v>179</v>
      </c>
    </row>
    <row r="250" ht="12">
      <c r="A250" t="s">
        <v>146</v>
      </c>
    </row>
    <row r="251" ht="12">
      <c r="A251" t="s">
        <v>153</v>
      </c>
    </row>
    <row r="252" ht="12">
      <c r="A252" t="s">
        <v>162</v>
      </c>
    </row>
    <row r="253" ht="12">
      <c r="A253" t="s">
        <v>180</v>
      </c>
    </row>
  </sheetData>
  <sheetProtection/>
  <mergeCells count="5">
    <mergeCell ref="L160:M160"/>
    <mergeCell ref="N160:O160"/>
    <mergeCell ref="P160:Q160"/>
    <mergeCell ref="R160:S160"/>
    <mergeCell ref="T160:U160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zoomScale="125" zoomScaleNormal="125" workbookViewId="0" topLeftCell="A1">
      <selection activeCell="M79" sqref="M79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Chicago Bears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14</v>
      </c>
      <c r="H6" s="1" t="s">
        <v>29</v>
      </c>
      <c r="M6" s="2">
        <v>7</v>
      </c>
    </row>
    <row r="7" spans="1:13" ht="12">
      <c r="A7" s="16" t="s">
        <v>95</v>
      </c>
      <c r="D7" s="2">
        <v>7</v>
      </c>
      <c r="H7" s="16" t="s">
        <v>95</v>
      </c>
      <c r="M7" s="2">
        <v>3</v>
      </c>
    </row>
    <row r="8" spans="1:13" ht="12">
      <c r="A8" s="16" t="s">
        <v>96</v>
      </c>
      <c r="D8" s="2">
        <v>6</v>
      </c>
      <c r="H8" s="16" t="s">
        <v>96</v>
      </c>
      <c r="M8" s="2">
        <v>4</v>
      </c>
    </row>
    <row r="9" spans="1:13" ht="12">
      <c r="A9" s="16" t="s">
        <v>97</v>
      </c>
      <c r="D9" s="2">
        <v>1</v>
      </c>
      <c r="H9" s="16" t="s">
        <v>97</v>
      </c>
      <c r="M9" s="2">
        <v>0</v>
      </c>
    </row>
    <row r="10" spans="1:14" ht="12">
      <c r="A10" s="18" t="s">
        <v>108</v>
      </c>
      <c r="C10">
        <v>5</v>
      </c>
      <c r="D10" s="2">
        <v>13</v>
      </c>
      <c r="E10" s="19">
        <f>+C10/D10</f>
        <v>0.38461538461538464</v>
      </c>
      <c r="H10" s="18" t="s">
        <v>108</v>
      </c>
      <c r="L10">
        <v>3</v>
      </c>
      <c r="M10" s="2">
        <v>12</v>
      </c>
      <c r="N10" s="19">
        <f>+L10/M10</f>
        <v>0.25</v>
      </c>
    </row>
    <row r="11" spans="1:14" ht="12">
      <c r="A11" s="18" t="s">
        <v>119</v>
      </c>
      <c r="C11">
        <v>0</v>
      </c>
      <c r="D11" s="2">
        <v>1</v>
      </c>
      <c r="E11" s="19"/>
      <c r="H11" s="18" t="s">
        <v>119</v>
      </c>
      <c r="L11">
        <v>0</v>
      </c>
      <c r="M11" s="2">
        <v>0</v>
      </c>
      <c r="N11" s="19"/>
    </row>
    <row r="13" spans="1:23" ht="12">
      <c r="A13" t="s">
        <v>1</v>
      </c>
      <c r="D13" s="2">
        <f>16+3+2+4+2</f>
        <v>27</v>
      </c>
      <c r="H13" t="s">
        <v>1</v>
      </c>
      <c r="M13" s="2">
        <f>5+7+6+7+1+1+2</f>
        <v>29</v>
      </c>
      <c r="V13">
        <f>+D13</f>
        <v>27</v>
      </c>
      <c r="W13">
        <f>+M13</f>
        <v>29</v>
      </c>
    </row>
    <row r="14" spans="1:23" ht="12">
      <c r="A14" t="s">
        <v>2</v>
      </c>
      <c r="D14" s="2">
        <f>92+1+2-14+2</f>
        <v>83</v>
      </c>
      <c r="H14" t="s">
        <v>2</v>
      </c>
      <c r="M14" s="2">
        <f>8+18+46+10+0+6-4</f>
        <v>84</v>
      </c>
      <c r="P14" s="13"/>
      <c r="U14" s="13"/>
      <c r="V14">
        <f>+D18</f>
        <v>11</v>
      </c>
      <c r="W14">
        <f>+M18</f>
        <v>9</v>
      </c>
    </row>
    <row r="15" spans="1:23" ht="12">
      <c r="A15" s="1" t="s">
        <v>3</v>
      </c>
      <c r="D15" s="8">
        <f>+D14/D13</f>
        <v>3.074074074074074</v>
      </c>
      <c r="H15" s="1" t="s">
        <v>3</v>
      </c>
      <c r="M15" s="8">
        <f>+M14/M13</f>
        <v>2.896551724137931</v>
      </c>
      <c r="V15">
        <f>+(D17-D18)/2</f>
        <v>9</v>
      </c>
      <c r="W15">
        <f>+(M17-M18)/2</f>
        <v>5</v>
      </c>
    </row>
    <row r="16" spans="22:23" ht="12">
      <c r="V16">
        <f>+D40/2</f>
        <v>2.5</v>
      </c>
      <c r="W16">
        <f>+M40/2</f>
        <v>3.5</v>
      </c>
    </row>
    <row r="17" spans="1:23" ht="12">
      <c r="A17" t="s">
        <v>4</v>
      </c>
      <c r="D17" s="2">
        <v>29</v>
      </c>
      <c r="H17" t="s">
        <v>4</v>
      </c>
      <c r="M17" s="2">
        <v>19</v>
      </c>
      <c r="V17">
        <f>+D44/2</f>
        <v>1</v>
      </c>
      <c r="W17">
        <f>+M44/2</f>
        <v>1</v>
      </c>
    </row>
    <row r="18" spans="1:23" ht="12">
      <c r="A18" t="s">
        <v>5</v>
      </c>
      <c r="D18" s="2">
        <v>11</v>
      </c>
      <c r="H18" t="s">
        <v>5</v>
      </c>
      <c r="M18" s="2">
        <v>9</v>
      </c>
      <c r="V18">
        <f>+D50/2</f>
        <v>2</v>
      </c>
      <c r="W18">
        <f>+M50/2</f>
        <v>1.5</v>
      </c>
    </row>
    <row r="19" spans="1:13" ht="12">
      <c r="A19" t="s">
        <v>6</v>
      </c>
      <c r="D19" s="8">
        <f>+D18/D17*100</f>
        <v>37.93103448275862</v>
      </c>
      <c r="H19" t="s">
        <v>6</v>
      </c>
      <c r="M19" s="8">
        <f>+M18/M17*100</f>
        <v>47.368421052631575</v>
      </c>
    </row>
    <row r="20" spans="1:24" ht="12">
      <c r="A20" t="s">
        <v>7</v>
      </c>
      <c r="D20" s="2">
        <v>128</v>
      </c>
      <c r="H20" t="s">
        <v>7</v>
      </c>
      <c r="M20" s="2">
        <v>162</v>
      </c>
      <c r="V20">
        <f>SUM(V13:V18)</f>
        <v>52.5</v>
      </c>
      <c r="W20">
        <f>SUM(W13:W18)</f>
        <v>49</v>
      </c>
      <c r="X20">
        <f>+W20+V20</f>
        <v>101.5</v>
      </c>
    </row>
    <row r="21" spans="1:23" ht="12">
      <c r="A21" t="s">
        <v>8</v>
      </c>
      <c r="D21" s="2">
        <v>4</v>
      </c>
      <c r="H21" t="s">
        <v>8</v>
      </c>
      <c r="M21" s="2">
        <v>5</v>
      </c>
      <c r="V21">
        <f>+V20/X20</f>
        <v>0.5172413793103449</v>
      </c>
      <c r="W21">
        <f>+W20/X20</f>
        <v>0.4827586206896552</v>
      </c>
    </row>
    <row r="22" spans="1:23" ht="12">
      <c r="A22" t="s">
        <v>9</v>
      </c>
      <c r="D22" s="2">
        <v>6</v>
      </c>
      <c r="H22" t="s">
        <v>9</v>
      </c>
      <c r="M22" s="2">
        <f>12+8+8+9+0</f>
        <v>37</v>
      </c>
      <c r="V22">
        <f>+V21*60</f>
        <v>31.03448275862069</v>
      </c>
      <c r="W22">
        <f>+W21*60</f>
        <v>28.965517241379313</v>
      </c>
    </row>
    <row r="23" spans="1:23" ht="12">
      <c r="A23" t="s">
        <v>10</v>
      </c>
      <c r="D23">
        <f>+D20-D22</f>
        <v>122</v>
      </c>
      <c r="H23" t="s">
        <v>10</v>
      </c>
      <c r="M23">
        <f>+M20-M22</f>
        <v>125</v>
      </c>
      <c r="V23">
        <f>+V22-INT(V22)</f>
        <v>0.03448275862069039</v>
      </c>
      <c r="W23">
        <f>+W22-INT(W22)</f>
        <v>0.9655172413793132</v>
      </c>
    </row>
    <row r="24" spans="1:23" ht="12">
      <c r="A24" t="s">
        <v>11</v>
      </c>
      <c r="D24" s="7">
        <f>+D23/(D17+D21)</f>
        <v>3.696969696969697</v>
      </c>
      <c r="H24" t="s">
        <v>11</v>
      </c>
      <c r="M24" s="7">
        <f>+M23/(M17+M21)</f>
        <v>5.208333333333333</v>
      </c>
      <c r="V24">
        <f>+V23*60</f>
        <v>2.0689655172414234</v>
      </c>
      <c r="W24">
        <f>+W23*60</f>
        <v>57.93103448275879</v>
      </c>
    </row>
    <row r="25" spans="1:23" ht="12">
      <c r="A25" t="s">
        <v>12</v>
      </c>
      <c r="D25" s="7">
        <f>+D20/D18</f>
        <v>11.636363636363637</v>
      </c>
      <c r="H25" t="s">
        <v>12</v>
      </c>
      <c r="M25" s="7">
        <f>+M20/M18</f>
        <v>18</v>
      </c>
      <c r="Q25" s="11"/>
      <c r="U25">
        <v>0</v>
      </c>
      <c r="V25" s="11">
        <f>ROUND(V24,0)</f>
        <v>2</v>
      </c>
      <c r="W25">
        <f>ROUND(W24,0)</f>
        <v>58</v>
      </c>
    </row>
    <row r="26" spans="22:23" ht="12">
      <c r="V26">
        <f>INT(V22)</f>
        <v>31</v>
      </c>
      <c r="W26">
        <f>INT(W22)</f>
        <v>28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205</v>
      </c>
      <c r="H28" t="s">
        <v>14</v>
      </c>
      <c r="M28">
        <f>+M23+M14</f>
        <v>209</v>
      </c>
      <c r="Q28" s="14"/>
      <c r="R28" s="9"/>
      <c r="V28" s="14" t="str">
        <f>+V26&amp;V27&amp;V25</f>
        <v>31:2</v>
      </c>
      <c r="W28" s="9" t="str">
        <f>+W26&amp;W27&amp;W25</f>
        <v>28:58</v>
      </c>
    </row>
    <row r="29" spans="1:23" ht="12">
      <c r="A29" t="s">
        <v>15</v>
      </c>
      <c r="D29" s="7">
        <f>+D14/D28*100</f>
        <v>40.487804878048784</v>
      </c>
      <c r="H29" t="s">
        <v>15</v>
      </c>
      <c r="M29" s="7">
        <f>+M14/M28*100</f>
        <v>40.19138755980861</v>
      </c>
      <c r="Q29" s="9"/>
      <c r="R29" s="9"/>
      <c r="V29" s="9" t="str">
        <f>IF(V25&lt;10,+V26&amp;V27&amp;$U$25&amp;V25,+V26&amp;V27&amp;V25)</f>
        <v>31:02</v>
      </c>
      <c r="W29" s="9" t="str">
        <f>IF(W25&lt;10,+W26&amp;W27&amp;$U$25&amp;W25,+W26&amp;W27&amp;W25)</f>
        <v>28:58</v>
      </c>
    </row>
    <row r="30" spans="1:16" ht="12">
      <c r="A30" s="1" t="s">
        <v>90</v>
      </c>
      <c r="D30" s="7">
        <f>+D23/D28*100</f>
        <v>59.512195121951216</v>
      </c>
      <c r="H30" s="1" t="s">
        <v>90</v>
      </c>
      <c r="M30" s="7">
        <f>+M23/M28*100</f>
        <v>59.80861244019139</v>
      </c>
      <c r="P30" s="13"/>
    </row>
    <row r="32" spans="1:13" ht="12">
      <c r="A32" t="s">
        <v>16</v>
      </c>
      <c r="D32">
        <f>+D13+D17+D21</f>
        <v>60</v>
      </c>
      <c r="H32" t="s">
        <v>16</v>
      </c>
      <c r="M32">
        <f>+M13+M17+M21</f>
        <v>53</v>
      </c>
    </row>
    <row r="33" spans="1:13" ht="12">
      <c r="A33" t="s">
        <v>17</v>
      </c>
      <c r="D33" s="8">
        <f>+D28/D32</f>
        <v>3.4166666666666665</v>
      </c>
      <c r="E33" s="7"/>
      <c r="F33" s="7"/>
      <c r="G33" s="7"/>
      <c r="H33" s="7" t="s">
        <v>17</v>
      </c>
      <c r="I33" s="7"/>
      <c r="J33" s="7"/>
      <c r="K33" s="7"/>
      <c r="L33" s="7"/>
      <c r="M33" s="8">
        <f>+M28/M32</f>
        <v>3.943396226415094</v>
      </c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0</v>
      </c>
      <c r="H36" t="s">
        <v>19</v>
      </c>
      <c r="M36" s="2">
        <v>0</v>
      </c>
    </row>
    <row r="37" spans="1:13" ht="12">
      <c r="A37" t="s">
        <v>20</v>
      </c>
      <c r="D37" s="2">
        <v>0</v>
      </c>
      <c r="H37" t="s">
        <v>20</v>
      </c>
      <c r="M37" s="2">
        <v>0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5</v>
      </c>
      <c r="H40" t="s">
        <v>22</v>
      </c>
      <c r="M40" s="2">
        <v>7</v>
      </c>
    </row>
    <row r="41" spans="1:13" ht="12">
      <c r="A41" t="s">
        <v>23</v>
      </c>
      <c r="D41" s="2">
        <f>34+42+48+42+45</f>
        <v>211</v>
      </c>
      <c r="H41" t="s">
        <v>23</v>
      </c>
      <c r="M41" s="2">
        <f>54+32+42+40+36+48+58</f>
        <v>310</v>
      </c>
    </row>
    <row r="42" spans="1:13" ht="12">
      <c r="A42" t="s">
        <v>24</v>
      </c>
      <c r="D42" s="8">
        <f>+D41/D40</f>
        <v>42.2</v>
      </c>
      <c r="E42" s="7"/>
      <c r="F42" s="7"/>
      <c r="G42" s="7"/>
      <c r="H42" s="7" t="s">
        <v>24</v>
      </c>
      <c r="I42" s="7"/>
      <c r="J42" s="7"/>
      <c r="K42" s="7"/>
      <c r="L42" s="7"/>
      <c r="M42" s="8">
        <f>+M41/M40</f>
        <v>44.285714285714285</v>
      </c>
    </row>
    <row r="44" spans="1:13" ht="12">
      <c r="A44" t="s">
        <v>25</v>
      </c>
      <c r="D44" s="2">
        <v>2</v>
      </c>
      <c r="H44" t="s">
        <v>25</v>
      </c>
      <c r="M44" s="2">
        <v>2</v>
      </c>
    </row>
    <row r="45" spans="1:13" ht="12">
      <c r="A45" t="s">
        <v>26</v>
      </c>
      <c r="D45" s="2">
        <v>42</v>
      </c>
      <c r="H45" t="s">
        <v>26</v>
      </c>
      <c r="M45" s="2">
        <v>9</v>
      </c>
    </row>
    <row r="46" spans="1:13" ht="12">
      <c r="A46" t="s">
        <v>27</v>
      </c>
      <c r="D46" s="8">
        <f>+D45/D44</f>
        <v>21</v>
      </c>
      <c r="H46" t="s">
        <v>27</v>
      </c>
      <c r="M46" s="8">
        <f>+M45/M44</f>
        <v>4.5</v>
      </c>
    </row>
    <row r="47" spans="1:13" ht="12">
      <c r="A47" s="18" t="s">
        <v>131</v>
      </c>
      <c r="D47" s="2">
        <v>2</v>
      </c>
      <c r="H47" s="18" t="s">
        <v>131</v>
      </c>
      <c r="M47" s="2">
        <v>3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4</v>
      </c>
      <c r="H50" t="s">
        <v>30</v>
      </c>
      <c r="M50" s="2">
        <v>3</v>
      </c>
    </row>
    <row r="51" spans="1:13" ht="12">
      <c r="A51" t="s">
        <v>26</v>
      </c>
      <c r="D51" s="2">
        <f>41+31+32+13</f>
        <v>117</v>
      </c>
      <c r="H51" t="s">
        <v>26</v>
      </c>
      <c r="M51" s="2">
        <v>47</v>
      </c>
    </row>
    <row r="52" spans="1:13" ht="12">
      <c r="A52" t="s">
        <v>27</v>
      </c>
      <c r="D52" s="8">
        <f>+D51/D50</f>
        <v>29.25</v>
      </c>
      <c r="H52" t="s">
        <v>27</v>
      </c>
      <c r="M52" s="8">
        <f>+M51/M50</f>
        <v>15.666666666666666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3</v>
      </c>
      <c r="H55" t="s">
        <v>127</v>
      </c>
      <c r="K55" s="2"/>
      <c r="M55" s="2">
        <v>5</v>
      </c>
      <c r="P55" s="2"/>
    </row>
    <row r="56" spans="1:16" ht="12">
      <c r="A56" t="s">
        <v>128</v>
      </c>
      <c r="D56" s="2">
        <v>0</v>
      </c>
      <c r="H56" t="s">
        <v>128</v>
      </c>
      <c r="K56" s="2"/>
      <c r="M56" s="2">
        <v>1</v>
      </c>
      <c r="P56" s="2"/>
    </row>
    <row r="57" spans="1:13" ht="12">
      <c r="A57" t="s">
        <v>129</v>
      </c>
      <c r="D57">
        <f>+D56/D55</f>
        <v>0</v>
      </c>
      <c r="H57" t="s">
        <v>129</v>
      </c>
      <c r="M57">
        <f>+M56/M55</f>
        <v>0.2</v>
      </c>
    </row>
    <row r="59" spans="1:13" ht="12">
      <c r="A59" t="s">
        <v>31</v>
      </c>
      <c r="D59" s="2">
        <v>8</v>
      </c>
      <c r="H59" t="s">
        <v>31</v>
      </c>
      <c r="M59" s="2">
        <v>4</v>
      </c>
    </row>
    <row r="60" spans="1:13" ht="12">
      <c r="A60" t="s">
        <v>32</v>
      </c>
      <c r="D60" s="2">
        <v>60</v>
      </c>
      <c r="H60" t="s">
        <v>32</v>
      </c>
      <c r="M60" s="2">
        <v>34</v>
      </c>
    </row>
    <row r="62" spans="1:13" ht="12">
      <c r="A62" t="s">
        <v>33</v>
      </c>
      <c r="D62" s="2">
        <v>4</v>
      </c>
      <c r="H62" t="s">
        <v>33</v>
      </c>
      <c r="M62" s="2">
        <v>3</v>
      </c>
    </row>
    <row r="63" spans="1:13" ht="12">
      <c r="A63" t="s">
        <v>34</v>
      </c>
      <c r="D63" s="2">
        <v>1</v>
      </c>
      <c r="H63" t="s">
        <v>34</v>
      </c>
      <c r="M63" s="2">
        <v>3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0</v>
      </c>
      <c r="H65" t="s">
        <v>36</v>
      </c>
      <c r="M65" s="2">
        <v>3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6</v>
      </c>
      <c r="H68" t="s">
        <v>38</v>
      </c>
      <c r="M68" s="2">
        <v>16</v>
      </c>
      <c r="N68" t="str">
        <f>IF(K68=K69*6+K75*2+K76*3+K73,"ok","ERR")</f>
        <v>ok</v>
      </c>
      <c r="P68" t="str">
        <f>IF(M68=M69*6+M75*2+M76*3+M73,"ok","ERR")</f>
        <v>ok</v>
      </c>
    </row>
    <row r="69" spans="1:13" ht="12">
      <c r="A69" t="s">
        <v>39</v>
      </c>
      <c r="D69" s="2">
        <v>0</v>
      </c>
      <c r="H69" t="s">
        <v>39</v>
      </c>
      <c r="M69" s="2">
        <v>1</v>
      </c>
    </row>
    <row r="70" spans="1:13" ht="12">
      <c r="A70" t="s">
        <v>40</v>
      </c>
      <c r="D70" s="2">
        <v>0</v>
      </c>
      <c r="H70" t="s">
        <v>40</v>
      </c>
      <c r="M70" s="2">
        <v>0</v>
      </c>
    </row>
    <row r="71" spans="1:13" ht="12">
      <c r="A71" t="s">
        <v>41</v>
      </c>
      <c r="D71" s="2">
        <v>0</v>
      </c>
      <c r="H71" t="s">
        <v>41</v>
      </c>
      <c r="M71" s="2">
        <v>1</v>
      </c>
    </row>
    <row r="72" spans="1:13" ht="12">
      <c r="A72" t="s">
        <v>42</v>
      </c>
      <c r="D72" s="2">
        <v>0</v>
      </c>
      <c r="H72" t="s">
        <v>42</v>
      </c>
      <c r="M72" s="2">
        <v>0</v>
      </c>
    </row>
    <row r="73" spans="1:13" ht="12">
      <c r="A73" t="s">
        <v>43</v>
      </c>
      <c r="D73" s="2">
        <v>0</v>
      </c>
      <c r="H73" t="s">
        <v>43</v>
      </c>
      <c r="M73" s="2">
        <v>1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2</v>
      </c>
      <c r="H76" t="s">
        <v>45</v>
      </c>
      <c r="M76" s="2">
        <v>3</v>
      </c>
    </row>
    <row r="77" spans="1:13" ht="12">
      <c r="A77" t="s">
        <v>46</v>
      </c>
      <c r="D77" s="2">
        <v>4</v>
      </c>
      <c r="H77" t="s">
        <v>46</v>
      </c>
      <c r="M77" s="2">
        <v>5</v>
      </c>
    </row>
    <row r="78" spans="1:13" ht="12">
      <c r="A78" t="s">
        <v>47</v>
      </c>
      <c r="D78" s="8">
        <f>+D76/D77*100</f>
        <v>50</v>
      </c>
      <c r="E78" s="7"/>
      <c r="F78" s="7"/>
      <c r="G78" s="7"/>
      <c r="H78" s="7" t="s">
        <v>47</v>
      </c>
      <c r="I78" s="7"/>
      <c r="J78" s="7"/>
      <c r="K78" s="7"/>
      <c r="L78" s="7"/>
      <c r="M78" s="8">
        <f>+M76/M77*100</f>
        <v>60</v>
      </c>
    </row>
    <row r="79" spans="1:13" ht="12">
      <c r="A79" t="s">
        <v>93</v>
      </c>
      <c r="D79" s="10" t="str">
        <f>IF(V25&lt;10,V29,V28)</f>
        <v>31:02</v>
      </c>
      <c r="E79" s="8"/>
      <c r="F79" s="8"/>
      <c r="H79" t="s">
        <v>93</v>
      </c>
      <c r="M79" s="10" t="str">
        <f>IF(W25&lt;10,W29,W28)</f>
        <v>28:58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5" ht="12">
      <c r="A84" t="s">
        <v>134</v>
      </c>
      <c r="E84" s="12" t="e">
        <f>+D84/C84</f>
        <v>#DIV/0!</v>
      </c>
    </row>
    <row r="85" spans="1:5" ht="12">
      <c r="A85" t="s">
        <v>135</v>
      </c>
      <c r="E85" s="12" t="e">
        <f>+D85/C85</f>
        <v>#DIV/0!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5" ht="12">
      <c r="A87" t="s">
        <v>137</v>
      </c>
      <c r="E87" s="12" t="e">
        <f t="shared" si="0"/>
        <v>#DIV/0!</v>
      </c>
    </row>
    <row r="88" spans="1:8" ht="12">
      <c r="A88" t="s">
        <v>138</v>
      </c>
      <c r="C88">
        <v>2</v>
      </c>
      <c r="D88">
        <v>2</v>
      </c>
      <c r="E88" s="12">
        <f t="shared" si="0"/>
        <v>1</v>
      </c>
      <c r="F88">
        <v>2</v>
      </c>
      <c r="G88">
        <v>0</v>
      </c>
      <c r="H88">
        <v>0</v>
      </c>
    </row>
    <row r="89" spans="1:8" ht="12">
      <c r="A89" t="s">
        <v>139</v>
      </c>
      <c r="C89">
        <v>4</v>
      </c>
      <c r="D89">
        <v>-14</v>
      </c>
      <c r="E89" s="12">
        <f t="shared" si="0"/>
        <v>-3.5</v>
      </c>
      <c r="F89">
        <v>0</v>
      </c>
      <c r="G89">
        <v>0</v>
      </c>
      <c r="H89">
        <v>1</v>
      </c>
    </row>
    <row r="90" spans="1:5" ht="12">
      <c r="A90" t="s">
        <v>140</v>
      </c>
      <c r="E90" s="12" t="e">
        <f t="shared" si="0"/>
        <v>#DIV/0!</v>
      </c>
    </row>
    <row r="91" spans="1:8" ht="12">
      <c r="A91" t="s">
        <v>141</v>
      </c>
      <c r="C91">
        <v>3</v>
      </c>
      <c r="D91">
        <v>1</v>
      </c>
      <c r="E91" s="12">
        <f t="shared" si="0"/>
        <v>0.3333333333333333</v>
      </c>
      <c r="F91">
        <v>1</v>
      </c>
      <c r="G91">
        <v>0</v>
      </c>
      <c r="H91">
        <v>0</v>
      </c>
    </row>
    <row r="92" spans="1:8" ht="12">
      <c r="A92" t="s">
        <v>142</v>
      </c>
      <c r="C92">
        <v>2</v>
      </c>
      <c r="D92">
        <v>2</v>
      </c>
      <c r="E92" s="12">
        <f t="shared" si="0"/>
        <v>1</v>
      </c>
      <c r="F92">
        <v>2</v>
      </c>
      <c r="G92">
        <v>0</v>
      </c>
      <c r="H92">
        <v>1</v>
      </c>
    </row>
    <row r="93" spans="1:8" ht="12">
      <c r="A93" t="s">
        <v>143</v>
      </c>
      <c r="C93">
        <v>16</v>
      </c>
      <c r="D93">
        <v>92</v>
      </c>
      <c r="E93" s="12">
        <f>+D93/C93</f>
        <v>5.75</v>
      </c>
      <c r="F93">
        <v>18</v>
      </c>
      <c r="G93">
        <v>0</v>
      </c>
      <c r="H93">
        <v>1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5" ht="12">
      <c r="A101" t="s">
        <v>134</v>
      </c>
      <c r="E101" s="12" t="e">
        <f aca="true" t="shared" si="1" ref="E101:E112">+D101/C101</f>
        <v>#DIV/0!</v>
      </c>
    </row>
    <row r="102" spans="1:5" ht="12">
      <c r="A102" t="s">
        <v>144</v>
      </c>
      <c r="E102" s="12" t="e">
        <f t="shared" si="1"/>
        <v>#DIV/0!</v>
      </c>
    </row>
    <row r="103" spans="1:5" ht="12">
      <c r="A103" t="s">
        <v>136</v>
      </c>
      <c r="E103" s="12" t="e">
        <f t="shared" si="1"/>
        <v>#DIV/0!</v>
      </c>
    </row>
    <row r="104" spans="1:5" ht="12">
      <c r="A104" t="s">
        <v>145</v>
      </c>
      <c r="E104" s="12" t="e">
        <f t="shared" si="1"/>
        <v>#DIV/0!</v>
      </c>
    </row>
    <row r="105" spans="1:5" ht="12">
      <c r="A105" t="s">
        <v>137</v>
      </c>
      <c r="E105" s="12" t="e">
        <f t="shared" si="1"/>
        <v>#DIV/0!</v>
      </c>
    </row>
    <row r="106" spans="1:8" ht="12">
      <c r="A106" t="s">
        <v>138</v>
      </c>
      <c r="C106">
        <v>1</v>
      </c>
      <c r="D106">
        <v>21</v>
      </c>
      <c r="E106" s="12">
        <f t="shared" si="1"/>
        <v>21</v>
      </c>
      <c r="F106">
        <v>21</v>
      </c>
      <c r="G106">
        <v>0</v>
      </c>
      <c r="H106">
        <v>0</v>
      </c>
    </row>
    <row r="107" spans="1:8" ht="12">
      <c r="A107" t="s">
        <v>139</v>
      </c>
      <c r="C107">
        <v>3</v>
      </c>
      <c r="D107">
        <v>43</v>
      </c>
      <c r="E107" s="12">
        <f t="shared" si="1"/>
        <v>14.333333333333334</v>
      </c>
      <c r="F107">
        <v>30</v>
      </c>
      <c r="G107">
        <v>0</v>
      </c>
      <c r="H107">
        <v>0</v>
      </c>
    </row>
    <row r="108" spans="1:8" ht="12">
      <c r="A108" t="s">
        <v>140</v>
      </c>
      <c r="C108">
        <v>3</v>
      </c>
      <c r="D108">
        <v>38</v>
      </c>
      <c r="E108" s="12">
        <f t="shared" si="1"/>
        <v>12.666666666666666</v>
      </c>
      <c r="F108">
        <v>21</v>
      </c>
      <c r="G108">
        <v>0</v>
      </c>
      <c r="H108">
        <v>0</v>
      </c>
    </row>
    <row r="109" spans="1:8" ht="12">
      <c r="A109" t="s">
        <v>141</v>
      </c>
      <c r="C109">
        <v>2</v>
      </c>
      <c r="D109">
        <v>15</v>
      </c>
      <c r="E109" s="12">
        <f t="shared" si="1"/>
        <v>7.5</v>
      </c>
      <c r="F109">
        <v>13</v>
      </c>
      <c r="G109">
        <v>0</v>
      </c>
      <c r="H109">
        <v>0</v>
      </c>
    </row>
    <row r="110" spans="1:8" ht="12">
      <c r="A110" t="s">
        <v>143</v>
      </c>
      <c r="C110">
        <v>2</v>
      </c>
      <c r="D110">
        <v>11</v>
      </c>
      <c r="E110" s="12">
        <f t="shared" si="1"/>
        <v>5.5</v>
      </c>
      <c r="F110">
        <v>8</v>
      </c>
      <c r="G110">
        <v>0</v>
      </c>
      <c r="H110">
        <v>0</v>
      </c>
    </row>
    <row r="111" spans="1:5" ht="12">
      <c r="A111" t="s">
        <v>146</v>
      </c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133</v>
      </c>
      <c r="C121">
        <v>2</v>
      </c>
      <c r="D121">
        <v>0</v>
      </c>
      <c r="E121" s="12">
        <f aca="true" t="shared" si="2" ref="E121:E126">+D121/C121*100</f>
        <v>0</v>
      </c>
      <c r="F121">
        <v>0</v>
      </c>
      <c r="G121">
        <v>0</v>
      </c>
      <c r="H121">
        <v>0</v>
      </c>
      <c r="I121">
        <v>0</v>
      </c>
      <c r="J121" s="8">
        <f aca="true" t="shared" si="3" ref="J121:J126">+G121/C121*100</f>
        <v>0</v>
      </c>
      <c r="K121" s="12">
        <f aca="true" t="shared" si="4" ref="K121:K126">+I121/C121*100</f>
        <v>0</v>
      </c>
      <c r="L121" s="12">
        <f aca="true" t="shared" si="5" ref="L121:L126">+F121/C121</f>
        <v>0</v>
      </c>
      <c r="M121" s="12">
        <f aca="true" t="shared" si="6" ref="M121:M126">100*(S121+U121+W121+Y121)/6</f>
        <v>39.583333333333336</v>
      </c>
      <c r="N121">
        <v>1</v>
      </c>
      <c r="O121">
        <v>1</v>
      </c>
      <c r="R121">
        <f aca="true" t="shared" si="7" ref="R121:R126">+(E121-30)/20</f>
        <v>-1.5</v>
      </c>
      <c r="S121" s="2">
        <f aca="true" t="shared" si="8" ref="S121:S126">IF(R121&lt;0,0,IF(R121&gt;2.375,2.375,R121))</f>
        <v>0</v>
      </c>
      <c r="T121" s="6">
        <f aca="true" t="shared" si="9" ref="T121:T126">+(L121-3)/4</f>
        <v>-0.75</v>
      </c>
      <c r="U121" s="2">
        <f aca="true" t="shared" si="10" ref="U121:U126">IF(T121&lt;0,0,IF(T121&gt;2.375,2.375,T121))</f>
        <v>0</v>
      </c>
      <c r="V121">
        <f aca="true" t="shared" si="11" ref="V121:V126">+J121/5</f>
        <v>0</v>
      </c>
      <c r="W121" s="2">
        <f aca="true" t="shared" si="12" ref="W121:W126">IF(V121&lt;0,0,IF(V121&gt;2.375,2.375,V121))</f>
        <v>0</v>
      </c>
      <c r="X121">
        <f aca="true" t="shared" si="13" ref="X121:X126">(9.5-K121)/4</f>
        <v>2.375</v>
      </c>
      <c r="Y121" s="2">
        <f aca="true" t="shared" si="14" ref="Y121:Y126">IF(X121&lt;0,0,X121)</f>
        <v>2.375</v>
      </c>
    </row>
    <row r="122" spans="1:25" ht="12">
      <c r="A122" t="s">
        <v>135</v>
      </c>
      <c r="E122" s="12" t="e">
        <f t="shared" si="2"/>
        <v>#DIV/0!</v>
      </c>
      <c r="J122" s="8" t="e">
        <f t="shared" si="3"/>
        <v>#DIV/0!</v>
      </c>
      <c r="K122" s="12" t="e">
        <f t="shared" si="4"/>
        <v>#DIV/0!</v>
      </c>
      <c r="L122" s="12" t="e">
        <f t="shared" si="5"/>
        <v>#DIV/0!</v>
      </c>
      <c r="M122" s="12" t="e">
        <f t="shared" si="6"/>
        <v>#DIV/0!</v>
      </c>
      <c r="R122" t="e">
        <f t="shared" si="7"/>
        <v>#DIV/0!</v>
      </c>
      <c r="S122" s="2" t="e">
        <f t="shared" si="8"/>
        <v>#DIV/0!</v>
      </c>
      <c r="T122" s="6" t="e">
        <f t="shared" si="9"/>
        <v>#DIV/0!</v>
      </c>
      <c r="U122" s="2" t="e">
        <f t="shared" si="10"/>
        <v>#DIV/0!</v>
      </c>
      <c r="V122" t="e">
        <f t="shared" si="11"/>
        <v>#DIV/0!</v>
      </c>
      <c r="W122" s="2" t="e">
        <f t="shared" si="12"/>
        <v>#DIV/0!</v>
      </c>
      <c r="X122" t="e">
        <f t="shared" si="13"/>
        <v>#DIV/0!</v>
      </c>
      <c r="Y122" s="2" t="e">
        <f t="shared" si="14"/>
        <v>#DIV/0!</v>
      </c>
    </row>
    <row r="123" spans="1:25" ht="12">
      <c r="A123" t="s">
        <v>147</v>
      </c>
      <c r="E123" s="12" t="e">
        <f t="shared" si="2"/>
        <v>#DIV/0!</v>
      </c>
      <c r="J123" s="8" t="e">
        <f t="shared" si="3"/>
        <v>#DIV/0!</v>
      </c>
      <c r="K123" s="12" t="e">
        <f t="shared" si="4"/>
        <v>#DIV/0!</v>
      </c>
      <c r="L123" s="12" t="e">
        <f t="shared" si="5"/>
        <v>#DIV/0!</v>
      </c>
      <c r="M123" s="12" t="e">
        <f t="shared" si="6"/>
        <v>#DIV/0!</v>
      </c>
      <c r="R123" t="e">
        <f t="shared" si="7"/>
        <v>#DIV/0!</v>
      </c>
      <c r="S123" s="2" t="e">
        <f t="shared" si="8"/>
        <v>#DIV/0!</v>
      </c>
      <c r="T123" s="6" t="e">
        <f t="shared" si="9"/>
        <v>#DIV/0!</v>
      </c>
      <c r="U123" s="2" t="e">
        <f t="shared" si="10"/>
        <v>#DIV/0!</v>
      </c>
      <c r="V123" t="e">
        <f t="shared" si="11"/>
        <v>#DIV/0!</v>
      </c>
      <c r="W123" s="2" t="e">
        <f t="shared" si="12"/>
        <v>#DIV/0!</v>
      </c>
      <c r="X123" t="e">
        <f t="shared" si="13"/>
        <v>#DIV/0!</v>
      </c>
      <c r="Y123" s="2" t="e">
        <f t="shared" si="14"/>
        <v>#DIV/0!</v>
      </c>
    </row>
    <row r="124" spans="1:25" ht="12">
      <c r="A124" t="s">
        <v>142</v>
      </c>
      <c r="C124">
        <v>27</v>
      </c>
      <c r="D124">
        <v>11</v>
      </c>
      <c r="E124" s="12">
        <f t="shared" si="2"/>
        <v>40.74074074074074</v>
      </c>
      <c r="F124">
        <v>128</v>
      </c>
      <c r="G124">
        <v>0</v>
      </c>
      <c r="H124">
        <v>30</v>
      </c>
      <c r="I124">
        <v>0</v>
      </c>
      <c r="J124" s="8">
        <f t="shared" si="3"/>
        <v>0</v>
      </c>
      <c r="K124" s="12">
        <f t="shared" si="4"/>
        <v>0</v>
      </c>
      <c r="L124" s="12">
        <f t="shared" si="5"/>
        <v>4.7407407407407405</v>
      </c>
      <c r="M124" s="12">
        <f t="shared" si="6"/>
        <v>55.78703703703704</v>
      </c>
      <c r="N124">
        <v>0</v>
      </c>
      <c r="O124">
        <v>3</v>
      </c>
      <c r="R124">
        <f t="shared" si="7"/>
        <v>0.537037037037037</v>
      </c>
      <c r="S124" s="2">
        <f t="shared" si="8"/>
        <v>0.537037037037037</v>
      </c>
      <c r="T124" s="6">
        <f t="shared" si="9"/>
        <v>0.4351851851851851</v>
      </c>
      <c r="U124" s="2">
        <f t="shared" si="10"/>
        <v>0.4351851851851851</v>
      </c>
      <c r="V124">
        <f t="shared" si="11"/>
        <v>0</v>
      </c>
      <c r="W124" s="2">
        <f t="shared" si="12"/>
        <v>0</v>
      </c>
      <c r="X124">
        <f t="shared" si="13"/>
        <v>2.375</v>
      </c>
      <c r="Y124" s="2">
        <f t="shared" si="14"/>
        <v>2.375</v>
      </c>
    </row>
    <row r="125" spans="1:25" ht="12">
      <c r="A125" t="s">
        <v>143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5:25" ht="12"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8" spans="1:9" ht="12">
      <c r="A128" s="2" t="s">
        <v>71</v>
      </c>
      <c r="C128" s="3" t="s">
        <v>72</v>
      </c>
      <c r="D128" s="3" t="s">
        <v>73</v>
      </c>
      <c r="E128" s="3" t="s">
        <v>74</v>
      </c>
      <c r="F128" s="3" t="s">
        <v>53</v>
      </c>
      <c r="G128" s="3" t="s">
        <v>64</v>
      </c>
      <c r="H128" s="3" t="s">
        <v>55</v>
      </c>
      <c r="I128" s="3" t="s">
        <v>84</v>
      </c>
    </row>
    <row r="129" spans="1:6" ht="12">
      <c r="A129" t="s">
        <v>148</v>
      </c>
      <c r="F129" s="12" t="e">
        <f aca="true" t="shared" si="15" ref="F129:F134">+E129/C129</f>
        <v>#DIV/0!</v>
      </c>
    </row>
    <row r="130" spans="1:7" ht="12">
      <c r="A130" t="s">
        <v>136</v>
      </c>
      <c r="C130">
        <v>2</v>
      </c>
      <c r="E130">
        <v>42</v>
      </c>
      <c r="F130" s="12">
        <f t="shared" si="15"/>
        <v>21</v>
      </c>
      <c r="G130">
        <v>44</v>
      </c>
    </row>
    <row r="131" spans="1:6" ht="12">
      <c r="A131" t="s">
        <v>140</v>
      </c>
      <c r="F131" s="12" t="e">
        <f t="shared" si="15"/>
        <v>#DIV/0!</v>
      </c>
    </row>
    <row r="132" spans="1:6" ht="12">
      <c r="A132" t="s">
        <v>143</v>
      </c>
      <c r="D132">
        <v>2</v>
      </c>
      <c r="F132" s="12" t="e">
        <f t="shared" si="15"/>
        <v>#DIV/0!</v>
      </c>
    </row>
    <row r="133" ht="12">
      <c r="F133" s="12" t="e">
        <f t="shared" si="15"/>
        <v>#DIV/0!</v>
      </c>
    </row>
    <row r="134" ht="12">
      <c r="F134" s="12" t="e">
        <f t="shared" si="15"/>
        <v>#DIV/0!</v>
      </c>
    </row>
    <row r="138" spans="1:8" ht="12">
      <c r="A138" s="2" t="s">
        <v>30</v>
      </c>
      <c r="C138" s="3" t="s">
        <v>72</v>
      </c>
      <c r="D138" s="3" t="s">
        <v>74</v>
      </c>
      <c r="E138" s="3" t="s">
        <v>53</v>
      </c>
      <c r="F138" s="3" t="s">
        <v>64</v>
      </c>
      <c r="G138" s="3" t="s">
        <v>55</v>
      </c>
      <c r="H138" s="3" t="s">
        <v>84</v>
      </c>
    </row>
    <row r="139" spans="1:5" ht="12">
      <c r="A139" t="s">
        <v>149</v>
      </c>
      <c r="E139" s="12" t="e">
        <f aca="true" t="shared" si="16" ref="E139:E144">+D139/C139</f>
        <v>#DIV/0!</v>
      </c>
    </row>
    <row r="140" spans="1:5" ht="12">
      <c r="A140" t="s">
        <v>148</v>
      </c>
      <c r="E140" s="12" t="e">
        <f t="shared" si="16"/>
        <v>#DIV/0!</v>
      </c>
    </row>
    <row r="141" spans="1:6" ht="12">
      <c r="A141" t="s">
        <v>136</v>
      </c>
      <c r="C141">
        <v>1</v>
      </c>
      <c r="D141">
        <v>13</v>
      </c>
      <c r="E141" s="12">
        <f t="shared" si="16"/>
        <v>13</v>
      </c>
      <c r="F141">
        <v>13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151</v>
      </c>
      <c r="E143" s="12" t="e">
        <f t="shared" si="16"/>
        <v>#DIV/0!</v>
      </c>
    </row>
    <row r="144" spans="1:5" ht="12">
      <c r="A144" t="s">
        <v>152</v>
      </c>
      <c r="E144" s="12" t="e">
        <f t="shared" si="16"/>
        <v>#DIV/0!</v>
      </c>
    </row>
    <row r="145" spans="1:5" ht="12">
      <c r="A145" t="s">
        <v>138</v>
      </c>
      <c r="E145" s="12" t="e">
        <f aca="true" t="shared" si="17" ref="E145:E151">+D145/C145</f>
        <v>#DIV/0!</v>
      </c>
    </row>
    <row r="146" spans="1:6" ht="12">
      <c r="A146" t="s">
        <v>143</v>
      </c>
      <c r="C146">
        <v>3</v>
      </c>
      <c r="D146">
        <f>41+31+32</f>
        <v>104</v>
      </c>
      <c r="E146" s="12">
        <f t="shared" si="17"/>
        <v>34.666666666666664</v>
      </c>
      <c r="F146">
        <v>41</v>
      </c>
    </row>
    <row r="147" spans="1:5" ht="12">
      <c r="A147" t="s">
        <v>146</v>
      </c>
      <c r="E147" s="12" t="e">
        <f t="shared" si="17"/>
        <v>#DIV/0!</v>
      </c>
    </row>
    <row r="148" spans="1:5" ht="12">
      <c r="A148" t="s">
        <v>153</v>
      </c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3" spans="1:8" ht="12">
      <c r="A153" s="2" t="s">
        <v>75</v>
      </c>
      <c r="C153" s="3" t="s">
        <v>72</v>
      </c>
      <c r="D153" s="3" t="s">
        <v>74</v>
      </c>
      <c r="E153" s="3" t="s">
        <v>53</v>
      </c>
      <c r="F153" s="3" t="s">
        <v>64</v>
      </c>
      <c r="G153" s="3" t="s">
        <v>76</v>
      </c>
      <c r="H153" s="3" t="s">
        <v>84</v>
      </c>
    </row>
    <row r="154" spans="1:6" ht="12">
      <c r="A154" t="s">
        <v>154</v>
      </c>
      <c r="C154">
        <v>5</v>
      </c>
      <c r="D154">
        <f>34+42+48+42+45</f>
        <v>211</v>
      </c>
      <c r="E154" s="12"/>
      <c r="F154">
        <v>48</v>
      </c>
    </row>
    <row r="160" spans="9:21" ht="12">
      <c r="I160" s="5" t="s">
        <v>67</v>
      </c>
      <c r="L160" s="32" t="s">
        <v>99</v>
      </c>
      <c r="M160" s="32"/>
      <c r="N160" s="32" t="s">
        <v>100</v>
      </c>
      <c r="O160" s="32"/>
      <c r="P160" s="32" t="s">
        <v>101</v>
      </c>
      <c r="Q160" s="32"/>
      <c r="R160" s="32" t="s">
        <v>102</v>
      </c>
      <c r="S160" s="32"/>
      <c r="T160" s="32" t="s">
        <v>103</v>
      </c>
      <c r="U160" s="32"/>
    </row>
    <row r="161" spans="1:21" ht="12">
      <c r="A161" s="4" t="s">
        <v>83</v>
      </c>
      <c r="C161" s="3" t="s">
        <v>77</v>
      </c>
      <c r="D161" s="3" t="s">
        <v>78</v>
      </c>
      <c r="E161" s="3" t="s">
        <v>79</v>
      </c>
      <c r="F161" s="3" t="s">
        <v>80</v>
      </c>
      <c r="G161" s="3" t="s">
        <v>81</v>
      </c>
      <c r="H161" s="3" t="s">
        <v>82</v>
      </c>
      <c r="I161" s="3" t="s">
        <v>86</v>
      </c>
      <c r="J161" s="3" t="s">
        <v>64</v>
      </c>
      <c r="L161" s="3" t="s">
        <v>81</v>
      </c>
      <c r="M161" s="3" t="s">
        <v>82</v>
      </c>
      <c r="N161" s="3" t="s">
        <v>81</v>
      </c>
      <c r="O161" s="3" t="s">
        <v>82</v>
      </c>
      <c r="P161" s="3" t="s">
        <v>81</v>
      </c>
      <c r="Q161" s="3" t="s">
        <v>82</v>
      </c>
      <c r="R161" s="3" t="s">
        <v>81</v>
      </c>
      <c r="S161" s="3" t="s">
        <v>82</v>
      </c>
      <c r="T161" s="3" t="s">
        <v>81</v>
      </c>
      <c r="U161" s="3" t="s">
        <v>82</v>
      </c>
    </row>
    <row r="162" spans="1:20" ht="12">
      <c r="A162" t="s">
        <v>155</v>
      </c>
      <c r="C162">
        <v>3</v>
      </c>
      <c r="G162">
        <v>4</v>
      </c>
      <c r="H162">
        <v>2</v>
      </c>
      <c r="I162" s="12">
        <f aca="true" t="shared" si="18" ref="I162:I169">+H162/G162*100</f>
        <v>50</v>
      </c>
      <c r="J162">
        <v>20</v>
      </c>
      <c r="L162">
        <v>1</v>
      </c>
      <c r="M162">
        <v>1</v>
      </c>
      <c r="N162">
        <v>1</v>
      </c>
      <c r="O162">
        <v>1</v>
      </c>
      <c r="P162">
        <v>1</v>
      </c>
      <c r="T162">
        <v>1</v>
      </c>
    </row>
    <row r="163" spans="1:9" ht="12">
      <c r="A163" t="s">
        <v>154</v>
      </c>
      <c r="I163" s="12" t="e">
        <f t="shared" si="18"/>
        <v>#DIV/0!</v>
      </c>
    </row>
    <row r="164" ht="12">
      <c r="I164" s="12" t="e">
        <f t="shared" si="18"/>
        <v>#DIV/0!</v>
      </c>
    </row>
    <row r="165" ht="12">
      <c r="I165" s="12" t="e">
        <f t="shared" si="18"/>
        <v>#DIV/0!</v>
      </c>
    </row>
    <row r="166" ht="12">
      <c r="I166" s="12" t="e">
        <f t="shared" si="18"/>
        <v>#DIV/0!</v>
      </c>
    </row>
    <row r="167" ht="12"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2" spans="1:8" ht="12">
      <c r="A172" s="2" t="s">
        <v>85</v>
      </c>
      <c r="C172" s="3" t="s">
        <v>72</v>
      </c>
      <c r="D172" s="3" t="s">
        <v>74</v>
      </c>
      <c r="E172" s="3" t="s">
        <v>53</v>
      </c>
      <c r="F172" s="3" t="s">
        <v>64</v>
      </c>
      <c r="G172" s="3" t="s">
        <v>55</v>
      </c>
      <c r="H172" s="3" t="s">
        <v>84</v>
      </c>
    </row>
    <row r="173" spans="1:5" ht="12">
      <c r="A173" t="s">
        <v>156</v>
      </c>
      <c r="E173" s="12" t="e">
        <f>+D173/C173</f>
        <v>#DIV/0!</v>
      </c>
    </row>
    <row r="174" spans="1:5" ht="12">
      <c r="A174" t="s">
        <v>149</v>
      </c>
      <c r="E174" s="12" t="e">
        <f aca="true" t="shared" si="19" ref="E174:E180">+D174/C174</f>
        <v>#DIV/0!</v>
      </c>
    </row>
    <row r="175" spans="1:5" ht="12">
      <c r="A175" t="s">
        <v>157</v>
      </c>
      <c r="E175" s="12" t="e">
        <f t="shared" si="19"/>
        <v>#DIV/0!</v>
      </c>
    </row>
    <row r="176" spans="1:5" ht="12">
      <c r="A176" t="s">
        <v>158</v>
      </c>
      <c r="E176" s="12" t="e">
        <f t="shared" si="19"/>
        <v>#DIV/0!</v>
      </c>
    </row>
    <row r="177" spans="1:5" ht="12">
      <c r="A177" t="s">
        <v>159</v>
      </c>
      <c r="E177" s="12" t="e">
        <f t="shared" si="19"/>
        <v>#DIV/0!</v>
      </c>
    </row>
    <row r="178" spans="1:5" ht="12">
      <c r="A178" t="s">
        <v>160</v>
      </c>
      <c r="E178" s="12" t="e">
        <f t="shared" si="19"/>
        <v>#DIV/0!</v>
      </c>
    </row>
    <row r="179" spans="1:5" ht="12">
      <c r="A179" t="s">
        <v>161</v>
      </c>
      <c r="E179" s="12" t="e">
        <f t="shared" si="19"/>
        <v>#DIV/0!</v>
      </c>
    </row>
    <row r="180" spans="1:5" ht="12">
      <c r="A180" t="s">
        <v>147</v>
      </c>
      <c r="E180" s="12" t="e">
        <f t="shared" si="19"/>
        <v>#DIV/0!</v>
      </c>
    </row>
    <row r="181" spans="1:5" ht="12">
      <c r="A181" t="s">
        <v>153</v>
      </c>
      <c r="E181" s="12" t="e">
        <f>+D181/C181</f>
        <v>#DIV/0!</v>
      </c>
    </row>
    <row r="182" spans="1:5" ht="12">
      <c r="A182" t="s">
        <v>162</v>
      </c>
      <c r="E182" s="12" t="e">
        <f>+D182/C182</f>
        <v>#DIV/0!</v>
      </c>
    </row>
    <row r="183" spans="1:5" ht="12">
      <c r="A183" s="1"/>
      <c r="E183" s="12" t="e">
        <f>+D183/C183</f>
        <v>#DIV/0!</v>
      </c>
    </row>
    <row r="184" spans="1:5" ht="12">
      <c r="A184" s="1"/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/>
    </row>
    <row r="187" spans="1:4" ht="12">
      <c r="A187" s="2" t="s">
        <v>98</v>
      </c>
      <c r="C187" s="3" t="s">
        <v>72</v>
      </c>
      <c r="D187" s="3" t="s">
        <v>74</v>
      </c>
    </row>
    <row r="188" spans="1:4" ht="12">
      <c r="A188" s="20" t="s">
        <v>156</v>
      </c>
      <c r="C188" s="3">
        <v>1</v>
      </c>
      <c r="D188" s="3">
        <v>12</v>
      </c>
    </row>
    <row r="189" spans="1:4" ht="12">
      <c r="A189" s="20" t="s">
        <v>157</v>
      </c>
      <c r="C189" s="3">
        <v>1</v>
      </c>
      <c r="D189" s="3">
        <v>0</v>
      </c>
    </row>
    <row r="190" spans="1:4" ht="12">
      <c r="A190" s="20" t="s">
        <v>158</v>
      </c>
      <c r="C190" s="3">
        <v>0.5</v>
      </c>
      <c r="D190" s="3">
        <v>4.5</v>
      </c>
    </row>
    <row r="191" spans="1:4" ht="12">
      <c r="A191" s="20" t="s">
        <v>159</v>
      </c>
      <c r="C191" s="3"/>
      <c r="D191" s="3"/>
    </row>
    <row r="192" spans="1:4" ht="12">
      <c r="A192" s="20" t="s">
        <v>163</v>
      </c>
      <c r="C192" s="3">
        <v>1</v>
      </c>
      <c r="D192" s="3">
        <v>8</v>
      </c>
    </row>
    <row r="193" spans="1:4" ht="12">
      <c r="A193" s="20" t="s">
        <v>164</v>
      </c>
      <c r="C193" s="3"/>
      <c r="D193" s="3"/>
    </row>
    <row r="194" spans="1:4" ht="12">
      <c r="A194" s="20" t="s">
        <v>161</v>
      </c>
      <c r="C194" s="3">
        <v>0.5</v>
      </c>
      <c r="D194" s="3">
        <v>4.5</v>
      </c>
    </row>
    <row r="195" spans="1:4" ht="12">
      <c r="A195" s="20" t="s">
        <v>165</v>
      </c>
      <c r="C195" s="3">
        <v>1</v>
      </c>
      <c r="D195" s="3">
        <v>8</v>
      </c>
    </row>
    <row r="196" spans="1:4" ht="12">
      <c r="A196" s="20" t="s">
        <v>147</v>
      </c>
      <c r="C196" s="3"/>
      <c r="D196" s="3"/>
    </row>
    <row r="197" spans="1:4" ht="12">
      <c r="A197" s="20" t="s">
        <v>166</v>
      </c>
      <c r="C197" s="3"/>
      <c r="D197" s="3"/>
    </row>
    <row r="198" spans="1:4" ht="12">
      <c r="A198" s="20"/>
      <c r="C198" s="3"/>
      <c r="D198" s="3"/>
    </row>
    <row r="199" spans="1:4" ht="12">
      <c r="A199" s="20"/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"/>
      <c r="C202" s="3"/>
      <c r="D202" s="3"/>
    </row>
    <row r="203" spans="1:4" ht="12">
      <c r="A203" s="2"/>
      <c r="C203" s="3"/>
      <c r="D203" s="3"/>
    </row>
    <row r="204" spans="1:4" ht="12">
      <c r="A204" s="2"/>
      <c r="C204" s="3"/>
      <c r="D204" s="3"/>
    </row>
    <row r="205" spans="1:7" ht="12">
      <c r="A205" s="2" t="s">
        <v>94</v>
      </c>
      <c r="C205" s="3" t="s">
        <v>72</v>
      </c>
      <c r="D205" s="3" t="s">
        <v>74</v>
      </c>
      <c r="E205" s="3" t="s">
        <v>64</v>
      </c>
      <c r="F205" s="3" t="s">
        <v>55</v>
      </c>
      <c r="G205" s="5" t="s">
        <v>84</v>
      </c>
    </row>
    <row r="206" ht="12">
      <c r="A206" t="s">
        <v>167</v>
      </c>
    </row>
    <row r="207" ht="12">
      <c r="A207" t="s">
        <v>156</v>
      </c>
    </row>
    <row r="208" ht="12">
      <c r="A208" t="s">
        <v>149</v>
      </c>
    </row>
    <row r="209" ht="12">
      <c r="A209" t="s">
        <v>157</v>
      </c>
    </row>
    <row r="210" ht="12">
      <c r="A210" t="s">
        <v>133</v>
      </c>
    </row>
    <row r="211" ht="12">
      <c r="A211" t="s">
        <v>134</v>
      </c>
    </row>
    <row r="212" ht="12">
      <c r="A212" t="s">
        <v>158</v>
      </c>
    </row>
    <row r="213" ht="12">
      <c r="A213" t="s">
        <v>168</v>
      </c>
    </row>
    <row r="214" ht="12">
      <c r="A214" t="s">
        <v>135</v>
      </c>
    </row>
    <row r="215" ht="12">
      <c r="A215" t="s">
        <v>159</v>
      </c>
    </row>
    <row r="216" ht="12">
      <c r="A216" t="s">
        <v>169</v>
      </c>
    </row>
    <row r="217" ht="12">
      <c r="A217" t="s">
        <v>144</v>
      </c>
    </row>
    <row r="218" ht="12">
      <c r="A218" t="s">
        <v>148</v>
      </c>
    </row>
    <row r="219" ht="12">
      <c r="A219" t="s">
        <v>163</v>
      </c>
    </row>
    <row r="220" ht="12">
      <c r="A220" t="s">
        <v>160</v>
      </c>
    </row>
    <row r="221" ht="12">
      <c r="A221" t="s">
        <v>136</v>
      </c>
    </row>
    <row r="222" ht="12">
      <c r="A222" t="s">
        <v>170</v>
      </c>
    </row>
    <row r="223" ht="12">
      <c r="A223" t="s">
        <v>154</v>
      </c>
    </row>
    <row r="224" ht="12">
      <c r="A224" t="s">
        <v>150</v>
      </c>
    </row>
    <row r="225" ht="12">
      <c r="A225" t="s">
        <v>171</v>
      </c>
    </row>
    <row r="226" ht="12">
      <c r="A226" t="s">
        <v>164</v>
      </c>
    </row>
    <row r="227" ht="12">
      <c r="A227" t="s">
        <v>145</v>
      </c>
    </row>
    <row r="228" ht="12">
      <c r="A228" t="s">
        <v>137</v>
      </c>
    </row>
    <row r="229" ht="12">
      <c r="A229" t="s">
        <v>151</v>
      </c>
    </row>
    <row r="230" ht="12">
      <c r="A230" t="s">
        <v>152</v>
      </c>
    </row>
    <row r="231" spans="1:3" ht="12">
      <c r="A231" t="s">
        <v>138</v>
      </c>
      <c r="C231">
        <v>1</v>
      </c>
    </row>
    <row r="232" ht="12">
      <c r="A232" t="s">
        <v>139</v>
      </c>
    </row>
    <row r="233" ht="12">
      <c r="A233" t="s">
        <v>161</v>
      </c>
    </row>
    <row r="234" ht="12">
      <c r="A234" t="s">
        <v>172</v>
      </c>
    </row>
    <row r="235" ht="12">
      <c r="A235" t="s">
        <v>140</v>
      </c>
    </row>
    <row r="236" ht="12">
      <c r="A236" t="s">
        <v>165</v>
      </c>
    </row>
    <row r="237" ht="12">
      <c r="A237" t="s">
        <v>155</v>
      </c>
    </row>
    <row r="238" ht="12">
      <c r="A238" t="s">
        <v>147</v>
      </c>
    </row>
    <row r="239" ht="12">
      <c r="A239" t="s">
        <v>173</v>
      </c>
    </row>
    <row r="240" ht="12">
      <c r="A240" t="s">
        <v>141</v>
      </c>
    </row>
    <row r="241" ht="12">
      <c r="A241" t="s">
        <v>174</v>
      </c>
    </row>
    <row r="242" ht="12">
      <c r="A242" t="s">
        <v>166</v>
      </c>
    </row>
    <row r="243" ht="12">
      <c r="A243" t="s">
        <v>175</v>
      </c>
    </row>
    <row r="244" ht="12">
      <c r="A244" t="s">
        <v>176</v>
      </c>
    </row>
    <row r="245" ht="12">
      <c r="A245" t="s">
        <v>142</v>
      </c>
    </row>
    <row r="246" ht="12">
      <c r="A246" t="s">
        <v>177</v>
      </c>
    </row>
    <row r="247" ht="12">
      <c r="A247" t="s">
        <v>143</v>
      </c>
    </row>
    <row r="248" ht="12">
      <c r="A248" t="s">
        <v>178</v>
      </c>
    </row>
    <row r="249" ht="12">
      <c r="A249" t="s">
        <v>179</v>
      </c>
    </row>
    <row r="250" ht="12">
      <c r="A250" t="s">
        <v>146</v>
      </c>
    </row>
    <row r="251" ht="12">
      <c r="A251" t="s">
        <v>153</v>
      </c>
    </row>
    <row r="252" ht="12">
      <c r="A252" t="s">
        <v>162</v>
      </c>
    </row>
    <row r="253" ht="12">
      <c r="A253" t="s">
        <v>180</v>
      </c>
    </row>
  </sheetData>
  <sheetProtection/>
  <mergeCells count="5">
    <mergeCell ref="L160:M160"/>
    <mergeCell ref="N160:O160"/>
    <mergeCell ref="P160:Q160"/>
    <mergeCell ref="R160:S160"/>
    <mergeCell ref="T160:U160"/>
  </mergeCells>
  <printOptions/>
  <pageMargins left="0.75" right="0.75" top="1" bottom="1" header="0.5" footer="0.5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253"/>
  <sheetViews>
    <sheetView zoomScale="125" zoomScaleNormal="125" workbookViewId="0" topLeftCell="A1">
      <selection activeCell="N202" sqref="N202"/>
    </sheetView>
  </sheetViews>
  <sheetFormatPr defaultColWidth="11.421875" defaultRowHeight="12.75"/>
  <cols>
    <col min="1" max="1" width="15.00390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Chicago Bears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0</v>
      </c>
      <c r="H6" s="1" t="s">
        <v>29</v>
      </c>
      <c r="M6" s="2">
        <v>0</v>
      </c>
    </row>
    <row r="7" spans="1:13" ht="12">
      <c r="A7" s="16" t="s">
        <v>95</v>
      </c>
      <c r="D7" s="2">
        <v>0</v>
      </c>
      <c r="H7" s="16" t="s">
        <v>95</v>
      </c>
      <c r="M7" s="2">
        <v>0</v>
      </c>
    </row>
    <row r="8" spans="1:13" ht="12">
      <c r="A8" s="16" t="s">
        <v>96</v>
      </c>
      <c r="D8" s="2">
        <v>0</v>
      </c>
      <c r="H8" s="16" t="s">
        <v>96</v>
      </c>
      <c r="M8" s="2">
        <v>0</v>
      </c>
    </row>
    <row r="9" spans="1:13" ht="12">
      <c r="A9" s="16" t="s">
        <v>97</v>
      </c>
      <c r="D9" s="2">
        <v>0</v>
      </c>
      <c r="H9" s="16" t="s">
        <v>97</v>
      </c>
      <c r="M9" s="2">
        <v>0</v>
      </c>
    </row>
    <row r="10" spans="1:14" ht="12">
      <c r="A10" s="18" t="s">
        <v>108</v>
      </c>
      <c r="C10">
        <v>0</v>
      </c>
      <c r="D10" s="2">
        <v>0</v>
      </c>
      <c r="E10" s="19" t="e">
        <f>+C10/D10</f>
        <v>#DIV/0!</v>
      </c>
      <c r="H10" s="18" t="s">
        <v>108</v>
      </c>
      <c r="L10">
        <v>0</v>
      </c>
      <c r="M10" s="2">
        <v>0</v>
      </c>
      <c r="N10" s="19" t="e">
        <f>+L10/M10</f>
        <v>#DIV/0!</v>
      </c>
    </row>
    <row r="11" spans="1:14" ht="12">
      <c r="A11" s="18" t="s">
        <v>119</v>
      </c>
      <c r="C11">
        <v>0</v>
      </c>
      <c r="D11" s="2">
        <v>0</v>
      </c>
      <c r="E11" s="19"/>
      <c r="H11" s="18" t="s">
        <v>119</v>
      </c>
      <c r="L11">
        <v>0</v>
      </c>
      <c r="M11" s="2">
        <v>0</v>
      </c>
      <c r="N11" s="19"/>
    </row>
    <row r="13" spans="1:23" ht="12">
      <c r="A13" t="s">
        <v>1</v>
      </c>
      <c r="D13" s="2">
        <v>0</v>
      </c>
      <c r="H13" t="s">
        <v>1</v>
      </c>
      <c r="M13" s="2">
        <v>0</v>
      </c>
      <c r="V13">
        <f>+D13</f>
        <v>0</v>
      </c>
      <c r="W13">
        <f>+M13</f>
        <v>0</v>
      </c>
    </row>
    <row r="14" spans="1:23" ht="12">
      <c r="A14" t="s">
        <v>2</v>
      </c>
      <c r="D14" s="2">
        <v>0</v>
      </c>
      <c r="H14" t="s">
        <v>2</v>
      </c>
      <c r="M14" s="2">
        <v>0</v>
      </c>
      <c r="P14" s="13"/>
      <c r="U14" s="13"/>
      <c r="V14">
        <f>+D18</f>
        <v>0</v>
      </c>
      <c r="W14">
        <f>+M18</f>
        <v>0</v>
      </c>
    </row>
    <row r="15" spans="1:23" ht="12">
      <c r="A15" s="1" t="s">
        <v>3</v>
      </c>
      <c r="D15" s="8" t="e">
        <f>+D14/D13</f>
        <v>#DIV/0!</v>
      </c>
      <c r="H15" s="1" t="s">
        <v>3</v>
      </c>
      <c r="M15" s="8" t="e">
        <f>+M14/M13</f>
        <v>#DIV/0!</v>
      </c>
      <c r="V15">
        <f>+(D17-D18)/2</f>
        <v>0</v>
      </c>
      <c r="W15">
        <f>+(M17-M18)/2</f>
        <v>0</v>
      </c>
    </row>
    <row r="16" spans="22:23" ht="12">
      <c r="V16">
        <f>+D40/2</f>
        <v>0</v>
      </c>
      <c r="W16">
        <f>+M40/2</f>
        <v>0</v>
      </c>
    </row>
    <row r="17" spans="1:23" ht="12">
      <c r="A17" t="s">
        <v>4</v>
      </c>
      <c r="D17" s="2">
        <v>0</v>
      </c>
      <c r="H17" t="s">
        <v>4</v>
      </c>
      <c r="M17" s="2">
        <v>0</v>
      </c>
      <c r="V17">
        <f>+D44/2</f>
        <v>0</v>
      </c>
      <c r="W17">
        <f>+M44/2</f>
        <v>0</v>
      </c>
    </row>
    <row r="18" spans="1:23" ht="12">
      <c r="A18" t="s">
        <v>5</v>
      </c>
      <c r="D18" s="2">
        <v>0</v>
      </c>
      <c r="H18" t="s">
        <v>5</v>
      </c>
      <c r="M18" s="2">
        <v>0</v>
      </c>
      <c r="V18">
        <f>+D50/2</f>
        <v>0</v>
      </c>
      <c r="W18">
        <f>+M50/2</f>
        <v>0</v>
      </c>
    </row>
    <row r="19" spans="1:13" ht="12">
      <c r="A19" t="s">
        <v>6</v>
      </c>
      <c r="D19" s="8" t="e">
        <f>+D18/D17*100</f>
        <v>#DIV/0!</v>
      </c>
      <c r="H19" t="s">
        <v>6</v>
      </c>
      <c r="M19" s="8" t="e">
        <f>+M18/M17*100</f>
        <v>#DIV/0!</v>
      </c>
    </row>
    <row r="20" spans="1:24" ht="12">
      <c r="A20" t="s">
        <v>7</v>
      </c>
      <c r="D20" s="2">
        <v>0</v>
      </c>
      <c r="H20" t="s">
        <v>7</v>
      </c>
      <c r="M20" s="2">
        <v>0</v>
      </c>
      <c r="V20">
        <f>SUM(V13:V18)</f>
        <v>0</v>
      </c>
      <c r="W20">
        <f>SUM(W13:W18)</f>
        <v>0</v>
      </c>
      <c r="X20">
        <f>+W20+V20</f>
        <v>0</v>
      </c>
    </row>
    <row r="21" spans="1:23" ht="12">
      <c r="A21" t="s">
        <v>8</v>
      </c>
      <c r="D21" s="2">
        <v>0</v>
      </c>
      <c r="H21" t="s">
        <v>8</v>
      </c>
      <c r="M21" s="2">
        <v>0</v>
      </c>
      <c r="V21" t="e">
        <f>+V20/X20</f>
        <v>#DIV/0!</v>
      </c>
      <c r="W21" t="e">
        <f>+W20/X20</f>
        <v>#DIV/0!</v>
      </c>
    </row>
    <row r="22" spans="1:23" ht="12">
      <c r="A22" t="s">
        <v>9</v>
      </c>
      <c r="D22" s="2">
        <v>0</v>
      </c>
      <c r="H22" t="s">
        <v>9</v>
      </c>
      <c r="M22" s="2">
        <v>0</v>
      </c>
      <c r="V22" t="e">
        <f>+V21*60</f>
        <v>#DIV/0!</v>
      </c>
      <c r="W22" t="e">
        <f>+W21*60</f>
        <v>#DIV/0!</v>
      </c>
    </row>
    <row r="23" spans="1:23" ht="12">
      <c r="A23" t="s">
        <v>10</v>
      </c>
      <c r="D23">
        <f>+D20-D22</f>
        <v>0</v>
      </c>
      <c r="H23" t="s">
        <v>10</v>
      </c>
      <c r="M23">
        <f>+M20-M22</f>
        <v>0</v>
      </c>
      <c r="V23" t="e">
        <f>+V22-INT(V22)</f>
        <v>#DIV/0!</v>
      </c>
      <c r="W23" t="e">
        <f>+W22-INT(W22)</f>
        <v>#DIV/0!</v>
      </c>
    </row>
    <row r="24" spans="1:23" ht="12">
      <c r="A24" t="s">
        <v>11</v>
      </c>
      <c r="D24" s="7" t="e">
        <f>+D23/(D17+D21)</f>
        <v>#DIV/0!</v>
      </c>
      <c r="H24" t="s">
        <v>11</v>
      </c>
      <c r="M24" s="7" t="e">
        <f>+M23/(M17+M21)</f>
        <v>#DIV/0!</v>
      </c>
      <c r="V24" t="e">
        <f>+V23*60</f>
        <v>#DIV/0!</v>
      </c>
      <c r="W24" t="e">
        <f>+W23*60</f>
        <v>#DIV/0!</v>
      </c>
    </row>
    <row r="25" spans="1:23" ht="12">
      <c r="A25" t="s">
        <v>12</v>
      </c>
      <c r="D25" s="7" t="e">
        <f>+D20/D18</f>
        <v>#DIV/0!</v>
      </c>
      <c r="H25" t="s">
        <v>12</v>
      </c>
      <c r="M25" s="7" t="e">
        <f>+M20/M18</f>
        <v>#DIV/0!</v>
      </c>
      <c r="Q25" s="11"/>
      <c r="U25">
        <v>0</v>
      </c>
      <c r="V25" s="11" t="e">
        <f>ROUND(V24,0)</f>
        <v>#DIV/0!</v>
      </c>
      <c r="W25" t="e">
        <f>ROUND(W24,0)</f>
        <v>#DIV/0!</v>
      </c>
    </row>
    <row r="26" spans="22:23" ht="12">
      <c r="V26" t="e">
        <f>INT(V22)</f>
        <v>#DIV/0!</v>
      </c>
      <c r="W26" t="e">
        <f>INT(W22)</f>
        <v>#DIV/0!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0</v>
      </c>
      <c r="H28" t="s">
        <v>14</v>
      </c>
      <c r="M28">
        <f>+M23+M14</f>
        <v>0</v>
      </c>
      <c r="Q28" s="14"/>
      <c r="R28" s="9"/>
      <c r="V28" s="14" t="e">
        <f>+V26&amp;V27&amp;V25</f>
        <v>#DIV/0!</v>
      </c>
      <c r="W28" s="9" t="e">
        <f>+W26&amp;W27&amp;W25</f>
        <v>#DIV/0!</v>
      </c>
    </row>
    <row r="29" spans="1:23" ht="12">
      <c r="A29" t="s">
        <v>15</v>
      </c>
      <c r="D29" s="7" t="e">
        <f>+D14/D28*100</f>
        <v>#DIV/0!</v>
      </c>
      <c r="H29" t="s">
        <v>15</v>
      </c>
      <c r="M29" s="7" t="e">
        <f>+M14/M28*100</f>
        <v>#DIV/0!</v>
      </c>
      <c r="Q29" s="9"/>
      <c r="R29" s="9"/>
      <c r="V29" s="9" t="e">
        <f>IF(V25&lt;10,+V26&amp;V27&amp;$U$25&amp;V25,+V26&amp;V27&amp;V25)</f>
        <v>#DIV/0!</v>
      </c>
      <c r="W29" s="9" t="e">
        <f>IF(W25&lt;10,+W26&amp;W27&amp;$U$25&amp;W25,+W26&amp;W27&amp;W25)</f>
        <v>#DIV/0!</v>
      </c>
    </row>
    <row r="30" spans="1:16" ht="12">
      <c r="A30" s="1" t="s">
        <v>90</v>
      </c>
      <c r="D30" s="7" t="e">
        <f>+D23/D28*100</f>
        <v>#DIV/0!</v>
      </c>
      <c r="H30" s="1" t="s">
        <v>90</v>
      </c>
      <c r="M30" s="7" t="e">
        <f>+M23/M28*100</f>
        <v>#DIV/0!</v>
      </c>
      <c r="P30" s="13"/>
    </row>
    <row r="32" spans="1:13" ht="12">
      <c r="A32" t="s">
        <v>16</v>
      </c>
      <c r="D32">
        <f>+D13+D17+D21</f>
        <v>0</v>
      </c>
      <c r="H32" t="s">
        <v>16</v>
      </c>
      <c r="M32">
        <f>+M13+M17+M21</f>
        <v>0</v>
      </c>
    </row>
    <row r="33" spans="1:13" ht="12">
      <c r="A33" t="s">
        <v>17</v>
      </c>
      <c r="D33" s="8" t="e">
        <f>+D28/D32</f>
        <v>#DIV/0!</v>
      </c>
      <c r="E33" s="7"/>
      <c r="F33" s="7"/>
      <c r="G33" s="7"/>
      <c r="H33" s="7" t="s">
        <v>17</v>
      </c>
      <c r="I33" s="7"/>
      <c r="J33" s="7"/>
      <c r="K33" s="7"/>
      <c r="L33" s="7"/>
      <c r="M33" s="8" t="e">
        <f>+M28/M32</f>
        <v>#DIV/0!</v>
      </c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0</v>
      </c>
      <c r="H36" t="s">
        <v>19</v>
      </c>
      <c r="M36" s="2">
        <v>0</v>
      </c>
    </row>
    <row r="37" spans="1:13" ht="12">
      <c r="A37" t="s">
        <v>20</v>
      </c>
      <c r="D37" s="2">
        <v>0</v>
      </c>
      <c r="H37" t="s">
        <v>20</v>
      </c>
      <c r="M37" s="2">
        <v>0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0</v>
      </c>
      <c r="H40" t="s">
        <v>22</v>
      </c>
      <c r="M40" s="2">
        <v>0</v>
      </c>
    </row>
    <row r="41" spans="1:13" ht="12">
      <c r="A41" t="s">
        <v>23</v>
      </c>
      <c r="D41" s="2">
        <v>0</v>
      </c>
      <c r="H41" t="s">
        <v>23</v>
      </c>
      <c r="M41" s="2">
        <v>0</v>
      </c>
    </row>
    <row r="42" spans="1:13" ht="12">
      <c r="A42" t="s">
        <v>24</v>
      </c>
      <c r="D42" s="8" t="e">
        <f>+D41/D40</f>
        <v>#DIV/0!</v>
      </c>
      <c r="E42" s="7"/>
      <c r="F42" s="7"/>
      <c r="G42" s="7"/>
      <c r="H42" s="7" t="s">
        <v>24</v>
      </c>
      <c r="I42" s="7"/>
      <c r="J42" s="7"/>
      <c r="K42" s="7"/>
      <c r="L42" s="7"/>
      <c r="M42" s="8" t="e">
        <f>+M41/M40</f>
        <v>#DIV/0!</v>
      </c>
    </row>
    <row r="44" spans="1:13" ht="12">
      <c r="A44" t="s">
        <v>25</v>
      </c>
      <c r="D44" s="2">
        <v>0</v>
      </c>
      <c r="H44" t="s">
        <v>25</v>
      </c>
      <c r="M44" s="2">
        <v>0</v>
      </c>
    </row>
    <row r="45" spans="1:13" ht="12">
      <c r="A45" t="s">
        <v>26</v>
      </c>
      <c r="D45" s="2">
        <v>0</v>
      </c>
      <c r="H45" t="s">
        <v>26</v>
      </c>
      <c r="M45" s="2">
        <v>0</v>
      </c>
    </row>
    <row r="46" spans="1:13" ht="12">
      <c r="A46" t="s">
        <v>27</v>
      </c>
      <c r="D46" s="8" t="e">
        <f>+D45/D44</f>
        <v>#DIV/0!</v>
      </c>
      <c r="H46" t="s">
        <v>27</v>
      </c>
      <c r="M46" s="8" t="e">
        <f>+M45/M44</f>
        <v>#DIV/0!</v>
      </c>
    </row>
    <row r="47" spans="1:13" ht="12">
      <c r="A47" s="18" t="s">
        <v>131</v>
      </c>
      <c r="D47" s="2">
        <v>0</v>
      </c>
      <c r="H47" s="18" t="s">
        <v>131</v>
      </c>
      <c r="M47" s="2">
        <v>0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0</v>
      </c>
      <c r="H50" t="s">
        <v>30</v>
      </c>
      <c r="M50" s="2">
        <v>0</v>
      </c>
    </row>
    <row r="51" spans="1:13" ht="12">
      <c r="A51" t="s">
        <v>26</v>
      </c>
      <c r="D51" s="2">
        <v>0</v>
      </c>
      <c r="H51" t="s">
        <v>26</v>
      </c>
      <c r="M51" s="2">
        <v>0</v>
      </c>
    </row>
    <row r="52" spans="1:13" ht="12">
      <c r="A52" t="s">
        <v>27</v>
      </c>
      <c r="D52" s="8" t="e">
        <f>+D51/D50</f>
        <v>#DIV/0!</v>
      </c>
      <c r="H52" t="s">
        <v>27</v>
      </c>
      <c r="M52" s="8" t="e">
        <f>+M51/M50</f>
        <v>#DIV/0!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0</v>
      </c>
      <c r="G55" t="str">
        <f>IF(D55-D56=M50,"ok","err")</f>
        <v>ok</v>
      </c>
      <c r="H55" t="s">
        <v>127</v>
      </c>
      <c r="K55" s="2"/>
      <c r="M55" s="2">
        <v>0</v>
      </c>
      <c r="P55" s="2"/>
    </row>
    <row r="56" spans="1:16" ht="12">
      <c r="A56" t="s">
        <v>128</v>
      </c>
      <c r="D56" s="2">
        <v>0</v>
      </c>
      <c r="H56" t="s">
        <v>128</v>
      </c>
      <c r="K56" s="2"/>
      <c r="M56" s="2">
        <v>0</v>
      </c>
      <c r="P56" s="2"/>
    </row>
    <row r="57" spans="1:13" ht="12">
      <c r="A57" t="s">
        <v>129</v>
      </c>
      <c r="D57" t="e">
        <f>+D56/D55</f>
        <v>#DIV/0!</v>
      </c>
      <c r="H57" t="s">
        <v>129</v>
      </c>
      <c r="M57" t="e">
        <f>+M56/M55</f>
        <v>#DIV/0!</v>
      </c>
    </row>
    <row r="59" spans="1:13" ht="12">
      <c r="A59" t="s">
        <v>31</v>
      </c>
      <c r="D59" s="2">
        <v>0</v>
      </c>
      <c r="H59" t="s">
        <v>31</v>
      </c>
      <c r="M59" s="2">
        <v>0</v>
      </c>
    </row>
    <row r="60" spans="1:13" ht="12">
      <c r="A60" t="s">
        <v>32</v>
      </c>
      <c r="D60" s="2">
        <v>0</v>
      </c>
      <c r="H60" t="s">
        <v>32</v>
      </c>
      <c r="M60" s="2">
        <v>0</v>
      </c>
    </row>
    <row r="62" spans="1:13" ht="12">
      <c r="A62" t="s">
        <v>33</v>
      </c>
      <c r="D62" s="2">
        <v>0</v>
      </c>
      <c r="H62" t="s">
        <v>33</v>
      </c>
      <c r="M62" s="2">
        <v>0</v>
      </c>
    </row>
    <row r="63" spans="1:13" ht="12">
      <c r="A63" t="s">
        <v>34</v>
      </c>
      <c r="D63" s="2">
        <v>0</v>
      </c>
      <c r="H63" t="s">
        <v>34</v>
      </c>
      <c r="M63" s="2">
        <v>0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0</v>
      </c>
      <c r="H65" t="s">
        <v>36</v>
      </c>
      <c r="M65" s="2">
        <v>0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0</v>
      </c>
      <c r="H68" t="s">
        <v>38</v>
      </c>
      <c r="M68" s="2">
        <v>0</v>
      </c>
      <c r="N68" t="str">
        <f>IF(K68=K69*6+K75*2+K76*3+K73,"ok","ERR")</f>
        <v>ok</v>
      </c>
      <c r="P68" t="str">
        <f>IF(M68=M69*6+M75*2+M76*3+M73,"ok","ERR")</f>
        <v>ok</v>
      </c>
    </row>
    <row r="69" spans="1:13" ht="12">
      <c r="A69" t="s">
        <v>39</v>
      </c>
      <c r="D69" s="2">
        <v>0</v>
      </c>
      <c r="H69" t="s">
        <v>39</v>
      </c>
      <c r="M69" s="2">
        <v>0</v>
      </c>
    </row>
    <row r="70" spans="1:13" ht="12">
      <c r="A70" t="s">
        <v>40</v>
      </c>
      <c r="D70" s="2">
        <v>0</v>
      </c>
      <c r="H70" t="s">
        <v>40</v>
      </c>
      <c r="M70" s="2">
        <v>0</v>
      </c>
    </row>
    <row r="71" spans="1:13" ht="12">
      <c r="A71" t="s">
        <v>41</v>
      </c>
      <c r="D71" s="2">
        <v>0</v>
      </c>
      <c r="H71" t="s">
        <v>41</v>
      </c>
      <c r="M71" s="2">
        <v>0</v>
      </c>
    </row>
    <row r="72" spans="1:13" ht="12">
      <c r="A72" t="s">
        <v>42</v>
      </c>
      <c r="D72" s="2">
        <v>0</v>
      </c>
      <c r="H72" t="s">
        <v>42</v>
      </c>
      <c r="M72" s="2">
        <v>0</v>
      </c>
    </row>
    <row r="73" spans="1:13" ht="12">
      <c r="A73" t="s">
        <v>43</v>
      </c>
      <c r="D73" s="2">
        <v>0</v>
      </c>
      <c r="H73" t="s">
        <v>43</v>
      </c>
      <c r="M73" s="2">
        <v>0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0</v>
      </c>
      <c r="H76" t="s">
        <v>45</v>
      </c>
      <c r="M76" s="2">
        <v>0</v>
      </c>
    </row>
    <row r="77" spans="1:13" ht="12">
      <c r="A77" t="s">
        <v>46</v>
      </c>
      <c r="D77" s="2">
        <v>0</v>
      </c>
      <c r="H77" t="s">
        <v>46</v>
      </c>
      <c r="M77" s="2">
        <v>0</v>
      </c>
    </row>
    <row r="78" spans="1:13" ht="12">
      <c r="A78" t="s">
        <v>47</v>
      </c>
      <c r="D78" s="8" t="e">
        <f>+D76/D77*100</f>
        <v>#DIV/0!</v>
      </c>
      <c r="E78" s="7"/>
      <c r="F78" s="7"/>
      <c r="G78" s="7"/>
      <c r="H78" s="7" t="s">
        <v>47</v>
      </c>
      <c r="I78" s="7"/>
      <c r="J78" s="7"/>
      <c r="K78" s="7"/>
      <c r="L78" s="7"/>
      <c r="M78" s="8" t="e">
        <f>+M76/M77*100</f>
        <v>#DIV/0!</v>
      </c>
    </row>
    <row r="79" spans="1:13" ht="12">
      <c r="A79" t="s">
        <v>93</v>
      </c>
      <c r="D79" s="10" t="e">
        <f>IF(V25&lt;10,V29,V28)</f>
        <v>#DIV/0!</v>
      </c>
      <c r="E79" s="8"/>
      <c r="F79" s="8"/>
      <c r="H79" t="s">
        <v>93</v>
      </c>
      <c r="M79" s="10">
        <f>IF(AE25&lt;10,AE29,AE28)</f>
        <v>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5" ht="12">
      <c r="A84" t="s">
        <v>134</v>
      </c>
      <c r="E84" s="12" t="e">
        <f>+D84/C84</f>
        <v>#DIV/0!</v>
      </c>
    </row>
    <row r="85" spans="1:5" ht="12">
      <c r="A85" t="s">
        <v>135</v>
      </c>
      <c r="E85" s="12" t="e">
        <f>+D85/C85</f>
        <v>#DIV/0!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5" ht="12">
      <c r="A87" t="s">
        <v>137</v>
      </c>
      <c r="E87" s="12" t="e">
        <f t="shared" si="0"/>
        <v>#DIV/0!</v>
      </c>
    </row>
    <row r="88" spans="1:5" ht="12">
      <c r="A88" t="s">
        <v>138</v>
      </c>
      <c r="E88" s="12" t="e">
        <f t="shared" si="0"/>
        <v>#DIV/0!</v>
      </c>
    </row>
    <row r="89" spans="1:5" ht="12">
      <c r="A89" t="s">
        <v>139</v>
      </c>
      <c r="E89" s="12" t="e">
        <f t="shared" si="0"/>
        <v>#DIV/0!</v>
      </c>
    </row>
    <row r="90" spans="1:5" ht="12">
      <c r="A90" t="s">
        <v>140</v>
      </c>
      <c r="E90" s="12" t="e">
        <f t="shared" si="0"/>
        <v>#DIV/0!</v>
      </c>
    </row>
    <row r="91" spans="1:5" ht="12">
      <c r="A91" t="s">
        <v>141</v>
      </c>
      <c r="E91" s="12" t="e">
        <f t="shared" si="0"/>
        <v>#DIV/0!</v>
      </c>
    </row>
    <row r="92" spans="1:5" ht="12">
      <c r="A92" t="s">
        <v>142</v>
      </c>
      <c r="E92" s="12" t="e">
        <f t="shared" si="0"/>
        <v>#DIV/0!</v>
      </c>
    </row>
    <row r="93" spans="1:5" ht="12">
      <c r="A93" t="s">
        <v>143</v>
      </c>
      <c r="E93" s="12" t="e">
        <f>+D93/C93</f>
        <v>#DIV/0!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5" ht="12">
      <c r="A101" t="s">
        <v>134</v>
      </c>
      <c r="E101" s="12" t="e">
        <f aca="true" t="shared" si="1" ref="E101:E112">+D101/C101</f>
        <v>#DIV/0!</v>
      </c>
    </row>
    <row r="102" spans="1:5" ht="12">
      <c r="A102" t="s">
        <v>144</v>
      </c>
      <c r="E102" s="12" t="e">
        <f t="shared" si="1"/>
        <v>#DIV/0!</v>
      </c>
    </row>
    <row r="103" spans="1:5" ht="12">
      <c r="A103" t="s">
        <v>136</v>
      </c>
      <c r="E103" s="12" t="e">
        <f t="shared" si="1"/>
        <v>#DIV/0!</v>
      </c>
    </row>
    <row r="104" spans="1:5" ht="12">
      <c r="A104" t="s">
        <v>145</v>
      </c>
      <c r="E104" s="12" t="e">
        <f t="shared" si="1"/>
        <v>#DIV/0!</v>
      </c>
    </row>
    <row r="105" spans="1:5" ht="12">
      <c r="A105" t="s">
        <v>137</v>
      </c>
      <c r="E105" s="12" t="e">
        <f t="shared" si="1"/>
        <v>#DIV/0!</v>
      </c>
    </row>
    <row r="106" spans="1:5" ht="12">
      <c r="A106" t="s">
        <v>138</v>
      </c>
      <c r="E106" s="12" t="e">
        <f t="shared" si="1"/>
        <v>#DIV/0!</v>
      </c>
    </row>
    <row r="107" spans="1:5" ht="12">
      <c r="A107" t="s">
        <v>139</v>
      </c>
      <c r="E107" s="12" t="e">
        <f t="shared" si="1"/>
        <v>#DIV/0!</v>
      </c>
    </row>
    <row r="108" spans="1:5" ht="12">
      <c r="A108" t="s">
        <v>140</v>
      </c>
      <c r="E108" s="12" t="e">
        <f t="shared" si="1"/>
        <v>#DIV/0!</v>
      </c>
    </row>
    <row r="109" spans="1:5" ht="12">
      <c r="A109" t="s">
        <v>141</v>
      </c>
      <c r="E109" s="12" t="e">
        <f t="shared" si="1"/>
        <v>#DIV/0!</v>
      </c>
    </row>
    <row r="110" spans="1:5" ht="12">
      <c r="A110" t="s">
        <v>143</v>
      </c>
      <c r="E110" s="12" t="e">
        <f t="shared" si="1"/>
        <v>#DIV/0!</v>
      </c>
    </row>
    <row r="111" spans="1:5" ht="12">
      <c r="A111" t="s">
        <v>146</v>
      </c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133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E122" s="12" t="e">
        <f t="shared" si="2"/>
        <v>#DIV/0!</v>
      </c>
      <c r="J122" s="8" t="e">
        <f t="shared" si="3"/>
        <v>#DIV/0!</v>
      </c>
      <c r="K122" s="12" t="e">
        <f t="shared" si="4"/>
        <v>#DIV/0!</v>
      </c>
      <c r="L122" s="12" t="e">
        <f t="shared" si="5"/>
        <v>#DIV/0!</v>
      </c>
      <c r="M122" s="12" t="e">
        <f t="shared" si="6"/>
        <v>#DIV/0!</v>
      </c>
      <c r="R122" t="e">
        <f t="shared" si="7"/>
        <v>#DIV/0!</v>
      </c>
      <c r="S122" s="2" t="e">
        <f t="shared" si="8"/>
        <v>#DIV/0!</v>
      </c>
      <c r="T122" s="6" t="e">
        <f t="shared" si="9"/>
        <v>#DIV/0!</v>
      </c>
      <c r="U122" s="2" t="e">
        <f t="shared" si="10"/>
        <v>#DIV/0!</v>
      </c>
      <c r="V122" t="e">
        <f t="shared" si="11"/>
        <v>#DIV/0!</v>
      </c>
      <c r="W122" s="2" t="e">
        <f t="shared" si="12"/>
        <v>#DIV/0!</v>
      </c>
      <c r="X122" t="e">
        <f t="shared" si="13"/>
        <v>#DIV/0!</v>
      </c>
      <c r="Y122" s="2" t="e">
        <f t="shared" si="14"/>
        <v>#DIV/0!</v>
      </c>
    </row>
    <row r="123" spans="1:25" ht="12">
      <c r="A123" t="s">
        <v>147</v>
      </c>
      <c r="E123" s="12" t="e">
        <f t="shared" si="2"/>
        <v>#DIV/0!</v>
      </c>
      <c r="J123" s="8" t="e">
        <f t="shared" si="3"/>
        <v>#DIV/0!</v>
      </c>
      <c r="K123" s="12" t="e">
        <f t="shared" si="4"/>
        <v>#DIV/0!</v>
      </c>
      <c r="L123" s="12" t="e">
        <f t="shared" si="5"/>
        <v>#DIV/0!</v>
      </c>
      <c r="M123" s="12" t="e">
        <f t="shared" si="6"/>
        <v>#DIV/0!</v>
      </c>
      <c r="R123" t="e">
        <f t="shared" si="7"/>
        <v>#DIV/0!</v>
      </c>
      <c r="S123" s="2" t="e">
        <f t="shared" si="8"/>
        <v>#DIV/0!</v>
      </c>
      <c r="T123" s="6" t="e">
        <f t="shared" si="9"/>
        <v>#DIV/0!</v>
      </c>
      <c r="U123" s="2" t="e">
        <f t="shared" si="10"/>
        <v>#DIV/0!</v>
      </c>
      <c r="V123" t="e">
        <f t="shared" si="11"/>
        <v>#DIV/0!</v>
      </c>
      <c r="W123" s="2" t="e">
        <f t="shared" si="12"/>
        <v>#DIV/0!</v>
      </c>
      <c r="X123" t="e">
        <f t="shared" si="13"/>
        <v>#DIV/0!</v>
      </c>
      <c r="Y123" s="2" t="e">
        <f t="shared" si="14"/>
        <v>#DIV/0!</v>
      </c>
    </row>
    <row r="124" spans="1:25" ht="12">
      <c r="A124" t="s">
        <v>142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143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5:25" ht="12"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8" spans="1:9" ht="12">
      <c r="A128" s="2" t="s">
        <v>71</v>
      </c>
      <c r="C128" s="3" t="s">
        <v>72</v>
      </c>
      <c r="D128" s="3" t="s">
        <v>73</v>
      </c>
      <c r="E128" s="3" t="s">
        <v>74</v>
      </c>
      <c r="F128" s="3" t="s">
        <v>53</v>
      </c>
      <c r="G128" s="3" t="s">
        <v>64</v>
      </c>
      <c r="H128" s="3" t="s">
        <v>55</v>
      </c>
      <c r="I128" s="3" t="s">
        <v>84</v>
      </c>
    </row>
    <row r="129" spans="1:6" ht="12">
      <c r="A129" t="s">
        <v>148</v>
      </c>
      <c r="F129" s="12" t="e">
        <f aca="true" t="shared" si="15" ref="F129:F134">+E129/C129</f>
        <v>#DIV/0!</v>
      </c>
    </row>
    <row r="130" spans="1:6" ht="12">
      <c r="A130" t="s">
        <v>136</v>
      </c>
      <c r="F130" s="12" t="e">
        <f t="shared" si="15"/>
        <v>#DIV/0!</v>
      </c>
    </row>
    <row r="131" spans="1:6" ht="12">
      <c r="A131" t="s">
        <v>140</v>
      </c>
      <c r="F131" s="12" t="e">
        <f t="shared" si="15"/>
        <v>#DIV/0!</v>
      </c>
    </row>
    <row r="132" spans="1:6" ht="12">
      <c r="A132" t="s">
        <v>143</v>
      </c>
      <c r="F132" s="12" t="e">
        <f t="shared" si="15"/>
        <v>#DIV/0!</v>
      </c>
    </row>
    <row r="133" ht="12">
      <c r="F133" s="12" t="e">
        <f t="shared" si="15"/>
        <v>#DIV/0!</v>
      </c>
    </row>
    <row r="134" ht="12">
      <c r="F134" s="12" t="e">
        <f t="shared" si="15"/>
        <v>#DIV/0!</v>
      </c>
    </row>
    <row r="138" spans="1:8" ht="12">
      <c r="A138" s="2" t="s">
        <v>30</v>
      </c>
      <c r="C138" s="3" t="s">
        <v>72</v>
      </c>
      <c r="D138" s="3" t="s">
        <v>74</v>
      </c>
      <c r="E138" s="3" t="s">
        <v>53</v>
      </c>
      <c r="F138" s="3" t="s">
        <v>64</v>
      </c>
      <c r="G138" s="3" t="s">
        <v>55</v>
      </c>
      <c r="H138" s="3" t="s">
        <v>84</v>
      </c>
    </row>
    <row r="139" spans="1:5" ht="12">
      <c r="A139" t="s">
        <v>149</v>
      </c>
      <c r="E139" s="12" t="e">
        <f aca="true" t="shared" si="16" ref="E139:E144">+D139/C139</f>
        <v>#DIV/0!</v>
      </c>
    </row>
    <row r="140" spans="1:5" ht="12">
      <c r="A140" t="s">
        <v>148</v>
      </c>
      <c r="E140" s="12" t="e">
        <f t="shared" si="16"/>
        <v>#DIV/0!</v>
      </c>
    </row>
    <row r="141" spans="1:5" ht="12">
      <c r="A141" t="s">
        <v>136</v>
      </c>
      <c r="E141" s="12" t="e">
        <f t="shared" si="16"/>
        <v>#DIV/0!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151</v>
      </c>
      <c r="E143" s="12" t="e">
        <f t="shared" si="16"/>
        <v>#DIV/0!</v>
      </c>
    </row>
    <row r="144" spans="1:5" ht="12">
      <c r="A144" t="s">
        <v>152</v>
      </c>
      <c r="E144" s="12" t="e">
        <f t="shared" si="16"/>
        <v>#DIV/0!</v>
      </c>
    </row>
    <row r="145" spans="1:5" ht="12">
      <c r="A145" t="s">
        <v>138</v>
      </c>
      <c r="E145" s="12" t="e">
        <f aca="true" t="shared" si="17" ref="E145:E151">+D145/C145</f>
        <v>#DIV/0!</v>
      </c>
    </row>
    <row r="146" spans="1:5" ht="12">
      <c r="A146" t="s">
        <v>143</v>
      </c>
      <c r="E146" s="12" t="e">
        <f t="shared" si="17"/>
        <v>#DIV/0!</v>
      </c>
    </row>
    <row r="147" spans="1:5" ht="12">
      <c r="A147" t="s">
        <v>146</v>
      </c>
      <c r="E147" s="12" t="e">
        <f t="shared" si="17"/>
        <v>#DIV/0!</v>
      </c>
    </row>
    <row r="148" spans="1:5" ht="12">
      <c r="A148" t="s">
        <v>153</v>
      </c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3" spans="1:8" ht="12">
      <c r="A153" s="2" t="s">
        <v>75</v>
      </c>
      <c r="C153" s="3" t="s">
        <v>72</v>
      </c>
      <c r="D153" s="3" t="s">
        <v>74</v>
      </c>
      <c r="E153" s="3" t="s">
        <v>53</v>
      </c>
      <c r="F153" s="3" t="s">
        <v>64</v>
      </c>
      <c r="G153" s="3" t="s">
        <v>76</v>
      </c>
      <c r="H153" s="3" t="s">
        <v>84</v>
      </c>
    </row>
    <row r="154" spans="1:5" ht="12">
      <c r="A154" t="s">
        <v>154</v>
      </c>
      <c r="E154" s="12"/>
    </row>
    <row r="160" spans="9:21" ht="12">
      <c r="I160" s="5" t="s">
        <v>67</v>
      </c>
      <c r="L160" s="32" t="s">
        <v>99</v>
      </c>
      <c r="M160" s="32"/>
      <c r="N160" s="32" t="s">
        <v>100</v>
      </c>
      <c r="O160" s="32"/>
      <c r="P160" s="32" t="s">
        <v>101</v>
      </c>
      <c r="Q160" s="32"/>
      <c r="R160" s="32" t="s">
        <v>102</v>
      </c>
      <c r="S160" s="32"/>
      <c r="T160" s="32" t="s">
        <v>103</v>
      </c>
      <c r="U160" s="32"/>
    </row>
    <row r="161" spans="1:21" ht="12">
      <c r="A161" s="4" t="s">
        <v>83</v>
      </c>
      <c r="C161" s="3" t="s">
        <v>77</v>
      </c>
      <c r="D161" s="3" t="s">
        <v>78</v>
      </c>
      <c r="E161" s="3" t="s">
        <v>79</v>
      </c>
      <c r="F161" s="3" t="s">
        <v>80</v>
      </c>
      <c r="G161" s="3" t="s">
        <v>81</v>
      </c>
      <c r="H161" s="3" t="s">
        <v>82</v>
      </c>
      <c r="I161" s="3" t="s">
        <v>86</v>
      </c>
      <c r="J161" s="3" t="s">
        <v>64</v>
      </c>
      <c r="L161" s="3" t="s">
        <v>81</v>
      </c>
      <c r="M161" s="3" t="s">
        <v>82</v>
      </c>
      <c r="N161" s="3" t="s">
        <v>81</v>
      </c>
      <c r="O161" s="3" t="s">
        <v>82</v>
      </c>
      <c r="P161" s="3" t="s">
        <v>81</v>
      </c>
      <c r="Q161" s="3" t="s">
        <v>82</v>
      </c>
      <c r="R161" s="3" t="s">
        <v>81</v>
      </c>
      <c r="S161" s="3" t="s">
        <v>82</v>
      </c>
      <c r="T161" s="3" t="s">
        <v>81</v>
      </c>
      <c r="U161" s="3" t="s">
        <v>82</v>
      </c>
    </row>
    <row r="162" spans="1:9" ht="12">
      <c r="A162" t="s">
        <v>155</v>
      </c>
      <c r="I162" s="12" t="e">
        <f aca="true" t="shared" si="18" ref="I162:I169">+H162/G162*100</f>
        <v>#DIV/0!</v>
      </c>
    </row>
    <row r="163" spans="1:9" ht="12">
      <c r="A163" t="s">
        <v>154</v>
      </c>
      <c r="I163" s="12" t="e">
        <f t="shared" si="18"/>
        <v>#DIV/0!</v>
      </c>
    </row>
    <row r="164" ht="12">
      <c r="I164" s="12" t="e">
        <f t="shared" si="18"/>
        <v>#DIV/0!</v>
      </c>
    </row>
    <row r="165" ht="12">
      <c r="I165" s="12" t="e">
        <f t="shared" si="18"/>
        <v>#DIV/0!</v>
      </c>
    </row>
    <row r="166" ht="12">
      <c r="I166" s="12" t="e">
        <f t="shared" si="18"/>
        <v>#DIV/0!</v>
      </c>
    </row>
    <row r="167" ht="12"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2" spans="1:8" ht="12">
      <c r="A172" s="2" t="s">
        <v>85</v>
      </c>
      <c r="C172" s="3" t="s">
        <v>72</v>
      </c>
      <c r="D172" s="3" t="s">
        <v>74</v>
      </c>
      <c r="E172" s="3" t="s">
        <v>53</v>
      </c>
      <c r="F172" s="3" t="s">
        <v>64</v>
      </c>
      <c r="G172" s="3" t="s">
        <v>55</v>
      </c>
      <c r="H172" s="3" t="s">
        <v>84</v>
      </c>
    </row>
    <row r="173" spans="1:5" ht="12">
      <c r="A173" t="s">
        <v>156</v>
      </c>
      <c r="E173" s="12" t="e">
        <f>+D173/C173</f>
        <v>#DIV/0!</v>
      </c>
    </row>
    <row r="174" spans="1:5" ht="12">
      <c r="A174" t="s">
        <v>149</v>
      </c>
      <c r="E174" s="12" t="e">
        <f aca="true" t="shared" si="19" ref="E174:E180">+D174/C174</f>
        <v>#DIV/0!</v>
      </c>
    </row>
    <row r="175" spans="1:5" ht="12">
      <c r="A175" t="s">
        <v>157</v>
      </c>
      <c r="E175" s="12" t="e">
        <f t="shared" si="19"/>
        <v>#DIV/0!</v>
      </c>
    </row>
    <row r="176" spans="1:5" ht="12">
      <c r="A176" t="s">
        <v>158</v>
      </c>
      <c r="E176" s="12" t="e">
        <f t="shared" si="19"/>
        <v>#DIV/0!</v>
      </c>
    </row>
    <row r="177" spans="1:5" ht="12">
      <c r="A177" t="s">
        <v>159</v>
      </c>
      <c r="E177" s="12" t="e">
        <f t="shared" si="19"/>
        <v>#DIV/0!</v>
      </c>
    </row>
    <row r="178" spans="1:5" ht="12">
      <c r="A178" t="s">
        <v>160</v>
      </c>
      <c r="E178" s="12" t="e">
        <f t="shared" si="19"/>
        <v>#DIV/0!</v>
      </c>
    </row>
    <row r="179" spans="1:5" ht="12">
      <c r="A179" t="s">
        <v>161</v>
      </c>
      <c r="E179" s="12" t="e">
        <f t="shared" si="19"/>
        <v>#DIV/0!</v>
      </c>
    </row>
    <row r="180" spans="1:5" ht="12">
      <c r="A180" t="s">
        <v>147</v>
      </c>
      <c r="E180" s="12" t="e">
        <f t="shared" si="19"/>
        <v>#DIV/0!</v>
      </c>
    </row>
    <row r="181" spans="1:5" ht="12">
      <c r="A181" t="s">
        <v>153</v>
      </c>
      <c r="E181" s="12" t="e">
        <f>+D181/C181</f>
        <v>#DIV/0!</v>
      </c>
    </row>
    <row r="182" spans="1:5" ht="12">
      <c r="A182" t="s">
        <v>162</v>
      </c>
      <c r="E182" s="12" t="e">
        <f>+D182/C182</f>
        <v>#DIV/0!</v>
      </c>
    </row>
    <row r="183" spans="1:5" ht="12">
      <c r="A183" s="1"/>
      <c r="E183" s="12" t="e">
        <f>+D183/C183</f>
        <v>#DIV/0!</v>
      </c>
    </row>
    <row r="184" spans="1:5" ht="12">
      <c r="A184" s="1"/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/>
    </row>
    <row r="187" spans="1:4" ht="12">
      <c r="A187" s="2" t="s">
        <v>98</v>
      </c>
      <c r="C187" s="3" t="s">
        <v>72</v>
      </c>
      <c r="D187" s="3" t="s">
        <v>74</v>
      </c>
    </row>
    <row r="188" spans="1:4" ht="12">
      <c r="A188" s="20" t="s">
        <v>156</v>
      </c>
      <c r="C188" s="3"/>
      <c r="D188" s="3"/>
    </row>
    <row r="189" spans="1:4" ht="12">
      <c r="A189" s="20" t="s">
        <v>157</v>
      </c>
      <c r="C189" s="3"/>
      <c r="D189" s="3"/>
    </row>
    <row r="190" spans="1:4" ht="12">
      <c r="A190" s="20" t="s">
        <v>158</v>
      </c>
      <c r="C190" s="3"/>
      <c r="D190" s="3"/>
    </row>
    <row r="191" spans="1:4" ht="12">
      <c r="A191" s="20" t="s">
        <v>159</v>
      </c>
      <c r="C191" s="3"/>
      <c r="D191" s="3"/>
    </row>
    <row r="192" spans="1:4" ht="12">
      <c r="A192" s="20" t="s">
        <v>163</v>
      </c>
      <c r="C192" s="3"/>
      <c r="D192" s="3"/>
    </row>
    <row r="193" spans="1:4" ht="12">
      <c r="A193" s="20" t="s">
        <v>164</v>
      </c>
      <c r="C193" s="3"/>
      <c r="D193" s="3"/>
    </row>
    <row r="194" spans="1:4" ht="12">
      <c r="A194" s="20" t="s">
        <v>161</v>
      </c>
      <c r="C194" s="3"/>
      <c r="D194" s="3"/>
    </row>
    <row r="195" spans="1:4" ht="12">
      <c r="A195" s="20" t="s">
        <v>165</v>
      </c>
      <c r="C195" s="3"/>
      <c r="D195" s="3"/>
    </row>
    <row r="196" spans="1:4" ht="12">
      <c r="A196" s="20" t="s">
        <v>147</v>
      </c>
      <c r="C196" s="3"/>
      <c r="D196" s="3"/>
    </row>
    <row r="197" spans="1:4" ht="12">
      <c r="A197" s="20" t="s">
        <v>166</v>
      </c>
      <c r="C197" s="3"/>
      <c r="D197" s="3"/>
    </row>
    <row r="198" spans="1:4" ht="12">
      <c r="A198" s="20"/>
      <c r="C198" s="3"/>
      <c r="D198" s="3"/>
    </row>
    <row r="199" spans="1:4" ht="12">
      <c r="A199" s="20"/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"/>
      <c r="C202" s="3"/>
      <c r="D202" s="3"/>
    </row>
    <row r="203" spans="1:4" ht="12">
      <c r="A203" s="2"/>
      <c r="C203" s="3"/>
      <c r="D203" s="3"/>
    </row>
    <row r="204" spans="1:4" ht="12">
      <c r="A204" s="2"/>
      <c r="C204" s="3"/>
      <c r="D204" s="3"/>
    </row>
    <row r="205" spans="1:7" ht="12">
      <c r="A205" s="2" t="s">
        <v>94</v>
      </c>
      <c r="C205" s="3" t="s">
        <v>72</v>
      </c>
      <c r="D205" s="3" t="s">
        <v>74</v>
      </c>
      <c r="E205" s="3" t="s">
        <v>64</v>
      </c>
      <c r="F205" s="3" t="s">
        <v>55</v>
      </c>
      <c r="G205" s="5" t="s">
        <v>84</v>
      </c>
    </row>
    <row r="206" ht="12">
      <c r="A206" t="s">
        <v>167</v>
      </c>
    </row>
    <row r="207" ht="12">
      <c r="A207" t="s">
        <v>156</v>
      </c>
    </row>
    <row r="208" ht="12">
      <c r="A208" t="s">
        <v>149</v>
      </c>
    </row>
    <row r="209" ht="12">
      <c r="A209" t="s">
        <v>157</v>
      </c>
    </row>
    <row r="210" ht="12">
      <c r="A210" t="s">
        <v>133</v>
      </c>
    </row>
    <row r="211" ht="12">
      <c r="A211" t="s">
        <v>134</v>
      </c>
    </row>
    <row r="212" ht="12">
      <c r="A212" t="s">
        <v>158</v>
      </c>
    </row>
    <row r="213" ht="12">
      <c r="A213" t="s">
        <v>168</v>
      </c>
    </row>
    <row r="214" ht="12">
      <c r="A214" t="s">
        <v>135</v>
      </c>
    </row>
    <row r="215" ht="12">
      <c r="A215" t="s">
        <v>159</v>
      </c>
    </row>
    <row r="216" ht="12">
      <c r="A216" t="s">
        <v>169</v>
      </c>
    </row>
    <row r="217" ht="12">
      <c r="A217" t="s">
        <v>144</v>
      </c>
    </row>
    <row r="218" ht="12">
      <c r="A218" t="s">
        <v>148</v>
      </c>
    </row>
    <row r="219" ht="12">
      <c r="A219" t="s">
        <v>163</v>
      </c>
    </row>
    <row r="220" ht="12">
      <c r="A220" t="s">
        <v>160</v>
      </c>
    </row>
    <row r="221" ht="12">
      <c r="A221" t="s">
        <v>136</v>
      </c>
    </row>
    <row r="222" ht="12">
      <c r="A222" t="s">
        <v>170</v>
      </c>
    </row>
    <row r="223" ht="12">
      <c r="A223" t="s">
        <v>154</v>
      </c>
    </row>
    <row r="224" ht="12">
      <c r="A224" t="s">
        <v>150</v>
      </c>
    </row>
    <row r="225" ht="12">
      <c r="A225" t="s">
        <v>171</v>
      </c>
    </row>
    <row r="226" ht="12">
      <c r="A226" t="s">
        <v>164</v>
      </c>
    </row>
    <row r="227" ht="12">
      <c r="A227" t="s">
        <v>145</v>
      </c>
    </row>
    <row r="228" ht="12">
      <c r="A228" t="s">
        <v>137</v>
      </c>
    </row>
    <row r="229" ht="12">
      <c r="A229" t="s">
        <v>151</v>
      </c>
    </row>
    <row r="230" ht="12">
      <c r="A230" t="s">
        <v>152</v>
      </c>
    </row>
    <row r="231" ht="12">
      <c r="A231" t="s">
        <v>138</v>
      </c>
    </row>
    <row r="232" ht="12">
      <c r="A232" t="s">
        <v>139</v>
      </c>
    </row>
    <row r="233" ht="12">
      <c r="A233" t="s">
        <v>161</v>
      </c>
    </row>
    <row r="234" ht="12">
      <c r="A234" t="s">
        <v>172</v>
      </c>
    </row>
    <row r="235" ht="12">
      <c r="A235" t="s">
        <v>140</v>
      </c>
    </row>
    <row r="236" ht="12">
      <c r="A236" t="s">
        <v>165</v>
      </c>
    </row>
    <row r="237" ht="12">
      <c r="A237" t="s">
        <v>155</v>
      </c>
    </row>
    <row r="238" ht="12">
      <c r="A238" t="s">
        <v>147</v>
      </c>
    </row>
    <row r="239" ht="12">
      <c r="A239" t="s">
        <v>173</v>
      </c>
    </row>
    <row r="240" ht="12">
      <c r="A240" t="s">
        <v>141</v>
      </c>
    </row>
    <row r="241" ht="12">
      <c r="A241" t="s">
        <v>174</v>
      </c>
    </row>
    <row r="242" ht="12">
      <c r="A242" t="s">
        <v>166</v>
      </c>
    </row>
    <row r="243" ht="12">
      <c r="A243" t="s">
        <v>175</v>
      </c>
    </row>
    <row r="244" ht="12">
      <c r="A244" t="s">
        <v>176</v>
      </c>
    </row>
    <row r="245" ht="12">
      <c r="A245" t="s">
        <v>142</v>
      </c>
    </row>
    <row r="246" ht="12">
      <c r="A246" t="s">
        <v>177</v>
      </c>
    </row>
    <row r="247" ht="12">
      <c r="A247" t="s">
        <v>143</v>
      </c>
    </row>
    <row r="248" ht="12">
      <c r="A248" t="s">
        <v>178</v>
      </c>
    </row>
    <row r="249" ht="12">
      <c r="A249" t="s">
        <v>179</v>
      </c>
    </row>
    <row r="250" ht="12">
      <c r="A250" t="s">
        <v>146</v>
      </c>
    </row>
    <row r="251" ht="12">
      <c r="A251" t="s">
        <v>153</v>
      </c>
    </row>
    <row r="252" ht="12">
      <c r="A252" t="s">
        <v>162</v>
      </c>
    </row>
    <row r="253" ht="12">
      <c r="A253" t="s">
        <v>180</v>
      </c>
    </row>
  </sheetData>
  <sheetProtection/>
  <mergeCells count="5">
    <mergeCell ref="L160:M160"/>
    <mergeCell ref="N160:O160"/>
    <mergeCell ref="P160:Q160"/>
    <mergeCell ref="R160:S160"/>
    <mergeCell ref="T160:U160"/>
  </mergeCells>
  <printOptions/>
  <pageMargins left="0.75" right="0.75" top="1" bottom="1" header="0.5" footer="0.5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53"/>
  <sheetViews>
    <sheetView zoomScale="125" zoomScaleNormal="125" workbookViewId="0" topLeftCell="A1">
      <selection activeCell="C56" sqref="C56"/>
    </sheetView>
  </sheetViews>
  <sheetFormatPr defaultColWidth="11.421875" defaultRowHeight="12.75"/>
  <sheetData>
    <row r="1" spans="1:5" ht="12">
      <c r="A1" s="2" t="s">
        <v>113</v>
      </c>
      <c r="C1" t="s">
        <v>114</v>
      </c>
      <c r="D1" t="s">
        <v>115</v>
      </c>
      <c r="E1" t="s">
        <v>116</v>
      </c>
    </row>
    <row r="2" spans="1:5" ht="12">
      <c r="A2" t="s">
        <v>182</v>
      </c>
      <c r="B2" s="21" t="s">
        <v>167</v>
      </c>
      <c r="C2" s="21" t="s">
        <v>183</v>
      </c>
      <c r="D2" s="21">
        <v>5</v>
      </c>
      <c r="E2" s="21">
        <v>1</v>
      </c>
    </row>
    <row r="3" spans="1:5" ht="12">
      <c r="A3" t="s">
        <v>184</v>
      </c>
      <c r="B3" s="21" t="s">
        <v>156</v>
      </c>
      <c r="C3" s="21" t="s">
        <v>185</v>
      </c>
      <c r="D3" s="21">
        <v>14</v>
      </c>
      <c r="E3" s="21">
        <v>13</v>
      </c>
    </row>
    <row r="4" spans="1:5" ht="12">
      <c r="A4" t="s">
        <v>186</v>
      </c>
      <c r="B4" s="21" t="s">
        <v>149</v>
      </c>
      <c r="C4" s="21" t="s">
        <v>187</v>
      </c>
      <c r="D4" s="21">
        <v>8</v>
      </c>
      <c r="E4" s="21">
        <v>0</v>
      </c>
    </row>
    <row r="5" spans="1:5" ht="12">
      <c r="A5" t="s">
        <v>188</v>
      </c>
      <c r="B5" s="21" t="s">
        <v>157</v>
      </c>
      <c r="C5" s="21" t="s">
        <v>189</v>
      </c>
      <c r="D5" s="21">
        <v>14</v>
      </c>
      <c r="E5" s="21">
        <v>14</v>
      </c>
    </row>
    <row r="6" spans="1:5" ht="12">
      <c r="A6" t="s">
        <v>190</v>
      </c>
      <c r="B6" s="21" t="s">
        <v>133</v>
      </c>
      <c r="C6" s="21" t="s">
        <v>191</v>
      </c>
      <c r="D6" s="21">
        <v>3</v>
      </c>
      <c r="E6" s="21">
        <v>0</v>
      </c>
    </row>
    <row r="7" spans="1:5" ht="12">
      <c r="A7" t="s">
        <v>192</v>
      </c>
      <c r="B7" s="21" t="s">
        <v>134</v>
      </c>
      <c r="C7" s="21" t="s">
        <v>193</v>
      </c>
      <c r="D7" s="21">
        <v>12</v>
      </c>
      <c r="E7" s="21">
        <v>9</v>
      </c>
    </row>
    <row r="8" spans="1:5" ht="12">
      <c r="A8" t="s">
        <v>194</v>
      </c>
      <c r="B8" s="21" t="s">
        <v>158</v>
      </c>
      <c r="C8" s="21" t="s">
        <v>195</v>
      </c>
      <c r="D8" s="21">
        <v>14</v>
      </c>
      <c r="E8" s="21">
        <v>14</v>
      </c>
    </row>
    <row r="9" spans="1:5" ht="12">
      <c r="A9" t="s">
        <v>196</v>
      </c>
      <c r="B9" s="21" t="s">
        <v>168</v>
      </c>
      <c r="C9" s="21" t="s">
        <v>197</v>
      </c>
      <c r="D9" s="21">
        <v>10</v>
      </c>
      <c r="E9" s="21">
        <v>8</v>
      </c>
    </row>
    <row r="10" spans="1:5" ht="12">
      <c r="A10" t="s">
        <v>198</v>
      </c>
      <c r="B10" s="21" t="s">
        <v>135</v>
      </c>
      <c r="C10" s="21" t="s">
        <v>191</v>
      </c>
      <c r="D10" s="21">
        <v>13</v>
      </c>
      <c r="E10" s="21">
        <v>12</v>
      </c>
    </row>
    <row r="11" spans="1:5" ht="12">
      <c r="A11" t="s">
        <v>199</v>
      </c>
      <c r="B11" s="21" t="s">
        <v>159</v>
      </c>
      <c r="C11" s="21" t="s">
        <v>200</v>
      </c>
      <c r="D11" s="21">
        <v>14</v>
      </c>
      <c r="E11" s="21">
        <v>14</v>
      </c>
    </row>
    <row r="12" spans="1:5" ht="12">
      <c r="A12" t="s">
        <v>201</v>
      </c>
      <c r="B12" s="21" t="s">
        <v>169</v>
      </c>
      <c r="C12" s="21" t="s">
        <v>115</v>
      </c>
      <c r="D12" s="21">
        <v>9</v>
      </c>
      <c r="E12" s="21">
        <v>0</v>
      </c>
    </row>
    <row r="13" spans="1:5" ht="12">
      <c r="A13" t="s">
        <v>202</v>
      </c>
      <c r="B13" s="21" t="s">
        <v>144</v>
      </c>
      <c r="C13" s="21" t="s">
        <v>203</v>
      </c>
      <c r="D13" s="21">
        <v>7</v>
      </c>
      <c r="E13" s="21">
        <v>7</v>
      </c>
    </row>
    <row r="14" spans="1:5" ht="12">
      <c r="A14" t="s">
        <v>204</v>
      </c>
      <c r="B14" s="21" t="s">
        <v>148</v>
      </c>
      <c r="C14" s="21" t="s">
        <v>205</v>
      </c>
      <c r="D14" s="21">
        <v>6</v>
      </c>
      <c r="E14" s="21">
        <v>0</v>
      </c>
    </row>
    <row r="15" spans="1:5" ht="12">
      <c r="A15" t="s">
        <v>194</v>
      </c>
      <c r="B15" s="21" t="s">
        <v>163</v>
      </c>
      <c r="C15" s="21" t="s">
        <v>206</v>
      </c>
      <c r="D15" s="21">
        <v>12</v>
      </c>
      <c r="E15" s="21">
        <v>8</v>
      </c>
    </row>
    <row r="16" spans="1:5" ht="12">
      <c r="A16" t="s">
        <v>207</v>
      </c>
      <c r="B16" s="21" t="s">
        <v>160</v>
      </c>
      <c r="C16" s="21" t="s">
        <v>208</v>
      </c>
      <c r="D16" s="21">
        <v>14</v>
      </c>
      <c r="E16" s="21">
        <v>13</v>
      </c>
    </row>
    <row r="17" spans="1:5" ht="12">
      <c r="A17" t="s">
        <v>194</v>
      </c>
      <c r="B17" s="21" t="s">
        <v>136</v>
      </c>
      <c r="C17" s="21" t="s">
        <v>209</v>
      </c>
      <c r="D17" s="21">
        <v>14</v>
      </c>
      <c r="E17" s="21">
        <v>14</v>
      </c>
    </row>
    <row r="18" spans="1:5" ht="12">
      <c r="A18" t="s">
        <v>194</v>
      </c>
      <c r="B18" s="21" t="s">
        <v>170</v>
      </c>
      <c r="C18" s="21" t="s">
        <v>210</v>
      </c>
      <c r="D18" s="21">
        <v>14</v>
      </c>
      <c r="E18" s="21">
        <v>14</v>
      </c>
    </row>
    <row r="19" spans="1:5" ht="12">
      <c r="A19" t="s">
        <v>211</v>
      </c>
      <c r="B19" s="21" t="s">
        <v>154</v>
      </c>
      <c r="C19" s="21" t="s">
        <v>212</v>
      </c>
      <c r="D19" s="21">
        <v>14</v>
      </c>
      <c r="E19" s="21">
        <v>0</v>
      </c>
    </row>
    <row r="20" spans="1:5" ht="12">
      <c r="A20" t="s">
        <v>213</v>
      </c>
      <c r="B20" s="21" t="s">
        <v>150</v>
      </c>
      <c r="C20" s="21" t="s">
        <v>214</v>
      </c>
      <c r="D20" s="21">
        <v>14</v>
      </c>
      <c r="E20" s="21">
        <v>14</v>
      </c>
    </row>
    <row r="21" spans="1:5" ht="12">
      <c r="A21" t="s">
        <v>215</v>
      </c>
      <c r="B21" s="21" t="s">
        <v>171</v>
      </c>
      <c r="C21" s="21" t="s">
        <v>214</v>
      </c>
      <c r="D21" s="21">
        <v>2</v>
      </c>
      <c r="E21" s="21">
        <v>0</v>
      </c>
    </row>
    <row r="22" spans="1:5" ht="12">
      <c r="A22" t="s">
        <v>216</v>
      </c>
      <c r="B22" s="21" t="s">
        <v>164</v>
      </c>
      <c r="C22" s="21" t="s">
        <v>200</v>
      </c>
      <c r="D22" s="21">
        <v>14</v>
      </c>
      <c r="E22" s="21">
        <v>6</v>
      </c>
    </row>
    <row r="23" spans="1:5" ht="12">
      <c r="A23" t="s">
        <v>217</v>
      </c>
      <c r="B23" s="21" t="s">
        <v>145</v>
      </c>
      <c r="C23" s="21" t="s">
        <v>209</v>
      </c>
      <c r="D23" s="21">
        <v>14</v>
      </c>
      <c r="E23" s="21">
        <v>0</v>
      </c>
    </row>
    <row r="24" spans="1:5" ht="12">
      <c r="A24" t="s">
        <v>196</v>
      </c>
      <c r="B24" s="21" t="s">
        <v>137</v>
      </c>
      <c r="C24" s="21" t="s">
        <v>218</v>
      </c>
      <c r="D24" s="21">
        <v>14</v>
      </c>
      <c r="E24" s="21">
        <v>2</v>
      </c>
    </row>
    <row r="25" spans="1:5" ht="12">
      <c r="A25" t="s">
        <v>188</v>
      </c>
      <c r="B25" s="21" t="s">
        <v>151</v>
      </c>
      <c r="C25" s="21" t="s">
        <v>115</v>
      </c>
      <c r="D25" s="21">
        <v>2</v>
      </c>
      <c r="E25" s="21">
        <v>0</v>
      </c>
    </row>
    <row r="26" spans="1:5" ht="12">
      <c r="A26" t="s">
        <v>190</v>
      </c>
      <c r="B26" s="21" t="s">
        <v>152</v>
      </c>
      <c r="C26" s="21" t="s">
        <v>219</v>
      </c>
      <c r="D26" s="21">
        <v>14</v>
      </c>
      <c r="E26" s="21">
        <v>0</v>
      </c>
    </row>
    <row r="27" spans="1:5" ht="12">
      <c r="A27" t="s">
        <v>220</v>
      </c>
      <c r="B27" s="21" t="s">
        <v>138</v>
      </c>
      <c r="C27" s="21" t="s">
        <v>193</v>
      </c>
      <c r="D27" s="21">
        <v>14</v>
      </c>
      <c r="E27" s="21">
        <v>5</v>
      </c>
    </row>
    <row r="28" spans="1:5" ht="12">
      <c r="A28" t="s">
        <v>221</v>
      </c>
      <c r="B28" s="21" t="s">
        <v>139</v>
      </c>
      <c r="C28" s="21" t="s">
        <v>222</v>
      </c>
      <c r="D28" s="21">
        <v>12</v>
      </c>
      <c r="E28" s="21">
        <v>0</v>
      </c>
    </row>
    <row r="29" spans="1:5" ht="12">
      <c r="A29" t="s">
        <v>223</v>
      </c>
      <c r="B29" s="21" t="s">
        <v>161</v>
      </c>
      <c r="C29" s="21" t="s">
        <v>208</v>
      </c>
      <c r="D29" s="21">
        <v>14</v>
      </c>
      <c r="E29" s="21">
        <v>14</v>
      </c>
    </row>
    <row r="30" spans="1:5" ht="12">
      <c r="A30" t="s">
        <v>199</v>
      </c>
      <c r="B30" s="21" t="s">
        <v>172</v>
      </c>
      <c r="C30" s="21" t="s">
        <v>200</v>
      </c>
      <c r="D30" s="21">
        <v>6</v>
      </c>
      <c r="E30" s="21">
        <v>0</v>
      </c>
    </row>
    <row r="31" spans="1:5" ht="12">
      <c r="A31" t="s">
        <v>224</v>
      </c>
      <c r="B31" s="21" t="s">
        <v>140</v>
      </c>
      <c r="C31" s="21" t="s">
        <v>209</v>
      </c>
      <c r="D31" s="21">
        <v>14</v>
      </c>
      <c r="E31" s="21">
        <v>12</v>
      </c>
    </row>
    <row r="32" spans="1:5" ht="12">
      <c r="A32" t="s">
        <v>225</v>
      </c>
      <c r="B32" s="21" t="s">
        <v>165</v>
      </c>
      <c r="C32" s="21" t="s">
        <v>185</v>
      </c>
      <c r="D32" s="21">
        <v>14</v>
      </c>
      <c r="E32" s="21">
        <v>11</v>
      </c>
    </row>
    <row r="33" spans="1:5" ht="12">
      <c r="A33" t="s">
        <v>226</v>
      </c>
      <c r="B33" s="21" t="s">
        <v>155</v>
      </c>
      <c r="C33" s="21" t="s">
        <v>227</v>
      </c>
      <c r="D33" s="21">
        <v>14</v>
      </c>
      <c r="E33" s="21">
        <v>0</v>
      </c>
    </row>
    <row r="34" spans="1:5" ht="12">
      <c r="A34" t="s">
        <v>228</v>
      </c>
      <c r="B34" s="21" t="s">
        <v>147</v>
      </c>
      <c r="C34" s="21" t="s">
        <v>229</v>
      </c>
      <c r="D34" s="21">
        <v>14</v>
      </c>
      <c r="E34" s="21">
        <v>13</v>
      </c>
    </row>
    <row r="35" spans="1:5" ht="12">
      <c r="A35" t="s">
        <v>230</v>
      </c>
      <c r="B35" s="21" t="s">
        <v>173</v>
      </c>
      <c r="C35" s="21" t="s">
        <v>231</v>
      </c>
      <c r="D35" s="21">
        <v>7</v>
      </c>
      <c r="E35" s="21">
        <v>4</v>
      </c>
    </row>
    <row r="36" spans="1:5" ht="12">
      <c r="A36" t="s">
        <v>232</v>
      </c>
      <c r="B36" s="21" t="s">
        <v>141</v>
      </c>
      <c r="C36" s="21" t="s">
        <v>222</v>
      </c>
      <c r="D36" s="21">
        <v>14</v>
      </c>
      <c r="E36" s="21">
        <v>1</v>
      </c>
    </row>
    <row r="37" spans="1:5" ht="12">
      <c r="A37" t="s">
        <v>217</v>
      </c>
      <c r="B37" s="21" t="s">
        <v>174</v>
      </c>
      <c r="C37" s="21" t="s">
        <v>233</v>
      </c>
      <c r="D37" s="21">
        <v>12</v>
      </c>
      <c r="E37" s="21">
        <v>3</v>
      </c>
    </row>
    <row r="38" spans="1:5" ht="12">
      <c r="A38" t="s">
        <v>196</v>
      </c>
      <c r="B38" s="21" t="s">
        <v>166</v>
      </c>
      <c r="C38" s="21" t="s">
        <v>189</v>
      </c>
      <c r="D38" s="21">
        <v>14</v>
      </c>
      <c r="E38" s="21">
        <v>14</v>
      </c>
    </row>
    <row r="39" spans="1:5" ht="12">
      <c r="A39" t="s">
        <v>234</v>
      </c>
      <c r="B39" s="21" t="s">
        <v>175</v>
      </c>
      <c r="C39" s="21" t="s">
        <v>235</v>
      </c>
      <c r="D39" s="21">
        <v>14</v>
      </c>
      <c r="E39" s="21">
        <v>14</v>
      </c>
    </row>
    <row r="40" spans="1:5" ht="12">
      <c r="A40" t="s">
        <v>234</v>
      </c>
      <c r="B40" s="21" t="s">
        <v>176</v>
      </c>
      <c r="C40" s="21" t="s">
        <v>115</v>
      </c>
      <c r="D40" s="21">
        <v>11</v>
      </c>
      <c r="E40" s="21">
        <v>6</v>
      </c>
    </row>
    <row r="41" spans="1:5" ht="12">
      <c r="A41" t="s">
        <v>236</v>
      </c>
      <c r="B41" s="21" t="s">
        <v>142</v>
      </c>
      <c r="C41" s="21" t="s">
        <v>191</v>
      </c>
      <c r="D41" s="21">
        <v>5</v>
      </c>
      <c r="E41" s="21">
        <v>2</v>
      </c>
    </row>
    <row r="42" spans="1:5" ht="12">
      <c r="A42" t="s">
        <v>234</v>
      </c>
      <c r="B42" s="21" t="s">
        <v>177</v>
      </c>
      <c r="C42" s="21" t="s">
        <v>237</v>
      </c>
      <c r="D42" s="21">
        <v>14</v>
      </c>
      <c r="E42" s="21">
        <v>0</v>
      </c>
    </row>
    <row r="43" spans="1:5" ht="12">
      <c r="A43" t="s">
        <v>238</v>
      </c>
      <c r="B43" s="21" t="s">
        <v>143</v>
      </c>
      <c r="C43" s="21" t="s">
        <v>239</v>
      </c>
      <c r="D43" s="21">
        <v>13</v>
      </c>
      <c r="E43" s="21">
        <v>13</v>
      </c>
    </row>
    <row r="44" spans="1:5" ht="12">
      <c r="A44" t="s">
        <v>238</v>
      </c>
      <c r="B44" s="21" t="s">
        <v>178</v>
      </c>
      <c r="C44" s="21" t="s">
        <v>210</v>
      </c>
      <c r="D44" s="21">
        <v>13</v>
      </c>
      <c r="E44" s="21">
        <v>13</v>
      </c>
    </row>
    <row r="45" spans="1:5" ht="12">
      <c r="A45" t="s">
        <v>240</v>
      </c>
      <c r="B45" s="21" t="s">
        <v>179</v>
      </c>
      <c r="C45" s="21" t="s">
        <v>241</v>
      </c>
      <c r="D45" s="21">
        <v>14</v>
      </c>
      <c r="E45" s="21">
        <v>14</v>
      </c>
    </row>
    <row r="46" spans="1:5" ht="12">
      <c r="A46" t="s">
        <v>242</v>
      </c>
      <c r="B46" s="21" t="s">
        <v>146</v>
      </c>
      <c r="C46" s="21" t="s">
        <v>243</v>
      </c>
      <c r="D46" s="21">
        <v>6</v>
      </c>
      <c r="E46" s="21">
        <v>6</v>
      </c>
    </row>
    <row r="47" spans="1:14" ht="12">
      <c r="A47" s="18" t="s">
        <v>244</v>
      </c>
      <c r="B47" s="21" t="s">
        <v>153</v>
      </c>
      <c r="C47" s="21" t="s">
        <v>245</v>
      </c>
      <c r="D47" s="21">
        <v>14</v>
      </c>
      <c r="E47" s="21">
        <v>2</v>
      </c>
      <c r="H47" s="18" t="s">
        <v>131</v>
      </c>
      <c r="M47" s="21"/>
      <c r="N47" s="21"/>
    </row>
    <row r="48" spans="1:5" ht="12">
      <c r="A48" t="s">
        <v>246</v>
      </c>
      <c r="B48" s="21" t="s">
        <v>162</v>
      </c>
      <c r="C48" s="21" t="s">
        <v>247</v>
      </c>
      <c r="D48" s="21">
        <v>14</v>
      </c>
      <c r="E48" s="21">
        <v>14</v>
      </c>
    </row>
    <row r="49" spans="1:5" ht="12">
      <c r="A49" t="s">
        <v>217</v>
      </c>
      <c r="B49" s="21" t="s">
        <v>180</v>
      </c>
      <c r="C49" s="21" t="s">
        <v>248</v>
      </c>
      <c r="D49" s="21">
        <v>12</v>
      </c>
      <c r="E49" s="21">
        <v>11</v>
      </c>
    </row>
    <row r="50" spans="2:5" ht="12">
      <c r="B50" s="21"/>
      <c r="C50" s="21"/>
      <c r="D50" s="21"/>
      <c r="E50" s="21"/>
    </row>
    <row r="51" spans="2:5" ht="12">
      <c r="B51" s="21"/>
      <c r="C51" s="21"/>
      <c r="D51" s="21"/>
      <c r="E51" s="21"/>
    </row>
    <row r="52" spans="2:5" ht="12">
      <c r="B52" s="21"/>
      <c r="C52" s="21"/>
      <c r="D52" s="21"/>
      <c r="E52" s="21"/>
    </row>
    <row r="53" spans="2:5" ht="12">
      <c r="B53" s="21"/>
      <c r="C53" s="21"/>
      <c r="D53" s="21"/>
      <c r="E53" s="21"/>
    </row>
    <row r="54" spans="2:5" ht="12">
      <c r="B54" s="21"/>
      <c r="C54" s="21"/>
      <c r="D54" s="21"/>
      <c r="E54" s="21"/>
    </row>
    <row r="55" spans="1:17" ht="12">
      <c r="A55" t="s">
        <v>127</v>
      </c>
      <c r="B55" s="21"/>
      <c r="C55" s="21"/>
      <c r="D55" s="29">
        <v>0</v>
      </c>
      <c r="E55" s="21"/>
      <c r="G55" t="str">
        <f>IF(D55-D56=M50,"ok","err")</f>
        <v>ok</v>
      </c>
      <c r="H55" t="s">
        <v>127</v>
      </c>
      <c r="I55" s="21"/>
      <c r="J55" s="21"/>
      <c r="K55" s="29"/>
      <c r="L55" s="21"/>
      <c r="M55" s="29">
        <v>0</v>
      </c>
      <c r="N55" s="21"/>
      <c r="P55" s="29"/>
      <c r="Q55" s="21"/>
    </row>
    <row r="56" spans="1:17" ht="12">
      <c r="A56" t="s">
        <v>128</v>
      </c>
      <c r="B56" s="21"/>
      <c r="C56" s="21"/>
      <c r="D56" s="29">
        <v>0</v>
      </c>
      <c r="E56" s="21"/>
      <c r="H56" t="s">
        <v>128</v>
      </c>
      <c r="I56" s="21"/>
      <c r="J56" s="21"/>
      <c r="K56" s="29"/>
      <c r="L56" s="21"/>
      <c r="M56" s="29">
        <v>0</v>
      </c>
      <c r="N56" s="21"/>
      <c r="P56" s="29"/>
      <c r="Q56" s="21"/>
    </row>
    <row r="57" spans="1:17" ht="12">
      <c r="A57" t="s">
        <v>129</v>
      </c>
      <c r="B57" s="21"/>
      <c r="C57" s="21"/>
      <c r="D57" s="21" t="e">
        <f>+D56/D55</f>
        <v>#DIV/0!</v>
      </c>
      <c r="E57" s="21"/>
      <c r="H57" t="s">
        <v>129</v>
      </c>
      <c r="I57" s="21"/>
      <c r="J57" s="21"/>
      <c r="K57" s="21"/>
      <c r="L57" s="21"/>
      <c r="M57" s="21" t="e">
        <f>+M56/M55</f>
        <v>#DIV/0!</v>
      </c>
      <c r="N57" s="21"/>
      <c r="P57" s="21"/>
      <c r="Q57" s="21"/>
    </row>
    <row r="58" spans="2:5" ht="12">
      <c r="B58" s="21"/>
      <c r="C58" s="21"/>
      <c r="D58" s="21"/>
      <c r="E58" s="21"/>
    </row>
    <row r="59" spans="2:5" ht="12">
      <c r="B59" s="21"/>
      <c r="C59" s="21"/>
      <c r="D59" s="21"/>
      <c r="E59" s="21"/>
    </row>
    <row r="60" spans="2:5" ht="12">
      <c r="B60" s="21"/>
      <c r="C60" s="21"/>
      <c r="D60" s="21"/>
      <c r="E60" s="21"/>
    </row>
    <row r="61" spans="2:5" ht="12">
      <c r="B61" s="21"/>
      <c r="C61" s="21"/>
      <c r="D61" s="21"/>
      <c r="E61" s="21"/>
    </row>
    <row r="62" spans="2:5" ht="12">
      <c r="B62" s="21"/>
      <c r="C62" s="21"/>
      <c r="D62" s="21"/>
      <c r="E62" s="21"/>
    </row>
    <row r="63" spans="2:5" ht="12">
      <c r="B63" s="21"/>
      <c r="C63" s="21"/>
      <c r="D63" s="21"/>
      <c r="E63" s="21"/>
    </row>
    <row r="64" spans="2:5" ht="12">
      <c r="B64" s="21"/>
      <c r="C64" s="21"/>
      <c r="D64" s="21"/>
      <c r="E64" s="21"/>
    </row>
    <row r="65" spans="2:5" ht="12">
      <c r="B65" s="21"/>
      <c r="C65" s="21"/>
      <c r="D65" s="21"/>
      <c r="E65" s="21"/>
    </row>
    <row r="66" spans="2:5" ht="12">
      <c r="B66" s="21"/>
      <c r="C66" s="21"/>
      <c r="D66" s="21"/>
      <c r="E66" s="21"/>
    </row>
    <row r="67" spans="2:5" ht="12">
      <c r="B67" s="21"/>
      <c r="C67" s="21"/>
      <c r="D67" s="21"/>
      <c r="E67" s="21"/>
    </row>
    <row r="74" spans="1:13" ht="12">
      <c r="A74" t="s">
        <v>120</v>
      </c>
      <c r="D74">
        <v>0</v>
      </c>
      <c r="H74" t="s">
        <v>120</v>
      </c>
      <c r="M74">
        <v>0</v>
      </c>
    </row>
    <row r="83" ht="12">
      <c r="A83" t="s">
        <v>133</v>
      </c>
    </row>
    <row r="84" ht="12">
      <c r="A84" t="s">
        <v>134</v>
      </c>
    </row>
    <row r="85" ht="12">
      <c r="A85" t="s">
        <v>135</v>
      </c>
    </row>
    <row r="86" ht="12">
      <c r="A86" t="s">
        <v>136</v>
      </c>
    </row>
    <row r="87" ht="12">
      <c r="A87" t="s">
        <v>137</v>
      </c>
    </row>
    <row r="88" ht="12">
      <c r="A88" t="s">
        <v>138</v>
      </c>
    </row>
    <row r="89" ht="12">
      <c r="A89" t="s">
        <v>139</v>
      </c>
    </row>
    <row r="90" ht="12">
      <c r="A90" t="s">
        <v>140</v>
      </c>
    </row>
    <row r="91" ht="12">
      <c r="A91" t="s">
        <v>141</v>
      </c>
    </row>
    <row r="92" ht="12">
      <c r="A92" t="s">
        <v>142</v>
      </c>
    </row>
    <row r="93" ht="12">
      <c r="A93" t="s">
        <v>143</v>
      </c>
    </row>
    <row r="101" ht="12">
      <c r="A101" t="s">
        <v>134</v>
      </c>
    </row>
    <row r="102" ht="12">
      <c r="A102" t="s">
        <v>144</v>
      </c>
    </row>
    <row r="103" ht="12">
      <c r="A103" t="s">
        <v>136</v>
      </c>
    </row>
    <row r="104" ht="12">
      <c r="A104" t="s">
        <v>145</v>
      </c>
    </row>
    <row r="105" ht="12">
      <c r="A105" t="s">
        <v>137</v>
      </c>
    </row>
    <row r="106" ht="12">
      <c r="A106" t="s">
        <v>138</v>
      </c>
    </row>
    <row r="107" ht="12">
      <c r="A107" t="s">
        <v>139</v>
      </c>
    </row>
    <row r="108" ht="12">
      <c r="A108" t="s">
        <v>140</v>
      </c>
    </row>
    <row r="109" ht="12">
      <c r="A109" t="s">
        <v>141</v>
      </c>
    </row>
    <row r="110" ht="12">
      <c r="A110" t="s">
        <v>143</v>
      </c>
    </row>
    <row r="111" ht="12">
      <c r="A111" t="s">
        <v>146</v>
      </c>
    </row>
    <row r="121" ht="12">
      <c r="A121" t="s">
        <v>133</v>
      </c>
    </row>
    <row r="122" ht="12">
      <c r="A122" t="s">
        <v>135</v>
      </c>
    </row>
    <row r="123" ht="12">
      <c r="A123" t="s">
        <v>147</v>
      </c>
    </row>
    <row r="124" ht="12">
      <c r="A124" t="s">
        <v>142</v>
      </c>
    </row>
    <row r="125" ht="12">
      <c r="A125" t="s">
        <v>143</v>
      </c>
    </row>
    <row r="129" ht="12">
      <c r="A129" t="s">
        <v>148</v>
      </c>
    </row>
    <row r="130" ht="12">
      <c r="A130" t="s">
        <v>136</v>
      </c>
    </row>
    <row r="131" ht="12">
      <c r="A131" t="s">
        <v>140</v>
      </c>
    </row>
    <row r="132" ht="12">
      <c r="A132" t="s">
        <v>143</v>
      </c>
    </row>
    <row r="139" ht="12">
      <c r="A139" t="s">
        <v>149</v>
      </c>
    </row>
    <row r="140" ht="12">
      <c r="A140" t="s">
        <v>148</v>
      </c>
    </row>
    <row r="141" ht="12">
      <c r="A141" t="s">
        <v>136</v>
      </c>
    </row>
    <row r="142" ht="12">
      <c r="A142" t="s">
        <v>150</v>
      </c>
    </row>
    <row r="143" ht="12">
      <c r="A143" t="s">
        <v>151</v>
      </c>
    </row>
    <row r="144" ht="12">
      <c r="A144" t="s">
        <v>152</v>
      </c>
    </row>
    <row r="145" ht="12">
      <c r="A145" t="s">
        <v>138</v>
      </c>
    </row>
    <row r="146" ht="12">
      <c r="A146" t="s">
        <v>143</v>
      </c>
    </row>
    <row r="147" ht="12">
      <c r="A147" t="s">
        <v>146</v>
      </c>
    </row>
    <row r="148" ht="12">
      <c r="A148" t="s">
        <v>153</v>
      </c>
    </row>
    <row r="154" ht="12">
      <c r="A154" t="s">
        <v>154</v>
      </c>
    </row>
    <row r="162" ht="12">
      <c r="A162" t="s">
        <v>155</v>
      </c>
    </row>
    <row r="163" ht="12">
      <c r="A163" t="s">
        <v>154</v>
      </c>
    </row>
    <row r="173" ht="12">
      <c r="A173" t="s">
        <v>156</v>
      </c>
    </row>
    <row r="174" ht="12">
      <c r="A174" t="s">
        <v>149</v>
      </c>
    </row>
    <row r="175" ht="12">
      <c r="A175" t="s">
        <v>157</v>
      </c>
    </row>
    <row r="176" ht="12">
      <c r="A176" t="s">
        <v>158</v>
      </c>
    </row>
    <row r="177" ht="12">
      <c r="A177" t="s">
        <v>159</v>
      </c>
    </row>
    <row r="178" ht="12">
      <c r="A178" t="s">
        <v>160</v>
      </c>
    </row>
    <row r="179" ht="12">
      <c r="A179" t="s">
        <v>161</v>
      </c>
    </row>
    <row r="180" ht="12">
      <c r="A180" t="s">
        <v>147</v>
      </c>
    </row>
    <row r="181" ht="12">
      <c r="A181" t="s">
        <v>153</v>
      </c>
    </row>
    <row r="182" ht="12">
      <c r="A182" t="s">
        <v>162</v>
      </c>
    </row>
    <row r="188" ht="12">
      <c r="A188" s="20" t="s">
        <v>156</v>
      </c>
    </row>
    <row r="189" ht="12">
      <c r="A189" s="20" t="s">
        <v>157</v>
      </c>
    </row>
    <row r="190" ht="12">
      <c r="A190" s="20" t="s">
        <v>158</v>
      </c>
    </row>
    <row r="191" ht="12">
      <c r="A191" s="20" t="s">
        <v>159</v>
      </c>
    </row>
    <row r="192" ht="12">
      <c r="A192" s="20" t="s">
        <v>163</v>
      </c>
    </row>
    <row r="193" ht="12">
      <c r="A193" s="20" t="s">
        <v>164</v>
      </c>
    </row>
    <row r="194" ht="12">
      <c r="A194" s="20" t="s">
        <v>161</v>
      </c>
    </row>
    <row r="195" ht="12">
      <c r="A195" s="20" t="s">
        <v>165</v>
      </c>
    </row>
    <row r="196" ht="12">
      <c r="A196" s="20" t="s">
        <v>147</v>
      </c>
    </row>
    <row r="197" ht="12">
      <c r="A197" s="20" t="s">
        <v>166</v>
      </c>
    </row>
    <row r="198" ht="12">
      <c r="A198" s="20"/>
    </row>
    <row r="199" ht="12">
      <c r="A199" s="20"/>
    </row>
    <row r="200" ht="12">
      <c r="A200" s="20"/>
    </row>
    <row r="201" ht="12">
      <c r="A201" s="20"/>
    </row>
    <row r="206" ht="12">
      <c r="A206" t="s">
        <v>167</v>
      </c>
    </row>
    <row r="207" ht="12">
      <c r="A207" t="s">
        <v>156</v>
      </c>
    </row>
    <row r="208" ht="12">
      <c r="A208" t="s">
        <v>149</v>
      </c>
    </row>
    <row r="209" ht="12">
      <c r="A209" t="s">
        <v>157</v>
      </c>
    </row>
    <row r="210" ht="12">
      <c r="A210" t="s">
        <v>133</v>
      </c>
    </row>
    <row r="211" ht="12">
      <c r="A211" t="s">
        <v>134</v>
      </c>
    </row>
    <row r="212" ht="12">
      <c r="A212" t="s">
        <v>158</v>
      </c>
    </row>
    <row r="213" ht="12">
      <c r="A213" t="s">
        <v>168</v>
      </c>
    </row>
    <row r="214" ht="12">
      <c r="A214" t="s">
        <v>135</v>
      </c>
    </row>
    <row r="215" ht="12">
      <c r="A215" t="s">
        <v>159</v>
      </c>
    </row>
    <row r="216" ht="12">
      <c r="A216" t="s">
        <v>169</v>
      </c>
    </row>
    <row r="217" ht="12">
      <c r="A217" t="s">
        <v>144</v>
      </c>
    </row>
    <row r="218" ht="12">
      <c r="A218" t="s">
        <v>148</v>
      </c>
    </row>
    <row r="219" ht="12">
      <c r="A219" t="s">
        <v>163</v>
      </c>
    </row>
    <row r="220" ht="12">
      <c r="A220" t="s">
        <v>160</v>
      </c>
    </row>
    <row r="221" ht="12">
      <c r="A221" t="s">
        <v>136</v>
      </c>
    </row>
    <row r="222" ht="12">
      <c r="A222" t="s">
        <v>170</v>
      </c>
    </row>
    <row r="223" ht="12">
      <c r="A223" t="s">
        <v>154</v>
      </c>
    </row>
    <row r="224" ht="12">
      <c r="A224" t="s">
        <v>150</v>
      </c>
    </row>
    <row r="225" ht="12">
      <c r="A225" t="s">
        <v>171</v>
      </c>
    </row>
    <row r="226" ht="12">
      <c r="A226" t="s">
        <v>164</v>
      </c>
    </row>
    <row r="227" ht="12">
      <c r="A227" t="s">
        <v>145</v>
      </c>
    </row>
    <row r="228" ht="12">
      <c r="A228" t="s">
        <v>137</v>
      </c>
    </row>
    <row r="229" ht="12">
      <c r="A229" t="s">
        <v>151</v>
      </c>
    </row>
    <row r="230" ht="12">
      <c r="A230" t="s">
        <v>152</v>
      </c>
    </row>
    <row r="231" ht="12">
      <c r="A231" t="s">
        <v>138</v>
      </c>
    </row>
    <row r="232" ht="12">
      <c r="A232" t="s">
        <v>139</v>
      </c>
    </row>
    <row r="233" ht="12">
      <c r="A233" t="s">
        <v>161</v>
      </c>
    </row>
    <row r="234" ht="12">
      <c r="A234" t="s">
        <v>172</v>
      </c>
    </row>
    <row r="235" ht="12">
      <c r="A235" t="s">
        <v>140</v>
      </c>
    </row>
    <row r="236" ht="12">
      <c r="A236" t="s">
        <v>165</v>
      </c>
    </row>
    <row r="237" ht="12">
      <c r="A237" t="s">
        <v>155</v>
      </c>
    </row>
    <row r="238" ht="12">
      <c r="A238" t="s">
        <v>147</v>
      </c>
    </row>
    <row r="239" ht="12">
      <c r="A239" t="s">
        <v>173</v>
      </c>
    </row>
    <row r="240" ht="12">
      <c r="A240" t="s">
        <v>141</v>
      </c>
    </row>
    <row r="241" ht="12">
      <c r="A241" t="s">
        <v>174</v>
      </c>
    </row>
    <row r="242" ht="12">
      <c r="A242" t="s">
        <v>166</v>
      </c>
    </row>
    <row r="243" ht="12">
      <c r="A243" t="s">
        <v>175</v>
      </c>
    </row>
    <row r="244" ht="12">
      <c r="A244" t="s">
        <v>176</v>
      </c>
    </row>
    <row r="245" ht="12">
      <c r="A245" t="s">
        <v>142</v>
      </c>
    </row>
    <row r="246" ht="12">
      <c r="A246" t="s">
        <v>177</v>
      </c>
    </row>
    <row r="247" ht="12">
      <c r="A247" t="s">
        <v>143</v>
      </c>
    </row>
    <row r="248" ht="12">
      <c r="A248" t="s">
        <v>178</v>
      </c>
    </row>
    <row r="249" ht="12">
      <c r="A249" t="s">
        <v>179</v>
      </c>
    </row>
    <row r="250" ht="12">
      <c r="A250" t="s">
        <v>146</v>
      </c>
    </row>
    <row r="251" ht="12">
      <c r="A251" t="s">
        <v>153</v>
      </c>
    </row>
    <row r="252" ht="12">
      <c r="A252" t="s">
        <v>162</v>
      </c>
    </row>
    <row r="253" ht="12">
      <c r="A253" t="s">
        <v>180</v>
      </c>
    </row>
  </sheetData>
  <sheetProtection/>
  <printOptions/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53"/>
  <sheetViews>
    <sheetView zoomScale="150" zoomScaleNormal="150" workbookViewId="0" topLeftCell="A1">
      <selection activeCell="N202" sqref="N202"/>
    </sheetView>
  </sheetViews>
  <sheetFormatPr defaultColWidth="11.421875" defaultRowHeight="12.75"/>
  <cols>
    <col min="1" max="1" width="5.7109375" style="0" customWidth="1"/>
    <col min="2" max="2" width="2.7109375" style="0" customWidth="1"/>
    <col min="3" max="3" width="19.421875" style="0" customWidth="1"/>
    <col min="4" max="4" width="4.8515625" style="0" customWidth="1"/>
    <col min="5" max="5" width="3.00390625" style="0" customWidth="1"/>
    <col min="6" max="6" width="17.421875" style="0" customWidth="1"/>
    <col min="7" max="7" width="8.421875" style="0" customWidth="1"/>
    <col min="8" max="8" width="15.00390625" style="0" customWidth="1"/>
    <col min="9" max="9" width="3.7109375" style="0" customWidth="1"/>
    <col min="10" max="10" width="7.28125" style="0" customWidth="1"/>
    <col min="11" max="12" width="6.7109375" style="0" customWidth="1"/>
    <col min="13" max="13" width="6.421875" style="0" customWidth="1"/>
    <col min="14" max="14" width="5.7109375" style="0" customWidth="1"/>
    <col min="15" max="15" width="7.00390625" style="0" customWidth="1"/>
    <col min="16" max="16" width="3.00390625" style="0" customWidth="1"/>
  </cols>
  <sheetData>
    <row r="2" ht="12">
      <c r="A2" s="2"/>
    </row>
    <row r="3" spans="1:8" ht="15">
      <c r="A3" s="33"/>
      <c r="B3" s="33"/>
      <c r="C3" s="33"/>
      <c r="D3" s="33"/>
      <c r="H3" s="2" t="s">
        <v>121</v>
      </c>
    </row>
    <row r="4" spans="1:14" ht="12">
      <c r="A4" s="9"/>
      <c r="B4" s="22"/>
      <c r="D4" s="9"/>
      <c r="E4" s="18"/>
      <c r="F4" s="18"/>
      <c r="G4" s="3" t="s">
        <v>122</v>
      </c>
      <c r="H4" s="5"/>
      <c r="I4" s="3"/>
      <c r="J4" s="3"/>
      <c r="K4" s="3"/>
      <c r="L4" s="3"/>
      <c r="M4" s="3"/>
      <c r="N4" s="3"/>
    </row>
    <row r="5" spans="1:14" ht="12">
      <c r="A5" s="9"/>
      <c r="B5" s="22"/>
      <c r="D5" s="9"/>
      <c r="E5" s="18"/>
      <c r="F5" s="18"/>
      <c r="G5" s="3" t="s">
        <v>105</v>
      </c>
      <c r="H5" s="5"/>
      <c r="J5" s="23"/>
      <c r="K5" s="24"/>
      <c r="L5" s="9"/>
      <c r="M5" s="9"/>
      <c r="N5" s="9"/>
    </row>
    <row r="6" spans="1:14" ht="12">
      <c r="A6" s="9"/>
      <c r="B6" s="22"/>
      <c r="D6" s="9"/>
      <c r="E6" s="18"/>
      <c r="F6" s="18"/>
      <c r="G6" s="3" t="s">
        <v>123</v>
      </c>
      <c r="H6" s="5"/>
      <c r="J6" s="23"/>
      <c r="K6" s="24"/>
      <c r="L6" s="9"/>
      <c r="M6" s="9"/>
      <c r="N6" s="9"/>
    </row>
    <row r="7" spans="1:6" ht="12">
      <c r="A7" s="9"/>
      <c r="B7" s="22"/>
      <c r="D7" s="9"/>
      <c r="E7" s="18"/>
      <c r="F7" s="18"/>
    </row>
    <row r="8" spans="1:8" ht="12">
      <c r="A8" s="9"/>
      <c r="B8" s="22"/>
      <c r="D8" s="9"/>
      <c r="E8" s="18"/>
      <c r="F8" s="18"/>
      <c r="H8" s="2" t="s">
        <v>124</v>
      </c>
    </row>
    <row r="9" spans="1:14" ht="12">
      <c r="A9" s="9"/>
      <c r="B9" s="22"/>
      <c r="C9" s="25"/>
      <c r="D9" s="9"/>
      <c r="E9" s="18"/>
      <c r="F9" s="18"/>
      <c r="H9" s="2" t="s">
        <v>50</v>
      </c>
      <c r="I9" s="3" t="s">
        <v>51</v>
      </c>
      <c r="J9" s="3" t="s">
        <v>52</v>
      </c>
      <c r="K9" s="3" t="s">
        <v>53</v>
      </c>
      <c r="L9" s="3" t="s">
        <v>54</v>
      </c>
      <c r="M9" s="3" t="s">
        <v>55</v>
      </c>
      <c r="N9" s="3" t="s">
        <v>84</v>
      </c>
    </row>
    <row r="10" spans="1:14" ht="12">
      <c r="A10" s="9"/>
      <c r="B10" s="22"/>
      <c r="D10" s="9"/>
      <c r="E10" s="18"/>
      <c r="F10" s="18"/>
      <c r="G10" s="3" t="s">
        <v>122</v>
      </c>
      <c r="J10" s="23"/>
      <c r="K10" s="24"/>
      <c r="L10" s="9"/>
      <c r="M10" s="9"/>
      <c r="N10" s="9"/>
    </row>
    <row r="11" spans="1:14" ht="12">
      <c r="A11" s="9"/>
      <c r="B11" s="22"/>
      <c r="D11" s="9"/>
      <c r="E11" s="18"/>
      <c r="F11" s="18"/>
      <c r="G11" s="3" t="s">
        <v>105</v>
      </c>
      <c r="J11" s="23"/>
      <c r="K11" s="24"/>
      <c r="L11" s="9"/>
      <c r="M11" s="9"/>
      <c r="N11" s="9"/>
    </row>
    <row r="12" spans="1:6" ht="12">
      <c r="A12" s="9"/>
      <c r="B12" s="22"/>
      <c r="D12" s="9"/>
      <c r="E12" s="18"/>
      <c r="F12" s="18"/>
    </row>
    <row r="13" spans="1:14" ht="12">
      <c r="A13" s="9"/>
      <c r="B13" s="22"/>
      <c r="D13" s="9"/>
      <c r="E13" s="18"/>
      <c r="F13" s="18"/>
      <c r="H13" s="2" t="s">
        <v>56</v>
      </c>
      <c r="I13" s="3" t="s">
        <v>117</v>
      </c>
      <c r="J13" s="3" t="s">
        <v>52</v>
      </c>
      <c r="K13" s="15" t="s">
        <v>53</v>
      </c>
      <c r="L13" s="3" t="s">
        <v>54</v>
      </c>
      <c r="M13" s="3" t="s">
        <v>55</v>
      </c>
      <c r="N13" s="3" t="s">
        <v>84</v>
      </c>
    </row>
    <row r="14" spans="1:14" ht="12">
      <c r="A14" s="9"/>
      <c r="B14" s="22"/>
      <c r="D14" s="9"/>
      <c r="E14" s="18"/>
      <c r="F14" s="18"/>
      <c r="G14" s="3" t="s">
        <v>122</v>
      </c>
      <c r="I14" s="9"/>
      <c r="J14" s="23"/>
      <c r="K14" s="24"/>
      <c r="L14" s="9"/>
      <c r="M14" s="9"/>
      <c r="N14" s="9"/>
    </row>
    <row r="15" spans="1:14" ht="12">
      <c r="A15" s="9"/>
      <c r="B15" s="22"/>
      <c r="D15" s="9"/>
      <c r="E15" s="18"/>
      <c r="F15" s="18"/>
      <c r="G15" s="3" t="s">
        <v>105</v>
      </c>
      <c r="I15" s="9"/>
      <c r="J15" s="23"/>
      <c r="K15" s="24"/>
      <c r="L15" s="9"/>
      <c r="M15" s="9"/>
      <c r="N15" s="9"/>
    </row>
    <row r="16" spans="1:7" ht="12">
      <c r="A16" s="9"/>
      <c r="B16" s="22"/>
      <c r="D16" s="9"/>
      <c r="E16" s="18"/>
      <c r="F16" s="18"/>
      <c r="G16" s="2"/>
    </row>
    <row r="17" spans="1:13" ht="12">
      <c r="A17" s="9"/>
      <c r="B17" s="22"/>
      <c r="D17" s="9"/>
      <c r="E17" s="18"/>
      <c r="F17" s="18"/>
      <c r="G17" s="2"/>
      <c r="H17" s="26"/>
      <c r="I17" s="3"/>
      <c r="J17" s="3"/>
      <c r="K17" s="15" t="s">
        <v>61</v>
      </c>
      <c r="L17" s="3" t="s">
        <v>62</v>
      </c>
      <c r="M17" s="3"/>
    </row>
    <row r="18" spans="1:15" ht="12">
      <c r="A18" s="9"/>
      <c r="B18" s="22"/>
      <c r="D18" s="9"/>
      <c r="E18" s="18"/>
      <c r="F18" s="18"/>
      <c r="G18" s="3"/>
      <c r="H18" s="26" t="s">
        <v>58</v>
      </c>
      <c r="I18" s="3" t="s">
        <v>59</v>
      </c>
      <c r="J18" s="3" t="s">
        <v>60</v>
      </c>
      <c r="K18" s="15" t="s">
        <v>60</v>
      </c>
      <c r="L18" s="3" t="s">
        <v>63</v>
      </c>
      <c r="M18" s="3" t="s">
        <v>55</v>
      </c>
      <c r="N18" s="3" t="s">
        <v>68</v>
      </c>
      <c r="O18" s="3" t="s">
        <v>125</v>
      </c>
    </row>
    <row r="19" spans="1:15" ht="12">
      <c r="A19" s="9"/>
      <c r="B19" s="22"/>
      <c r="D19" s="9"/>
      <c r="E19" s="18"/>
      <c r="F19" s="18"/>
      <c r="G19" s="3" t="s">
        <v>122</v>
      </c>
      <c r="I19" s="9"/>
      <c r="J19" s="9"/>
      <c r="K19" s="27"/>
      <c r="L19" s="23"/>
      <c r="M19" s="9"/>
      <c r="N19" s="9"/>
      <c r="O19" s="27"/>
    </row>
    <row r="20" spans="1:15" ht="12">
      <c r="A20" s="9"/>
      <c r="B20" s="22"/>
      <c r="D20" s="9"/>
      <c r="E20" s="18"/>
      <c r="F20" s="18"/>
      <c r="G20" s="3" t="s">
        <v>105</v>
      </c>
      <c r="I20" s="9"/>
      <c r="J20" s="9"/>
      <c r="K20" s="27"/>
      <c r="L20" s="23"/>
      <c r="M20" s="9"/>
      <c r="N20" s="9"/>
      <c r="O20" s="9"/>
    </row>
    <row r="21" spans="1:4" ht="15">
      <c r="A21" s="9">
        <f>SUM(A4:A20)</f>
        <v>0</v>
      </c>
      <c r="C21" s="28" t="s">
        <v>126</v>
      </c>
      <c r="D21" s="9">
        <f>SUM(D4:D20)</f>
        <v>0</v>
      </c>
    </row>
    <row r="36" spans="4:13" ht="12">
      <c r="D36">
        <v>0</v>
      </c>
      <c r="M36">
        <v>0</v>
      </c>
    </row>
    <row r="37" spans="4:13" ht="12">
      <c r="D37">
        <v>0</v>
      </c>
      <c r="M37">
        <v>0</v>
      </c>
    </row>
    <row r="38" spans="4:13" ht="12">
      <c r="D38">
        <v>0</v>
      </c>
      <c r="M38">
        <v>0</v>
      </c>
    </row>
    <row r="40" spans="4:13" ht="12">
      <c r="D40">
        <v>0</v>
      </c>
      <c r="M40">
        <v>0</v>
      </c>
    </row>
    <row r="41" spans="4:13" ht="12">
      <c r="D41">
        <v>0</v>
      </c>
      <c r="M41">
        <v>0</v>
      </c>
    </row>
    <row r="44" spans="4:13" ht="12">
      <c r="D44">
        <v>0</v>
      </c>
      <c r="M44">
        <v>0</v>
      </c>
    </row>
    <row r="45" spans="4:13" ht="12">
      <c r="D45">
        <v>0</v>
      </c>
      <c r="M45">
        <v>0</v>
      </c>
    </row>
    <row r="47" spans="1:13" ht="12">
      <c r="A47" s="18" t="s">
        <v>131</v>
      </c>
      <c r="D47">
        <v>0</v>
      </c>
      <c r="H47" s="18" t="s">
        <v>131</v>
      </c>
      <c r="M47">
        <v>0</v>
      </c>
    </row>
    <row r="48" ht="12">
      <c r="M48">
        <v>0</v>
      </c>
    </row>
    <row r="50" spans="4:13" ht="12">
      <c r="D50">
        <v>0</v>
      </c>
      <c r="M50">
        <v>0</v>
      </c>
    </row>
    <row r="51" spans="4:13" ht="12">
      <c r="D51">
        <v>0</v>
      </c>
      <c r="M51">
        <v>0</v>
      </c>
    </row>
    <row r="53" ht="12">
      <c r="M53">
        <v>0</v>
      </c>
    </row>
    <row r="55" spans="1:16" ht="12">
      <c r="A55" t="s">
        <v>127</v>
      </c>
      <c r="D55" s="2">
        <v>0</v>
      </c>
      <c r="G55" t="str">
        <f>IF(D55-D56=M50,"ok","err")</f>
        <v>ok</v>
      </c>
      <c r="H55" t="s">
        <v>127</v>
      </c>
      <c r="K55" s="2"/>
      <c r="M55" s="2">
        <v>0</v>
      </c>
      <c r="P55" s="2"/>
    </row>
    <row r="56" spans="1:16" ht="12">
      <c r="A56" t="s">
        <v>128</v>
      </c>
      <c r="D56" s="2">
        <v>0</v>
      </c>
      <c r="H56" t="s">
        <v>128</v>
      </c>
      <c r="K56" s="2"/>
      <c r="M56" s="2">
        <v>0</v>
      </c>
      <c r="P56" s="2"/>
    </row>
    <row r="57" spans="1:13" ht="12">
      <c r="A57" t="s">
        <v>129</v>
      </c>
      <c r="D57" t="e">
        <f>+D56/D55</f>
        <v>#DIV/0!</v>
      </c>
      <c r="H57" t="s">
        <v>129</v>
      </c>
      <c r="M57" t="e">
        <f>+M56/M55</f>
        <v>#DIV/0!</v>
      </c>
    </row>
    <row r="59" spans="4:13" ht="12">
      <c r="D59">
        <v>0</v>
      </c>
      <c r="M59">
        <v>0</v>
      </c>
    </row>
    <row r="60" spans="4:13" ht="12">
      <c r="D60">
        <v>0</v>
      </c>
      <c r="M60">
        <v>0</v>
      </c>
    </row>
    <row r="62" ht="12">
      <c r="D62">
        <v>0</v>
      </c>
    </row>
    <row r="63" ht="12">
      <c r="D63">
        <v>0</v>
      </c>
    </row>
    <row r="68" spans="4:13" ht="12">
      <c r="D68">
        <v>0</v>
      </c>
      <c r="M68">
        <v>0</v>
      </c>
    </row>
    <row r="69" ht="12">
      <c r="D69">
        <v>0</v>
      </c>
    </row>
    <row r="70" ht="12">
      <c r="D70">
        <v>0</v>
      </c>
    </row>
    <row r="71" ht="12">
      <c r="D71">
        <v>0</v>
      </c>
    </row>
    <row r="73" ht="12">
      <c r="D73">
        <v>0</v>
      </c>
    </row>
    <row r="74" spans="1:13" ht="12">
      <c r="A74" t="s">
        <v>120</v>
      </c>
      <c r="D74">
        <v>0</v>
      </c>
      <c r="H74" t="s">
        <v>120</v>
      </c>
      <c r="M74">
        <v>0</v>
      </c>
    </row>
    <row r="75" ht="12">
      <c r="D75">
        <v>0</v>
      </c>
    </row>
    <row r="76" spans="4:13" ht="12">
      <c r="D76">
        <v>0</v>
      </c>
      <c r="M76">
        <v>0</v>
      </c>
    </row>
    <row r="77" spans="4:13" ht="12">
      <c r="D77">
        <v>0</v>
      </c>
      <c r="M77">
        <v>0</v>
      </c>
    </row>
    <row r="83" ht="12">
      <c r="A83" t="s">
        <v>133</v>
      </c>
    </row>
    <row r="84" ht="12">
      <c r="A84" t="s">
        <v>134</v>
      </c>
    </row>
    <row r="85" ht="12">
      <c r="A85" t="s">
        <v>135</v>
      </c>
    </row>
    <row r="86" ht="12">
      <c r="A86" t="s">
        <v>136</v>
      </c>
    </row>
    <row r="87" ht="12">
      <c r="A87" t="s">
        <v>137</v>
      </c>
    </row>
    <row r="88" ht="12">
      <c r="A88" t="s">
        <v>138</v>
      </c>
    </row>
    <row r="89" ht="12">
      <c r="A89" t="s">
        <v>139</v>
      </c>
    </row>
    <row r="90" ht="12">
      <c r="A90" t="s">
        <v>140</v>
      </c>
    </row>
    <row r="91" ht="12">
      <c r="A91" t="s">
        <v>141</v>
      </c>
    </row>
    <row r="92" ht="12">
      <c r="A92" t="s">
        <v>142</v>
      </c>
    </row>
    <row r="93" ht="12">
      <c r="A93" t="s">
        <v>143</v>
      </c>
    </row>
    <row r="101" ht="12">
      <c r="A101" t="s">
        <v>134</v>
      </c>
    </row>
    <row r="102" ht="12">
      <c r="A102" t="s">
        <v>144</v>
      </c>
    </row>
    <row r="103" ht="12">
      <c r="A103" t="s">
        <v>136</v>
      </c>
    </row>
    <row r="104" ht="12">
      <c r="A104" t="s">
        <v>145</v>
      </c>
    </row>
    <row r="105" ht="12">
      <c r="A105" t="s">
        <v>137</v>
      </c>
    </row>
    <row r="106" ht="12">
      <c r="A106" t="s">
        <v>138</v>
      </c>
    </row>
    <row r="107" ht="12">
      <c r="A107" t="s">
        <v>139</v>
      </c>
    </row>
    <row r="108" ht="12">
      <c r="A108" t="s">
        <v>140</v>
      </c>
    </row>
    <row r="109" ht="12">
      <c r="A109" t="s">
        <v>141</v>
      </c>
    </row>
    <row r="110" ht="12">
      <c r="A110" t="s">
        <v>143</v>
      </c>
    </row>
    <row r="111" ht="12">
      <c r="A111" t="s">
        <v>146</v>
      </c>
    </row>
    <row r="121" ht="12">
      <c r="A121" t="s">
        <v>133</v>
      </c>
    </row>
    <row r="122" ht="12">
      <c r="A122" t="s">
        <v>135</v>
      </c>
    </row>
    <row r="123" ht="12">
      <c r="A123" t="s">
        <v>147</v>
      </c>
    </row>
    <row r="124" ht="12">
      <c r="A124" t="s">
        <v>142</v>
      </c>
    </row>
    <row r="125" ht="12">
      <c r="A125" t="s">
        <v>143</v>
      </c>
    </row>
    <row r="129" ht="12">
      <c r="A129" t="s">
        <v>148</v>
      </c>
    </row>
    <row r="130" ht="12">
      <c r="A130" t="s">
        <v>136</v>
      </c>
    </row>
    <row r="131" ht="12">
      <c r="A131" t="s">
        <v>140</v>
      </c>
    </row>
    <row r="132" ht="12">
      <c r="A132" t="s">
        <v>143</v>
      </c>
    </row>
    <row r="139" ht="12">
      <c r="A139" t="s">
        <v>149</v>
      </c>
    </row>
    <row r="140" ht="12">
      <c r="A140" t="s">
        <v>148</v>
      </c>
    </row>
    <row r="141" ht="12">
      <c r="A141" t="s">
        <v>136</v>
      </c>
    </row>
    <row r="142" ht="12">
      <c r="A142" t="s">
        <v>150</v>
      </c>
    </row>
    <row r="143" ht="12">
      <c r="A143" t="s">
        <v>151</v>
      </c>
    </row>
    <row r="144" ht="12">
      <c r="A144" t="s">
        <v>152</v>
      </c>
    </row>
    <row r="145" ht="12">
      <c r="A145" t="s">
        <v>138</v>
      </c>
    </row>
    <row r="146" ht="12">
      <c r="A146" t="s">
        <v>143</v>
      </c>
    </row>
    <row r="147" ht="12">
      <c r="A147" t="s">
        <v>146</v>
      </c>
    </row>
    <row r="148" ht="12">
      <c r="A148" t="s">
        <v>153</v>
      </c>
    </row>
    <row r="154" ht="12">
      <c r="A154" t="s">
        <v>154</v>
      </c>
    </row>
    <row r="162" ht="12">
      <c r="A162" t="s">
        <v>155</v>
      </c>
    </row>
    <row r="163" ht="12">
      <c r="A163" t="s">
        <v>154</v>
      </c>
    </row>
    <row r="173" ht="12">
      <c r="A173" t="s">
        <v>156</v>
      </c>
    </row>
    <row r="174" ht="12">
      <c r="A174" t="s">
        <v>149</v>
      </c>
    </row>
    <row r="175" ht="12">
      <c r="A175" t="s">
        <v>157</v>
      </c>
    </row>
    <row r="176" ht="12">
      <c r="A176" t="s">
        <v>158</v>
      </c>
    </row>
    <row r="177" ht="12">
      <c r="A177" t="s">
        <v>159</v>
      </c>
    </row>
    <row r="178" ht="12">
      <c r="A178" t="s">
        <v>160</v>
      </c>
    </row>
    <row r="179" ht="12">
      <c r="A179" t="s">
        <v>161</v>
      </c>
    </row>
    <row r="180" ht="12">
      <c r="A180" t="s">
        <v>147</v>
      </c>
    </row>
    <row r="181" ht="12">
      <c r="A181" t="s">
        <v>153</v>
      </c>
    </row>
    <row r="182" ht="12">
      <c r="A182" t="s">
        <v>162</v>
      </c>
    </row>
    <row r="188" ht="12">
      <c r="A188" t="s">
        <v>156</v>
      </c>
    </row>
    <row r="189" ht="12">
      <c r="A189" t="s">
        <v>157</v>
      </c>
    </row>
    <row r="190" ht="12">
      <c r="A190" t="s">
        <v>158</v>
      </c>
    </row>
    <row r="191" ht="12">
      <c r="A191" t="s">
        <v>159</v>
      </c>
    </row>
    <row r="192" ht="12">
      <c r="A192" t="s">
        <v>163</v>
      </c>
    </row>
    <row r="193" ht="12">
      <c r="A193" t="s">
        <v>164</v>
      </c>
    </row>
    <row r="194" ht="12">
      <c r="A194" t="s">
        <v>161</v>
      </c>
    </row>
    <row r="195" ht="12">
      <c r="A195" t="s">
        <v>165</v>
      </c>
    </row>
    <row r="196" ht="12">
      <c r="A196" t="s">
        <v>147</v>
      </c>
    </row>
    <row r="197" ht="12">
      <c r="A197" t="s">
        <v>166</v>
      </c>
    </row>
    <row r="206" ht="12">
      <c r="A206" t="s">
        <v>167</v>
      </c>
    </row>
    <row r="207" ht="12">
      <c r="A207" t="s">
        <v>156</v>
      </c>
    </row>
    <row r="208" ht="12">
      <c r="A208" t="s">
        <v>149</v>
      </c>
    </row>
    <row r="209" ht="12">
      <c r="A209" t="s">
        <v>157</v>
      </c>
    </row>
    <row r="210" ht="12">
      <c r="A210" t="s">
        <v>133</v>
      </c>
    </row>
    <row r="211" ht="12">
      <c r="A211" t="s">
        <v>134</v>
      </c>
    </row>
    <row r="212" ht="12">
      <c r="A212" t="s">
        <v>158</v>
      </c>
    </row>
    <row r="213" ht="12">
      <c r="A213" t="s">
        <v>168</v>
      </c>
    </row>
    <row r="214" ht="12">
      <c r="A214" t="s">
        <v>135</v>
      </c>
    </row>
    <row r="215" ht="12">
      <c r="A215" t="s">
        <v>159</v>
      </c>
    </row>
    <row r="216" ht="12">
      <c r="A216" t="s">
        <v>169</v>
      </c>
    </row>
    <row r="217" ht="12">
      <c r="A217" t="s">
        <v>144</v>
      </c>
    </row>
    <row r="218" ht="12">
      <c r="A218" t="s">
        <v>148</v>
      </c>
    </row>
    <row r="219" ht="12">
      <c r="A219" t="s">
        <v>163</v>
      </c>
    </row>
    <row r="220" ht="12">
      <c r="A220" t="s">
        <v>160</v>
      </c>
    </row>
    <row r="221" ht="12">
      <c r="A221" t="s">
        <v>136</v>
      </c>
    </row>
    <row r="222" ht="12">
      <c r="A222" t="s">
        <v>170</v>
      </c>
    </row>
    <row r="223" ht="12">
      <c r="A223" t="s">
        <v>154</v>
      </c>
    </row>
    <row r="224" ht="12">
      <c r="A224" t="s">
        <v>150</v>
      </c>
    </row>
    <row r="225" ht="12">
      <c r="A225" t="s">
        <v>171</v>
      </c>
    </row>
    <row r="226" ht="12">
      <c r="A226" t="s">
        <v>164</v>
      </c>
    </row>
    <row r="227" ht="12">
      <c r="A227" t="s">
        <v>145</v>
      </c>
    </row>
    <row r="228" ht="12">
      <c r="A228" t="s">
        <v>137</v>
      </c>
    </row>
    <row r="229" ht="12">
      <c r="A229" t="s">
        <v>151</v>
      </c>
    </row>
    <row r="230" ht="12">
      <c r="A230" t="s">
        <v>152</v>
      </c>
    </row>
    <row r="231" ht="12">
      <c r="A231" t="s">
        <v>138</v>
      </c>
    </row>
    <row r="232" ht="12">
      <c r="A232" t="s">
        <v>139</v>
      </c>
    </row>
    <row r="233" ht="12">
      <c r="A233" t="s">
        <v>161</v>
      </c>
    </row>
    <row r="234" ht="12">
      <c r="A234" t="s">
        <v>172</v>
      </c>
    </row>
    <row r="235" ht="12">
      <c r="A235" t="s">
        <v>140</v>
      </c>
    </row>
    <row r="236" ht="12">
      <c r="A236" t="s">
        <v>165</v>
      </c>
    </row>
    <row r="237" ht="12">
      <c r="A237" t="s">
        <v>155</v>
      </c>
    </row>
    <row r="238" ht="12">
      <c r="A238" t="s">
        <v>147</v>
      </c>
    </row>
    <row r="239" ht="12">
      <c r="A239" t="s">
        <v>173</v>
      </c>
    </row>
    <row r="240" ht="12">
      <c r="A240" t="s">
        <v>141</v>
      </c>
    </row>
    <row r="241" ht="12">
      <c r="A241" t="s">
        <v>174</v>
      </c>
    </row>
    <row r="242" ht="12">
      <c r="A242" t="s">
        <v>166</v>
      </c>
    </row>
    <row r="243" ht="12">
      <c r="A243" t="s">
        <v>175</v>
      </c>
    </row>
    <row r="244" ht="12">
      <c r="A244" t="s">
        <v>176</v>
      </c>
    </row>
    <row r="245" ht="12">
      <c r="A245" t="s">
        <v>142</v>
      </c>
    </row>
    <row r="246" ht="12">
      <c r="A246" t="s">
        <v>177</v>
      </c>
    </row>
    <row r="247" ht="12">
      <c r="A247" t="s">
        <v>143</v>
      </c>
    </row>
    <row r="248" ht="12">
      <c r="A248" t="s">
        <v>178</v>
      </c>
    </row>
    <row r="249" ht="12">
      <c r="A249" t="s">
        <v>179</v>
      </c>
    </row>
    <row r="250" ht="12">
      <c r="A250" t="s">
        <v>146</v>
      </c>
    </row>
    <row r="251" ht="12">
      <c r="A251" t="s">
        <v>153</v>
      </c>
    </row>
    <row r="252" ht="12">
      <c r="A252" t="s">
        <v>162</v>
      </c>
    </row>
    <row r="253" ht="12">
      <c r="A253" t="s">
        <v>180</v>
      </c>
    </row>
  </sheetData>
  <sheetProtection/>
  <mergeCells count="1">
    <mergeCell ref="A3:D3"/>
  </mergeCells>
  <printOptions/>
  <pageMargins left="0.75" right="0.75" top="1" bottom="1" header="0.5" footer="0.5"/>
  <pageSetup fitToHeight="1" fitToWidth="1" orientation="landscape" scale="94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3"/>
  <sheetViews>
    <sheetView zoomScale="125" zoomScaleNormal="125" workbookViewId="0" topLeftCell="A1">
      <selection activeCell="M79" sqref="M79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  <col min="14" max="14" width="6.7109375" style="0" customWidth="1"/>
  </cols>
  <sheetData>
    <row r="1" ht="12">
      <c r="A1" s="2" t="str">
        <f>+'Cumulative Stats'!A1</f>
        <v>1967 Chicago Bears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14</v>
      </c>
      <c r="H6" s="1" t="s">
        <v>29</v>
      </c>
      <c r="M6" s="2">
        <v>16</v>
      </c>
    </row>
    <row r="7" spans="1:13" ht="12">
      <c r="A7" s="16" t="s">
        <v>95</v>
      </c>
      <c r="D7" s="2">
        <v>3</v>
      </c>
      <c r="H7" s="16" t="s">
        <v>95</v>
      </c>
      <c r="M7" s="2">
        <v>5</v>
      </c>
    </row>
    <row r="8" spans="1:13" ht="12">
      <c r="A8" s="16" t="s">
        <v>96</v>
      </c>
      <c r="D8" s="2">
        <v>6</v>
      </c>
      <c r="H8" s="16" t="s">
        <v>96</v>
      </c>
      <c r="M8" s="2">
        <v>7</v>
      </c>
    </row>
    <row r="9" spans="1:13" ht="12">
      <c r="A9" s="16" t="s">
        <v>97</v>
      </c>
      <c r="D9" s="2">
        <v>5</v>
      </c>
      <c r="H9" s="16" t="s">
        <v>97</v>
      </c>
      <c r="M9" s="2">
        <v>4</v>
      </c>
    </row>
    <row r="10" spans="1:14" ht="12">
      <c r="A10" s="18" t="s">
        <v>108</v>
      </c>
      <c r="C10">
        <v>3</v>
      </c>
      <c r="D10" s="2">
        <v>14</v>
      </c>
      <c r="E10" s="19">
        <f>+C10/D10</f>
        <v>0.21428571428571427</v>
      </c>
      <c r="H10" s="18" t="s">
        <v>108</v>
      </c>
      <c r="L10">
        <v>3</v>
      </c>
      <c r="M10" s="2">
        <v>7</v>
      </c>
      <c r="N10" s="19">
        <f>+L10/M10</f>
        <v>0.42857142857142855</v>
      </c>
    </row>
    <row r="11" spans="1:14" ht="12">
      <c r="A11" s="18" t="s">
        <v>119</v>
      </c>
      <c r="C11">
        <v>0</v>
      </c>
      <c r="D11" s="2">
        <v>0</v>
      </c>
      <c r="E11" s="19"/>
      <c r="H11" s="18" t="s">
        <v>119</v>
      </c>
      <c r="L11">
        <v>1</v>
      </c>
      <c r="M11" s="2">
        <v>1</v>
      </c>
      <c r="N11" s="19"/>
    </row>
    <row r="13" spans="1:23" ht="12">
      <c r="A13" t="s">
        <v>1</v>
      </c>
      <c r="D13" s="2">
        <f>12+9+3+2+2+2+2+1</f>
        <v>33</v>
      </c>
      <c r="H13" t="s">
        <v>1</v>
      </c>
      <c r="M13" s="2">
        <f>10+7+3+8+2+1</f>
        <v>31</v>
      </c>
      <c r="V13">
        <f>+D13</f>
        <v>33</v>
      </c>
      <c r="W13">
        <f>+M13</f>
        <v>31</v>
      </c>
    </row>
    <row r="14" spans="1:23" ht="12">
      <c r="A14" t="s">
        <v>2</v>
      </c>
      <c r="D14" s="2">
        <f>27+18+3+0+2+1-13-6</f>
        <v>32</v>
      </c>
      <c r="H14" t="s">
        <v>2</v>
      </c>
      <c r="M14" s="2">
        <f>33+8+0+41+15+5</f>
        <v>102</v>
      </c>
      <c r="P14" s="13"/>
      <c r="U14" s="13"/>
      <c r="V14">
        <f>+D18</f>
        <v>11</v>
      </c>
      <c r="W14">
        <f>+M18</f>
        <v>10</v>
      </c>
    </row>
    <row r="15" spans="1:23" ht="12">
      <c r="A15" s="1" t="s">
        <v>3</v>
      </c>
      <c r="D15" s="8">
        <f>+D14/D13</f>
        <v>0.9696969696969697</v>
      </c>
      <c r="H15" s="1" t="s">
        <v>3</v>
      </c>
      <c r="M15" s="8">
        <f>+M14/M13</f>
        <v>3.2903225806451615</v>
      </c>
      <c r="V15">
        <f>+(D17-D18)/2</f>
        <v>6</v>
      </c>
      <c r="W15">
        <f>+(M17-M18)/2</f>
        <v>3.5</v>
      </c>
    </row>
    <row r="16" spans="22:23" ht="12">
      <c r="V16">
        <f>+D40/2</f>
        <v>2.5</v>
      </c>
      <c r="W16">
        <f>+M40/2</f>
        <v>1.5</v>
      </c>
    </row>
    <row r="17" spans="1:23" ht="12">
      <c r="A17" t="s">
        <v>4</v>
      </c>
      <c r="D17" s="2">
        <v>23</v>
      </c>
      <c r="H17" t="s">
        <v>4</v>
      </c>
      <c r="M17" s="2">
        <v>17</v>
      </c>
      <c r="V17">
        <f>+D44/2</f>
        <v>1</v>
      </c>
      <c r="W17">
        <f>+M44/2</f>
        <v>1.5</v>
      </c>
    </row>
    <row r="18" spans="1:23" ht="12">
      <c r="A18" t="s">
        <v>5</v>
      </c>
      <c r="D18" s="2">
        <v>11</v>
      </c>
      <c r="H18" t="s">
        <v>5</v>
      </c>
      <c r="M18" s="2">
        <v>10</v>
      </c>
      <c r="V18">
        <f>+D50/2</f>
        <v>2</v>
      </c>
      <c r="W18">
        <f>+M50/2</f>
        <v>1.5</v>
      </c>
    </row>
    <row r="19" spans="1:13" ht="12">
      <c r="A19" t="s">
        <v>6</v>
      </c>
      <c r="D19" s="8">
        <f>+D18/D17*100</f>
        <v>47.82608695652174</v>
      </c>
      <c r="H19" t="s">
        <v>6</v>
      </c>
      <c r="M19" s="8">
        <f>+M18/M17*100</f>
        <v>58.82352941176471</v>
      </c>
    </row>
    <row r="20" spans="1:24" ht="12">
      <c r="A20" t="s">
        <v>7</v>
      </c>
      <c r="D20" s="2">
        <f>78+55</f>
        <v>133</v>
      </c>
      <c r="H20" t="s">
        <v>7</v>
      </c>
      <c r="M20" s="2">
        <v>143</v>
      </c>
      <c r="V20">
        <f>SUM(V13:V18)</f>
        <v>55.5</v>
      </c>
      <c r="W20">
        <f>SUM(W13:W18)</f>
        <v>49</v>
      </c>
      <c r="X20">
        <f>+W20+V20</f>
        <v>104.5</v>
      </c>
    </row>
    <row r="21" spans="1:23" ht="12">
      <c r="A21" t="s">
        <v>8</v>
      </c>
      <c r="D21" s="2">
        <v>2</v>
      </c>
      <c r="H21" t="s">
        <v>8</v>
      </c>
      <c r="M21" s="2">
        <v>4</v>
      </c>
      <c r="V21">
        <f>+V20/X20</f>
        <v>0.5311004784688995</v>
      </c>
      <c r="W21">
        <f>+W20/X20</f>
        <v>0.4688995215311005</v>
      </c>
    </row>
    <row r="22" spans="1:23" ht="12">
      <c r="A22" t="s">
        <v>9</v>
      </c>
      <c r="D22" s="2">
        <v>6</v>
      </c>
      <c r="H22" t="s">
        <v>9</v>
      </c>
      <c r="M22" s="2">
        <f>9+8+16+6</f>
        <v>39</v>
      </c>
      <c r="V22">
        <f>+V21*60</f>
        <v>31.86602870813397</v>
      </c>
      <c r="W22">
        <f>+W21*60</f>
        <v>28.13397129186603</v>
      </c>
    </row>
    <row r="23" spans="1:23" ht="12">
      <c r="A23" t="s">
        <v>10</v>
      </c>
      <c r="D23">
        <f>+D20-D22</f>
        <v>127</v>
      </c>
      <c r="H23" t="s">
        <v>10</v>
      </c>
      <c r="M23">
        <f>+M20-M22</f>
        <v>104</v>
      </c>
      <c r="V23">
        <f>+V22-INT(V22)</f>
        <v>0.866028708133971</v>
      </c>
      <c r="W23">
        <f>+W22-INT(W22)</f>
        <v>0.13397129186602896</v>
      </c>
    </row>
    <row r="24" spans="1:23" ht="12">
      <c r="A24" t="s">
        <v>11</v>
      </c>
      <c r="D24" s="7">
        <f>+D23/(D17+D21)</f>
        <v>5.08</v>
      </c>
      <c r="H24" t="s">
        <v>11</v>
      </c>
      <c r="M24" s="7">
        <f>+M23/(M17+M21)</f>
        <v>4.9523809523809526</v>
      </c>
      <c r="V24">
        <f>+V23*60</f>
        <v>51.96172248803826</v>
      </c>
      <c r="W24">
        <f>+W23*60</f>
        <v>8.038277511961738</v>
      </c>
    </row>
    <row r="25" spans="1:23" ht="12">
      <c r="A25" t="s">
        <v>12</v>
      </c>
      <c r="D25" s="7">
        <f>+D20/D18</f>
        <v>12.090909090909092</v>
      </c>
      <c r="H25" t="s">
        <v>12</v>
      </c>
      <c r="M25" s="7">
        <f>+M20/M18</f>
        <v>14.3</v>
      </c>
      <c r="Q25" s="11"/>
      <c r="U25">
        <v>0</v>
      </c>
      <c r="V25" s="11">
        <f>ROUND(V24,0)</f>
        <v>52</v>
      </c>
      <c r="W25">
        <f>ROUND(W24,0)</f>
        <v>8</v>
      </c>
    </row>
    <row r="26" spans="22:23" ht="12">
      <c r="V26">
        <f>INT(V22)</f>
        <v>31</v>
      </c>
      <c r="W26">
        <f>INT(W22)</f>
        <v>28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159</v>
      </c>
      <c r="H28" t="s">
        <v>14</v>
      </c>
      <c r="M28">
        <f>+M23+M14</f>
        <v>206</v>
      </c>
      <c r="Q28" s="14"/>
      <c r="R28" s="9"/>
      <c r="V28" s="14" t="str">
        <f>+V26&amp;V27&amp;V25</f>
        <v>31:52</v>
      </c>
      <c r="W28" s="9" t="str">
        <f>+W26&amp;W27&amp;W25</f>
        <v>28:8</v>
      </c>
    </row>
    <row r="29" spans="1:23" ht="12">
      <c r="A29" t="s">
        <v>15</v>
      </c>
      <c r="D29" s="7">
        <f>+D14/D28*100</f>
        <v>20.125786163522015</v>
      </c>
      <c r="H29" t="s">
        <v>15</v>
      </c>
      <c r="M29" s="7">
        <f>+M14/M28*100</f>
        <v>49.51456310679612</v>
      </c>
      <c r="Q29" s="9"/>
      <c r="R29" s="9"/>
      <c r="V29" s="9" t="str">
        <f>IF(V25&lt;10,+V26&amp;V27&amp;$U$25&amp;V25,+V26&amp;V27&amp;V25)</f>
        <v>31:52</v>
      </c>
      <c r="W29" s="9" t="str">
        <f>IF(W25&lt;10,+W26&amp;W27&amp;$U$25&amp;W25,+W26&amp;W27&amp;W25)</f>
        <v>28:08</v>
      </c>
    </row>
    <row r="30" spans="1:16" ht="12">
      <c r="A30" s="1" t="s">
        <v>90</v>
      </c>
      <c r="D30" s="7">
        <f>+D23/D28*100</f>
        <v>79.87421383647799</v>
      </c>
      <c r="H30" s="1" t="s">
        <v>90</v>
      </c>
      <c r="M30" s="7">
        <f>+M23/M28*100</f>
        <v>50.48543689320388</v>
      </c>
      <c r="P30" s="13"/>
    </row>
    <row r="32" spans="1:13" ht="12">
      <c r="A32" t="s">
        <v>16</v>
      </c>
      <c r="D32">
        <f>+D13+D17+D21</f>
        <v>58</v>
      </c>
      <c r="H32" t="s">
        <v>16</v>
      </c>
      <c r="M32">
        <f>+M13+M17+M21</f>
        <v>52</v>
      </c>
    </row>
    <row r="33" spans="1:13" ht="12">
      <c r="A33" t="s">
        <v>17</v>
      </c>
      <c r="D33" s="8">
        <f>+D28/D32</f>
        <v>2.7413793103448274</v>
      </c>
      <c r="E33" s="7"/>
      <c r="F33" s="7"/>
      <c r="G33" s="7"/>
      <c r="H33" s="7" t="s">
        <v>17</v>
      </c>
      <c r="I33" s="7"/>
      <c r="J33" s="7"/>
      <c r="K33" s="7"/>
      <c r="L33" s="7"/>
      <c r="M33" s="8">
        <f>+M28/M32</f>
        <v>3.9615384615384617</v>
      </c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2</v>
      </c>
      <c r="H36" t="s">
        <v>19</v>
      </c>
      <c r="M36" s="2">
        <v>2</v>
      </c>
    </row>
    <row r="37" spans="1:13" ht="12">
      <c r="A37" t="s">
        <v>20</v>
      </c>
      <c r="D37" s="2">
        <v>73</v>
      </c>
      <c r="H37" t="s">
        <v>20</v>
      </c>
      <c r="M37" s="2">
        <v>0</v>
      </c>
    </row>
    <row r="38" spans="1:13" ht="12">
      <c r="A38" t="s">
        <v>21</v>
      </c>
      <c r="D38" s="2">
        <v>1</v>
      </c>
      <c r="H38" t="s">
        <v>21</v>
      </c>
      <c r="M38" s="2">
        <v>0</v>
      </c>
    </row>
    <row r="40" spans="1:13" ht="12">
      <c r="A40" t="s">
        <v>22</v>
      </c>
      <c r="D40" s="2">
        <v>5</v>
      </c>
      <c r="H40" t="s">
        <v>22</v>
      </c>
      <c r="M40" s="2">
        <v>3</v>
      </c>
    </row>
    <row r="41" spans="1:13" ht="12">
      <c r="A41" t="s">
        <v>23</v>
      </c>
      <c r="D41" s="2">
        <f>52+34+48+31+42</f>
        <v>207</v>
      </c>
      <c r="H41" t="s">
        <v>23</v>
      </c>
      <c r="M41" s="2">
        <f>25+33+50</f>
        <v>108</v>
      </c>
    </row>
    <row r="42" spans="1:13" ht="12">
      <c r="A42" t="s">
        <v>24</v>
      </c>
      <c r="D42" s="8">
        <f>+D41/D40</f>
        <v>41.4</v>
      </c>
      <c r="E42" s="7"/>
      <c r="F42" s="7"/>
      <c r="G42" s="7"/>
      <c r="H42" s="7" t="s">
        <v>24</v>
      </c>
      <c r="I42" s="7"/>
      <c r="J42" s="7"/>
      <c r="K42" s="7"/>
      <c r="L42" s="7"/>
      <c r="M42" s="8">
        <f>+M41/M40</f>
        <v>36</v>
      </c>
    </row>
    <row r="44" spans="1:13" ht="12">
      <c r="A44" t="s">
        <v>25</v>
      </c>
      <c r="D44" s="2">
        <v>2</v>
      </c>
      <c r="H44" t="s">
        <v>25</v>
      </c>
      <c r="M44" s="2">
        <v>3</v>
      </c>
    </row>
    <row r="45" spans="1:13" ht="12">
      <c r="A45" t="s">
        <v>26</v>
      </c>
      <c r="D45" s="2">
        <v>13</v>
      </c>
      <c r="H45" t="s">
        <v>26</v>
      </c>
      <c r="M45" s="2">
        <f>7+0-2</f>
        <v>5</v>
      </c>
    </row>
    <row r="46" spans="1:13" ht="12">
      <c r="A46" t="s">
        <v>27</v>
      </c>
      <c r="D46" s="8">
        <f>+D45/D44</f>
        <v>6.5</v>
      </c>
      <c r="H46" t="s">
        <v>27</v>
      </c>
      <c r="M46" s="8">
        <f>+M45/M44</f>
        <v>1.6666666666666667</v>
      </c>
    </row>
    <row r="47" spans="1:13" ht="12">
      <c r="A47" s="18" t="s">
        <v>131</v>
      </c>
      <c r="D47" s="2">
        <v>0</v>
      </c>
      <c r="H47" s="18" t="s">
        <v>131</v>
      </c>
      <c r="M47" s="2">
        <v>2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4</v>
      </c>
      <c r="H50" t="s">
        <v>30</v>
      </c>
      <c r="M50" s="2">
        <v>3</v>
      </c>
    </row>
    <row r="51" spans="1:13" ht="12">
      <c r="A51" t="s">
        <v>26</v>
      </c>
      <c r="D51" s="2">
        <f>25+63+0+9</f>
        <v>97</v>
      </c>
      <c r="H51" t="s">
        <v>26</v>
      </c>
      <c r="M51" s="2">
        <f>12+36+65</f>
        <v>113</v>
      </c>
    </row>
    <row r="52" spans="1:13" ht="12">
      <c r="A52" t="s">
        <v>27</v>
      </c>
      <c r="D52" s="8">
        <f>+D51/D50</f>
        <v>24.25</v>
      </c>
      <c r="H52" t="s">
        <v>27</v>
      </c>
      <c r="M52" s="8">
        <f>+M51/M50</f>
        <v>37.666666666666664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3</v>
      </c>
      <c r="G55" t="str">
        <f>IF(D55-D56=M50,"ok","err")</f>
        <v>ok</v>
      </c>
      <c r="H55" t="s">
        <v>127</v>
      </c>
      <c r="K55" s="2"/>
      <c r="M55" s="2">
        <v>5</v>
      </c>
      <c r="P55" s="2"/>
    </row>
    <row r="56" spans="1:16" ht="12">
      <c r="A56" t="s">
        <v>128</v>
      </c>
      <c r="D56" s="2">
        <v>0</v>
      </c>
      <c r="H56" t="s">
        <v>128</v>
      </c>
      <c r="K56" s="2"/>
      <c r="M56" s="2">
        <v>1</v>
      </c>
      <c r="P56" s="2"/>
    </row>
    <row r="57" spans="1:13" ht="12">
      <c r="A57" t="s">
        <v>129</v>
      </c>
      <c r="D57">
        <f>+D56/D55</f>
        <v>0</v>
      </c>
      <c r="H57" t="s">
        <v>129</v>
      </c>
      <c r="M57">
        <f>+M56/M55</f>
        <v>0.2</v>
      </c>
    </row>
    <row r="59" spans="1:13" ht="12">
      <c r="A59" t="s">
        <v>31</v>
      </c>
      <c r="D59" s="2">
        <v>6</v>
      </c>
      <c r="H59" t="s">
        <v>31</v>
      </c>
      <c r="M59" s="2">
        <v>8</v>
      </c>
    </row>
    <row r="60" spans="1:13" ht="12">
      <c r="A60" t="s">
        <v>32</v>
      </c>
      <c r="D60" s="2">
        <v>71</v>
      </c>
      <c r="H60" t="s">
        <v>32</v>
      </c>
      <c r="M60" s="2">
        <v>67</v>
      </c>
    </row>
    <row r="62" spans="1:13" ht="12">
      <c r="A62" t="s">
        <v>33</v>
      </c>
      <c r="D62" s="2">
        <v>0</v>
      </c>
      <c r="H62" t="s">
        <v>33</v>
      </c>
      <c r="M62" s="2">
        <v>2</v>
      </c>
    </row>
    <row r="63" spans="1:13" ht="12">
      <c r="A63" t="s">
        <v>34</v>
      </c>
      <c r="D63" s="2">
        <v>0</v>
      </c>
      <c r="H63" t="s">
        <v>34</v>
      </c>
      <c r="M63" s="2">
        <v>0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2</v>
      </c>
      <c r="H65" t="s">
        <v>36</v>
      </c>
      <c r="M65" s="2">
        <v>0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10</v>
      </c>
      <c r="H68" t="s">
        <v>38</v>
      </c>
      <c r="M68" s="2">
        <v>24</v>
      </c>
      <c r="N68" t="str">
        <f>IF(K68=K69*6+K75*2+K76*3+K73,"ok","ERR")</f>
        <v>ok</v>
      </c>
      <c r="P68" t="str">
        <f>IF(M68=M69*6+M75*2+M76*3+M73,"ok","ERR")</f>
        <v>ok</v>
      </c>
    </row>
    <row r="69" spans="1:13" ht="12">
      <c r="A69" t="s">
        <v>39</v>
      </c>
      <c r="D69" s="2">
        <v>1</v>
      </c>
      <c r="H69" t="s">
        <v>39</v>
      </c>
      <c r="M69" s="2">
        <v>3</v>
      </c>
    </row>
    <row r="70" spans="1:13" ht="12">
      <c r="A70" t="s">
        <v>40</v>
      </c>
      <c r="D70" s="2">
        <v>1</v>
      </c>
      <c r="H70" t="s">
        <v>40</v>
      </c>
      <c r="M70" s="2">
        <v>1</v>
      </c>
    </row>
    <row r="71" spans="1:13" ht="12">
      <c r="A71" t="s">
        <v>41</v>
      </c>
      <c r="D71" s="2">
        <v>0</v>
      </c>
      <c r="H71" t="s">
        <v>41</v>
      </c>
      <c r="M71" s="2">
        <v>1</v>
      </c>
    </row>
    <row r="72" spans="1:13" ht="12">
      <c r="A72" t="s">
        <v>42</v>
      </c>
      <c r="D72" s="2">
        <v>0</v>
      </c>
      <c r="H72" t="s">
        <v>42</v>
      </c>
      <c r="M72" s="2">
        <v>1</v>
      </c>
    </row>
    <row r="73" spans="1:13" ht="12">
      <c r="A73" t="s">
        <v>43</v>
      </c>
      <c r="D73" s="2">
        <v>1</v>
      </c>
      <c r="H73" t="s">
        <v>43</v>
      </c>
      <c r="M73" s="2">
        <v>3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1</v>
      </c>
      <c r="H76" t="s">
        <v>45</v>
      </c>
      <c r="M76" s="2">
        <v>1</v>
      </c>
    </row>
    <row r="77" spans="1:13" ht="12">
      <c r="A77" t="s">
        <v>46</v>
      </c>
      <c r="D77" s="2">
        <v>4</v>
      </c>
      <c r="H77" t="s">
        <v>46</v>
      </c>
      <c r="M77" s="2">
        <v>2</v>
      </c>
    </row>
    <row r="78" spans="1:13" ht="12">
      <c r="A78" t="s">
        <v>47</v>
      </c>
      <c r="D78" s="8">
        <f>+D76/D77*100</f>
        <v>25</v>
      </c>
      <c r="E78" s="7"/>
      <c r="F78" s="7"/>
      <c r="G78" s="7"/>
      <c r="H78" s="7" t="s">
        <v>47</v>
      </c>
      <c r="I78" s="7"/>
      <c r="J78" s="7"/>
      <c r="K78" s="7"/>
      <c r="L78" s="7"/>
      <c r="M78" s="8">
        <f>+M76/M77*100</f>
        <v>50</v>
      </c>
    </row>
    <row r="79" spans="1:13" ht="12">
      <c r="A79" t="s">
        <v>93</v>
      </c>
      <c r="D79" s="10" t="str">
        <f>IF(V25&lt;10,V29,V28)</f>
        <v>31:52</v>
      </c>
      <c r="E79" s="8"/>
      <c r="F79" s="8"/>
      <c r="H79" t="s">
        <v>93</v>
      </c>
      <c r="M79" s="10" t="str">
        <f>IF(W25&lt;10,W29,W28)</f>
        <v>28:08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5" ht="12">
      <c r="A84" t="s">
        <v>134</v>
      </c>
      <c r="E84" s="12" t="e">
        <f>+D84/C84</f>
        <v>#DIV/0!</v>
      </c>
    </row>
    <row r="85" spans="1:8" ht="12">
      <c r="A85" t="s">
        <v>135</v>
      </c>
      <c r="C85">
        <v>2</v>
      </c>
      <c r="D85">
        <v>2</v>
      </c>
      <c r="E85" s="12">
        <f>+D85/C85</f>
        <v>1</v>
      </c>
      <c r="F85">
        <v>2</v>
      </c>
      <c r="G85">
        <v>0</v>
      </c>
      <c r="H85">
        <v>0</v>
      </c>
    </row>
    <row r="86" spans="1:8" ht="12">
      <c r="A86" t="s">
        <v>136</v>
      </c>
      <c r="C86">
        <v>2</v>
      </c>
      <c r="D86">
        <v>-13</v>
      </c>
      <c r="E86" s="12">
        <f aca="true" t="shared" si="0" ref="E86:E92">+D86/C86</f>
        <v>-6.5</v>
      </c>
      <c r="F86">
        <v>-4</v>
      </c>
      <c r="G86">
        <v>0</v>
      </c>
      <c r="H86">
        <v>0</v>
      </c>
    </row>
    <row r="87" spans="1:8" ht="12">
      <c r="A87" t="s">
        <v>137</v>
      </c>
      <c r="C87">
        <v>1</v>
      </c>
      <c r="D87">
        <v>-6</v>
      </c>
      <c r="E87" s="12">
        <f t="shared" si="0"/>
        <v>-6</v>
      </c>
      <c r="F87">
        <v>-6</v>
      </c>
      <c r="G87">
        <v>0</v>
      </c>
      <c r="H87">
        <v>0</v>
      </c>
    </row>
    <row r="88" spans="1:8" ht="12">
      <c r="A88" t="s">
        <v>138</v>
      </c>
      <c r="C88">
        <v>3</v>
      </c>
      <c r="D88">
        <v>3</v>
      </c>
      <c r="E88" s="12">
        <f t="shared" si="0"/>
        <v>1</v>
      </c>
      <c r="F88">
        <v>3</v>
      </c>
      <c r="G88">
        <v>0</v>
      </c>
      <c r="H88">
        <v>0</v>
      </c>
    </row>
    <row r="89" spans="1:8" ht="12">
      <c r="A89" t="s">
        <v>139</v>
      </c>
      <c r="C89">
        <v>2</v>
      </c>
      <c r="D89">
        <v>0</v>
      </c>
      <c r="E89" s="12">
        <f t="shared" si="0"/>
        <v>0</v>
      </c>
      <c r="F89">
        <v>0</v>
      </c>
      <c r="G89">
        <v>0</v>
      </c>
      <c r="H89">
        <v>0</v>
      </c>
    </row>
    <row r="90" spans="1:5" ht="12">
      <c r="A90" t="s">
        <v>140</v>
      </c>
      <c r="E90" s="12" t="e">
        <f t="shared" si="0"/>
        <v>#DIV/0!</v>
      </c>
    </row>
    <row r="91" spans="1:8" ht="12">
      <c r="A91" t="s">
        <v>141</v>
      </c>
      <c r="C91">
        <v>9</v>
      </c>
      <c r="D91">
        <v>18</v>
      </c>
      <c r="E91" s="12">
        <f t="shared" si="0"/>
        <v>2</v>
      </c>
      <c r="F91">
        <v>5</v>
      </c>
      <c r="G91">
        <v>1</v>
      </c>
      <c r="H91">
        <v>0</v>
      </c>
    </row>
    <row r="92" spans="1:8" ht="12">
      <c r="A92" t="s">
        <v>142</v>
      </c>
      <c r="C92">
        <v>2</v>
      </c>
      <c r="D92">
        <v>1</v>
      </c>
      <c r="E92" s="12">
        <f t="shared" si="0"/>
        <v>0.5</v>
      </c>
      <c r="F92">
        <v>5</v>
      </c>
      <c r="G92">
        <v>0</v>
      </c>
      <c r="H92">
        <v>0</v>
      </c>
    </row>
    <row r="93" spans="1:8" ht="12">
      <c r="A93" t="s">
        <v>143</v>
      </c>
      <c r="C93">
        <v>12</v>
      </c>
      <c r="D93">
        <v>27</v>
      </c>
      <c r="E93" s="12">
        <f>+D93/C93</f>
        <v>2.25</v>
      </c>
      <c r="F93">
        <v>10</v>
      </c>
      <c r="G93">
        <v>0</v>
      </c>
      <c r="H93">
        <v>0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5" ht="12">
      <c r="A101" t="s">
        <v>134</v>
      </c>
      <c r="E101" s="12" t="e">
        <f aca="true" t="shared" si="1" ref="E101:E112">+D101/C101</f>
        <v>#DIV/0!</v>
      </c>
    </row>
    <row r="102" spans="1:5" ht="12">
      <c r="A102" t="s">
        <v>144</v>
      </c>
      <c r="E102" s="12" t="e">
        <f t="shared" si="1"/>
        <v>#DIV/0!</v>
      </c>
    </row>
    <row r="103" spans="1:8" ht="12">
      <c r="A103" t="s">
        <v>136</v>
      </c>
      <c r="C103">
        <v>3</v>
      </c>
      <c r="D103">
        <v>29</v>
      </c>
      <c r="E103" s="12">
        <f t="shared" si="1"/>
        <v>9.666666666666666</v>
      </c>
      <c r="F103">
        <v>11</v>
      </c>
      <c r="G103">
        <v>0</v>
      </c>
      <c r="H103">
        <v>0</v>
      </c>
    </row>
    <row r="104" spans="1:5" ht="12">
      <c r="A104" t="s">
        <v>145</v>
      </c>
      <c r="E104" s="12" t="e">
        <f t="shared" si="1"/>
        <v>#DIV/0!</v>
      </c>
    </row>
    <row r="105" spans="1:8" ht="12">
      <c r="A105" t="s">
        <v>137</v>
      </c>
      <c r="C105">
        <v>1</v>
      </c>
      <c r="D105">
        <v>28</v>
      </c>
      <c r="E105" s="12">
        <f t="shared" si="1"/>
        <v>28</v>
      </c>
      <c r="F105">
        <v>28</v>
      </c>
      <c r="G105">
        <v>0</v>
      </c>
      <c r="H105">
        <v>0</v>
      </c>
    </row>
    <row r="106" spans="1:5" ht="12">
      <c r="A106" t="s">
        <v>138</v>
      </c>
      <c r="E106" s="12" t="e">
        <f t="shared" si="1"/>
        <v>#DIV/0!</v>
      </c>
    </row>
    <row r="107" spans="1:8" ht="12">
      <c r="A107" t="s">
        <v>139</v>
      </c>
      <c r="C107">
        <v>1</v>
      </c>
      <c r="D107">
        <v>16</v>
      </c>
      <c r="E107" s="12">
        <f t="shared" si="1"/>
        <v>16</v>
      </c>
      <c r="F107">
        <v>16</v>
      </c>
      <c r="G107">
        <v>0</v>
      </c>
      <c r="H107">
        <v>0</v>
      </c>
    </row>
    <row r="108" spans="1:8" ht="12">
      <c r="A108" t="s">
        <v>140</v>
      </c>
      <c r="C108">
        <v>4</v>
      </c>
      <c r="D108">
        <v>49</v>
      </c>
      <c r="E108" s="12">
        <f t="shared" si="1"/>
        <v>12.25</v>
      </c>
      <c r="F108">
        <v>18</v>
      </c>
      <c r="G108">
        <v>0</v>
      </c>
      <c r="H108">
        <v>0</v>
      </c>
    </row>
    <row r="109" spans="1:8" ht="12">
      <c r="A109" t="s">
        <v>141</v>
      </c>
      <c r="C109">
        <v>1</v>
      </c>
      <c r="D109">
        <v>9</v>
      </c>
      <c r="E109" s="12">
        <f t="shared" si="1"/>
        <v>9</v>
      </c>
      <c r="F109">
        <v>9</v>
      </c>
      <c r="G109">
        <v>0</v>
      </c>
      <c r="H109">
        <v>0</v>
      </c>
    </row>
    <row r="110" spans="1:8" ht="12">
      <c r="A110" t="s">
        <v>143</v>
      </c>
      <c r="C110">
        <v>1</v>
      </c>
      <c r="D110">
        <v>2</v>
      </c>
      <c r="E110" s="12">
        <f t="shared" si="1"/>
        <v>2</v>
      </c>
      <c r="F110">
        <v>2</v>
      </c>
      <c r="G110">
        <v>0</v>
      </c>
      <c r="H110">
        <v>0</v>
      </c>
    </row>
    <row r="111" spans="1:5" ht="12">
      <c r="A111" t="s">
        <v>146</v>
      </c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133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C122">
        <v>9</v>
      </c>
      <c r="D122">
        <v>4</v>
      </c>
      <c r="E122" s="12">
        <f t="shared" si="2"/>
        <v>44.44444444444444</v>
      </c>
      <c r="F122">
        <v>55</v>
      </c>
      <c r="G122">
        <v>0</v>
      </c>
      <c r="H122">
        <v>28</v>
      </c>
      <c r="I122">
        <v>2</v>
      </c>
      <c r="J122" s="8">
        <f t="shared" si="3"/>
        <v>0</v>
      </c>
      <c r="K122" s="12">
        <f t="shared" si="4"/>
        <v>22.22222222222222</v>
      </c>
      <c r="L122" s="12">
        <f t="shared" si="5"/>
        <v>6.111111111111111</v>
      </c>
      <c r="M122" s="12">
        <f t="shared" si="6"/>
        <v>24.999999999999996</v>
      </c>
      <c r="N122">
        <v>0</v>
      </c>
      <c r="O122">
        <v>1</v>
      </c>
      <c r="R122">
        <f t="shared" si="7"/>
        <v>0.7222222222222221</v>
      </c>
      <c r="S122" s="2">
        <f t="shared" si="8"/>
        <v>0.7222222222222221</v>
      </c>
      <c r="T122" s="6">
        <f t="shared" si="9"/>
        <v>0.7777777777777777</v>
      </c>
      <c r="U122" s="2">
        <f t="shared" si="10"/>
        <v>0.7777777777777777</v>
      </c>
      <c r="V122">
        <f t="shared" si="11"/>
        <v>0</v>
      </c>
      <c r="W122" s="2">
        <f t="shared" si="12"/>
        <v>0</v>
      </c>
      <c r="X122">
        <f t="shared" si="13"/>
        <v>-3.1805555555555554</v>
      </c>
      <c r="Y122" s="2">
        <f t="shared" si="14"/>
        <v>0</v>
      </c>
    </row>
    <row r="123" spans="1:25" ht="12">
      <c r="A123" t="s">
        <v>147</v>
      </c>
      <c r="E123" s="12" t="e">
        <f t="shared" si="2"/>
        <v>#DIV/0!</v>
      </c>
      <c r="J123" s="8" t="e">
        <f t="shared" si="3"/>
        <v>#DIV/0!</v>
      </c>
      <c r="K123" s="12" t="e">
        <f t="shared" si="4"/>
        <v>#DIV/0!</v>
      </c>
      <c r="L123" s="12" t="e">
        <f t="shared" si="5"/>
        <v>#DIV/0!</v>
      </c>
      <c r="M123" s="12" t="e">
        <f t="shared" si="6"/>
        <v>#DIV/0!</v>
      </c>
      <c r="R123" t="e">
        <f t="shared" si="7"/>
        <v>#DIV/0!</v>
      </c>
      <c r="S123" s="2" t="e">
        <f t="shared" si="8"/>
        <v>#DIV/0!</v>
      </c>
      <c r="T123" s="6" t="e">
        <f t="shared" si="9"/>
        <v>#DIV/0!</v>
      </c>
      <c r="U123" s="2" t="e">
        <f t="shared" si="10"/>
        <v>#DIV/0!</v>
      </c>
      <c r="V123" t="e">
        <f t="shared" si="11"/>
        <v>#DIV/0!</v>
      </c>
      <c r="W123" s="2" t="e">
        <f t="shared" si="12"/>
        <v>#DIV/0!</v>
      </c>
      <c r="X123" t="e">
        <f t="shared" si="13"/>
        <v>#DIV/0!</v>
      </c>
      <c r="Y123" s="2" t="e">
        <f t="shared" si="14"/>
        <v>#DIV/0!</v>
      </c>
    </row>
    <row r="124" spans="1:25" ht="12">
      <c r="A124" t="s">
        <v>142</v>
      </c>
      <c r="C124">
        <v>14</v>
      </c>
      <c r="D124">
        <v>7</v>
      </c>
      <c r="E124" s="12">
        <f t="shared" si="2"/>
        <v>50</v>
      </c>
      <c r="F124">
        <v>78</v>
      </c>
      <c r="G124">
        <v>0</v>
      </c>
      <c r="H124">
        <v>18</v>
      </c>
      <c r="I124">
        <v>0</v>
      </c>
      <c r="J124" s="8">
        <f t="shared" si="3"/>
        <v>0</v>
      </c>
      <c r="K124" s="12">
        <f t="shared" si="4"/>
        <v>0</v>
      </c>
      <c r="L124" s="12">
        <f t="shared" si="5"/>
        <v>5.571428571428571</v>
      </c>
      <c r="M124" s="12">
        <f t="shared" si="6"/>
        <v>66.96428571428571</v>
      </c>
      <c r="N124">
        <v>0</v>
      </c>
      <c r="O124">
        <v>0</v>
      </c>
      <c r="R124">
        <f t="shared" si="7"/>
        <v>1</v>
      </c>
      <c r="S124" s="2">
        <f t="shared" si="8"/>
        <v>1</v>
      </c>
      <c r="T124" s="6">
        <f t="shared" si="9"/>
        <v>0.6428571428571428</v>
      </c>
      <c r="U124" s="2">
        <f t="shared" si="10"/>
        <v>0.6428571428571428</v>
      </c>
      <c r="V124">
        <f t="shared" si="11"/>
        <v>0</v>
      </c>
      <c r="W124" s="2">
        <f t="shared" si="12"/>
        <v>0</v>
      </c>
      <c r="X124">
        <f t="shared" si="13"/>
        <v>2.375</v>
      </c>
      <c r="Y124" s="2">
        <f t="shared" si="14"/>
        <v>2.375</v>
      </c>
    </row>
    <row r="125" spans="1:25" ht="12">
      <c r="A125" t="s">
        <v>143</v>
      </c>
      <c r="C125">
        <v>0</v>
      </c>
      <c r="D125">
        <v>0</v>
      </c>
      <c r="E125" s="12" t="e">
        <f t="shared" si="2"/>
        <v>#DIV/0!</v>
      </c>
      <c r="F125">
        <v>0</v>
      </c>
      <c r="G125">
        <v>0</v>
      </c>
      <c r="H125">
        <v>0</v>
      </c>
      <c r="I125">
        <v>0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N125">
        <v>0</v>
      </c>
      <c r="O125">
        <v>1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5:25" ht="12"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8" spans="1:9" ht="12">
      <c r="A128" s="2" t="s">
        <v>71</v>
      </c>
      <c r="C128" s="3" t="s">
        <v>72</v>
      </c>
      <c r="D128" s="3" t="s">
        <v>73</v>
      </c>
      <c r="E128" s="3" t="s">
        <v>74</v>
      </c>
      <c r="F128" s="3" t="s">
        <v>53</v>
      </c>
      <c r="G128" s="3" t="s">
        <v>64</v>
      </c>
      <c r="H128" s="3" t="s">
        <v>55</v>
      </c>
      <c r="I128" s="3" t="s">
        <v>84</v>
      </c>
    </row>
    <row r="129" spans="1:6" ht="12">
      <c r="A129" t="s">
        <v>148</v>
      </c>
      <c r="F129" s="12" t="e">
        <f aca="true" t="shared" si="15" ref="F129:F134">+E129/C129</f>
        <v>#DIV/0!</v>
      </c>
    </row>
    <row r="130" spans="1:7" ht="12">
      <c r="A130" t="s">
        <v>136</v>
      </c>
      <c r="C130">
        <v>1</v>
      </c>
      <c r="E130">
        <v>0</v>
      </c>
      <c r="F130" s="12">
        <f t="shared" si="15"/>
        <v>0</v>
      </c>
      <c r="G130">
        <v>0</v>
      </c>
    </row>
    <row r="131" spans="1:6" ht="12">
      <c r="A131" t="s">
        <v>140</v>
      </c>
      <c r="F131" s="12" t="e">
        <f t="shared" si="15"/>
        <v>#DIV/0!</v>
      </c>
    </row>
    <row r="132" spans="1:7" ht="12">
      <c r="A132" t="s">
        <v>143</v>
      </c>
      <c r="C132">
        <v>1</v>
      </c>
      <c r="E132">
        <v>13</v>
      </c>
      <c r="F132" s="12">
        <f t="shared" si="15"/>
        <v>13</v>
      </c>
      <c r="G132">
        <v>13</v>
      </c>
    </row>
    <row r="133" ht="12">
      <c r="F133" s="12" t="e">
        <f t="shared" si="15"/>
        <v>#DIV/0!</v>
      </c>
    </row>
    <row r="134" ht="12">
      <c r="F134" s="12" t="e">
        <f t="shared" si="15"/>
        <v>#DIV/0!</v>
      </c>
    </row>
    <row r="138" spans="1:8" ht="12">
      <c r="A138" s="2" t="s">
        <v>30</v>
      </c>
      <c r="C138" s="3" t="s">
        <v>72</v>
      </c>
      <c r="D138" s="3" t="s">
        <v>74</v>
      </c>
      <c r="E138" s="3" t="s">
        <v>53</v>
      </c>
      <c r="F138" s="3" t="s">
        <v>64</v>
      </c>
      <c r="G138" s="3" t="s">
        <v>55</v>
      </c>
      <c r="H138" s="3" t="s">
        <v>84</v>
      </c>
    </row>
    <row r="139" spans="1:5" ht="12">
      <c r="A139" t="s">
        <v>149</v>
      </c>
      <c r="E139" s="12" t="e">
        <f aca="true" t="shared" si="16" ref="E139:E144">+D139/C139</f>
        <v>#DIV/0!</v>
      </c>
    </row>
    <row r="140" spans="1:5" ht="12">
      <c r="A140" t="s">
        <v>148</v>
      </c>
      <c r="E140" s="12" t="e">
        <f t="shared" si="16"/>
        <v>#DIV/0!</v>
      </c>
    </row>
    <row r="141" spans="1:5" ht="12">
      <c r="A141" t="s">
        <v>136</v>
      </c>
      <c r="E141" s="12" t="e">
        <f t="shared" si="16"/>
        <v>#DIV/0!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151</v>
      </c>
      <c r="E143" s="12" t="e">
        <f t="shared" si="16"/>
        <v>#DIV/0!</v>
      </c>
    </row>
    <row r="144" spans="1:5" ht="12">
      <c r="A144" t="s">
        <v>152</v>
      </c>
      <c r="E144" s="12" t="e">
        <f t="shared" si="16"/>
        <v>#DIV/0!</v>
      </c>
    </row>
    <row r="145" spans="1:6" ht="12">
      <c r="A145" t="s">
        <v>138</v>
      </c>
      <c r="C145">
        <v>1</v>
      </c>
      <c r="D145">
        <v>9</v>
      </c>
      <c r="E145" s="12">
        <f aca="true" t="shared" si="17" ref="E145:E151">+D145/C145</f>
        <v>9</v>
      </c>
      <c r="F145">
        <v>9</v>
      </c>
    </row>
    <row r="146" spans="1:6" ht="12">
      <c r="A146" t="s">
        <v>143</v>
      </c>
      <c r="C146">
        <v>2</v>
      </c>
      <c r="D146">
        <f>25+63</f>
        <v>88</v>
      </c>
      <c r="E146" s="12">
        <f t="shared" si="17"/>
        <v>44</v>
      </c>
      <c r="F146">
        <v>63</v>
      </c>
    </row>
    <row r="147" spans="1:6" ht="12">
      <c r="A147" t="s">
        <v>146</v>
      </c>
      <c r="C147">
        <v>1</v>
      </c>
      <c r="D147">
        <v>0</v>
      </c>
      <c r="E147" s="12">
        <f t="shared" si="17"/>
        <v>0</v>
      </c>
      <c r="F147">
        <v>0</v>
      </c>
    </row>
    <row r="148" spans="1:5" ht="12">
      <c r="A148" t="s">
        <v>153</v>
      </c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3" spans="1:8" ht="12">
      <c r="A153" s="2" t="s">
        <v>75</v>
      </c>
      <c r="C153" s="3" t="s">
        <v>72</v>
      </c>
      <c r="D153" s="3" t="s">
        <v>74</v>
      </c>
      <c r="E153" s="3" t="s">
        <v>53</v>
      </c>
      <c r="F153" s="3" t="s">
        <v>64</v>
      </c>
      <c r="G153" s="3" t="s">
        <v>76</v>
      </c>
      <c r="H153" s="3" t="s">
        <v>84</v>
      </c>
    </row>
    <row r="154" spans="1:6" ht="12">
      <c r="A154" t="s">
        <v>154</v>
      </c>
      <c r="C154">
        <v>5</v>
      </c>
      <c r="D154">
        <f>52+34+48+31+42</f>
        <v>207</v>
      </c>
      <c r="E154" s="12"/>
      <c r="F154">
        <v>52</v>
      </c>
    </row>
    <row r="160" spans="9:21" ht="12">
      <c r="I160" s="5" t="s">
        <v>67</v>
      </c>
      <c r="L160" s="32" t="s">
        <v>99</v>
      </c>
      <c r="M160" s="32"/>
      <c r="N160" s="32" t="s">
        <v>100</v>
      </c>
      <c r="O160" s="32"/>
      <c r="P160" s="32" t="s">
        <v>101</v>
      </c>
      <c r="Q160" s="32"/>
      <c r="R160" s="32" t="s">
        <v>102</v>
      </c>
      <c r="S160" s="32"/>
      <c r="T160" s="32" t="s">
        <v>103</v>
      </c>
      <c r="U160" s="32"/>
    </row>
    <row r="161" spans="1:21" ht="12">
      <c r="A161" s="4" t="s">
        <v>83</v>
      </c>
      <c r="C161" s="3" t="s">
        <v>77</v>
      </c>
      <c r="D161" s="3" t="s">
        <v>78</v>
      </c>
      <c r="E161" s="3" t="s">
        <v>79</v>
      </c>
      <c r="F161" s="3" t="s">
        <v>80</v>
      </c>
      <c r="G161" s="3" t="s">
        <v>81</v>
      </c>
      <c r="H161" s="3" t="s">
        <v>82</v>
      </c>
      <c r="I161" s="3" t="s">
        <v>86</v>
      </c>
      <c r="J161" s="3" t="s">
        <v>64</v>
      </c>
      <c r="L161" s="3" t="s">
        <v>81</v>
      </c>
      <c r="M161" s="3" t="s">
        <v>82</v>
      </c>
      <c r="N161" s="3" t="s">
        <v>81</v>
      </c>
      <c r="O161" s="3" t="s">
        <v>82</v>
      </c>
      <c r="P161" s="3" t="s">
        <v>81</v>
      </c>
      <c r="Q161" s="3" t="s">
        <v>82</v>
      </c>
      <c r="R161" s="3" t="s">
        <v>81</v>
      </c>
      <c r="S161" s="3" t="s">
        <v>82</v>
      </c>
      <c r="T161" s="3" t="s">
        <v>81</v>
      </c>
      <c r="U161" s="3" t="s">
        <v>82</v>
      </c>
    </row>
    <row r="162" spans="1:20" ht="12">
      <c r="A162" t="s">
        <v>155</v>
      </c>
      <c r="C162">
        <v>3</v>
      </c>
      <c r="E162">
        <v>1</v>
      </c>
      <c r="F162">
        <v>1</v>
      </c>
      <c r="G162">
        <v>4</v>
      </c>
      <c r="H162">
        <v>1</v>
      </c>
      <c r="I162" s="12">
        <f aca="true" t="shared" si="18" ref="I162:I169">+H162/G162*100</f>
        <v>25</v>
      </c>
      <c r="J162">
        <v>10</v>
      </c>
      <c r="L162">
        <v>1</v>
      </c>
      <c r="M162">
        <v>1</v>
      </c>
      <c r="N162">
        <v>1</v>
      </c>
      <c r="P162">
        <v>1</v>
      </c>
      <c r="T162">
        <v>1</v>
      </c>
    </row>
    <row r="163" spans="1:9" ht="12">
      <c r="A163" t="s">
        <v>154</v>
      </c>
      <c r="I163" s="12" t="e">
        <f t="shared" si="18"/>
        <v>#DIV/0!</v>
      </c>
    </row>
    <row r="164" ht="12">
      <c r="I164" s="12" t="e">
        <f t="shared" si="18"/>
        <v>#DIV/0!</v>
      </c>
    </row>
    <row r="165" ht="12">
      <c r="I165" s="12" t="e">
        <f t="shared" si="18"/>
        <v>#DIV/0!</v>
      </c>
    </row>
    <row r="166" ht="12">
      <c r="I166" s="12" t="e">
        <f t="shared" si="18"/>
        <v>#DIV/0!</v>
      </c>
    </row>
    <row r="167" ht="12"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2" spans="1:8" ht="12">
      <c r="A172" s="2" t="s">
        <v>85</v>
      </c>
      <c r="C172" s="3" t="s">
        <v>72</v>
      </c>
      <c r="D172" s="3" t="s">
        <v>74</v>
      </c>
      <c r="E172" s="3" t="s">
        <v>53</v>
      </c>
      <c r="F172" s="3" t="s">
        <v>64</v>
      </c>
      <c r="G172" s="3" t="s">
        <v>55</v>
      </c>
      <c r="H172" s="3" t="s">
        <v>84</v>
      </c>
    </row>
    <row r="173" spans="1:5" ht="12">
      <c r="A173" t="s">
        <v>156</v>
      </c>
      <c r="E173" s="12" t="e">
        <f>+D173/C173</f>
        <v>#DIV/0!</v>
      </c>
    </row>
    <row r="174" spans="1:5" ht="12">
      <c r="A174" t="s">
        <v>149</v>
      </c>
      <c r="E174" s="12" t="e">
        <f aca="true" t="shared" si="19" ref="E174:E180">+D174/C174</f>
        <v>#DIV/0!</v>
      </c>
    </row>
    <row r="175" spans="1:6" ht="12">
      <c r="A175" t="s">
        <v>157</v>
      </c>
      <c r="C175">
        <v>1</v>
      </c>
      <c r="D175">
        <v>0</v>
      </c>
      <c r="E175" s="12">
        <f t="shared" si="19"/>
        <v>0</v>
      </c>
      <c r="F175">
        <v>0</v>
      </c>
    </row>
    <row r="176" spans="1:5" ht="12">
      <c r="A176" t="s">
        <v>158</v>
      </c>
      <c r="E176" s="12" t="e">
        <f t="shared" si="19"/>
        <v>#DIV/0!</v>
      </c>
    </row>
    <row r="177" spans="1:5" ht="12">
      <c r="A177" t="s">
        <v>159</v>
      </c>
      <c r="E177" s="12" t="e">
        <f t="shared" si="19"/>
        <v>#DIV/0!</v>
      </c>
    </row>
    <row r="178" spans="1:5" ht="12">
      <c r="A178" t="s">
        <v>160</v>
      </c>
      <c r="E178" s="12" t="e">
        <f t="shared" si="19"/>
        <v>#DIV/0!</v>
      </c>
    </row>
    <row r="179" spans="1:5" ht="12">
      <c r="A179" t="s">
        <v>161</v>
      </c>
      <c r="E179" s="12" t="e">
        <f t="shared" si="19"/>
        <v>#DIV/0!</v>
      </c>
    </row>
    <row r="180" spans="1:6" ht="12">
      <c r="A180" t="s">
        <v>147</v>
      </c>
      <c r="C180">
        <v>1</v>
      </c>
      <c r="D180">
        <v>0</v>
      </c>
      <c r="E180" s="12">
        <f t="shared" si="19"/>
        <v>0</v>
      </c>
      <c r="F180">
        <v>0</v>
      </c>
    </row>
    <row r="181" spans="1:5" ht="12">
      <c r="A181" t="s">
        <v>153</v>
      </c>
      <c r="E181" s="12" t="e">
        <f>+D181/C181</f>
        <v>#DIV/0!</v>
      </c>
    </row>
    <row r="182" spans="1:5" ht="12">
      <c r="A182" t="s">
        <v>162</v>
      </c>
      <c r="E182" s="12" t="e">
        <f>+D182/C182</f>
        <v>#DIV/0!</v>
      </c>
    </row>
    <row r="183" spans="1:5" ht="12">
      <c r="A183" s="1"/>
      <c r="E183" s="12" t="e">
        <f>+D183/C183</f>
        <v>#DIV/0!</v>
      </c>
    </row>
    <row r="184" spans="1:5" ht="12">
      <c r="A184" s="1"/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/>
    </row>
    <row r="187" spans="1:4" ht="12">
      <c r="A187" s="2" t="s">
        <v>98</v>
      </c>
      <c r="C187" s="3" t="s">
        <v>72</v>
      </c>
      <c r="D187" s="3" t="s">
        <v>74</v>
      </c>
    </row>
    <row r="188" spans="1:4" ht="12">
      <c r="A188" s="20" t="s">
        <v>156</v>
      </c>
      <c r="C188" s="3"/>
      <c r="D188" s="3"/>
    </row>
    <row r="189" spans="1:4" ht="12">
      <c r="A189" s="20" t="s">
        <v>157</v>
      </c>
      <c r="C189" s="3"/>
      <c r="D189" s="3"/>
    </row>
    <row r="190" spans="1:4" ht="12">
      <c r="A190" s="20" t="s">
        <v>158</v>
      </c>
      <c r="C190" s="3"/>
      <c r="D190" s="3"/>
    </row>
    <row r="191" spans="1:4" ht="12">
      <c r="A191" s="20" t="s">
        <v>159</v>
      </c>
      <c r="C191" s="3">
        <v>1.5</v>
      </c>
      <c r="D191" s="3">
        <f>4.5+16</f>
        <v>20.5</v>
      </c>
    </row>
    <row r="192" spans="1:4" ht="12">
      <c r="A192" s="20" t="s">
        <v>163</v>
      </c>
      <c r="C192" s="3">
        <v>1.5</v>
      </c>
      <c r="D192" s="3">
        <v>11</v>
      </c>
    </row>
    <row r="193" spans="1:4" ht="12">
      <c r="A193" s="20" t="s">
        <v>164</v>
      </c>
      <c r="C193" s="3"/>
      <c r="D193" s="3"/>
    </row>
    <row r="194" spans="1:4" ht="12">
      <c r="A194" s="20" t="s">
        <v>161</v>
      </c>
      <c r="C194" s="3"/>
      <c r="D194" s="3"/>
    </row>
    <row r="195" spans="1:4" ht="12">
      <c r="A195" s="20" t="s">
        <v>165</v>
      </c>
      <c r="C195" s="3">
        <v>0.5</v>
      </c>
      <c r="D195" s="3">
        <v>4.5</v>
      </c>
    </row>
    <row r="196" spans="1:4" ht="12">
      <c r="A196" s="20" t="s">
        <v>147</v>
      </c>
      <c r="C196" s="3">
        <v>0.5</v>
      </c>
      <c r="D196" s="3">
        <v>3</v>
      </c>
    </row>
    <row r="197" spans="1:4" ht="12">
      <c r="A197" s="20" t="s">
        <v>166</v>
      </c>
      <c r="C197" s="3"/>
      <c r="D197" s="3"/>
    </row>
    <row r="198" spans="1:4" ht="12">
      <c r="A198" s="20"/>
      <c r="C198" s="3"/>
      <c r="D198" s="3"/>
    </row>
    <row r="199" spans="1:4" ht="12">
      <c r="A199" s="20"/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"/>
      <c r="C202" s="3"/>
      <c r="D202" s="3"/>
    </row>
    <row r="203" spans="1:4" ht="12">
      <c r="A203" s="2"/>
      <c r="C203" s="3"/>
      <c r="D203" s="3"/>
    </row>
    <row r="204" spans="1:4" ht="12">
      <c r="A204" s="2"/>
      <c r="C204" s="3"/>
      <c r="D204" s="3"/>
    </row>
    <row r="205" spans="1:7" ht="12">
      <c r="A205" s="2" t="s">
        <v>94</v>
      </c>
      <c r="C205" s="3" t="s">
        <v>72</v>
      </c>
      <c r="D205" s="3" t="s">
        <v>74</v>
      </c>
      <c r="E205" s="3" t="s">
        <v>64</v>
      </c>
      <c r="F205" s="3" t="s">
        <v>55</v>
      </c>
      <c r="G205" s="5" t="s">
        <v>84</v>
      </c>
    </row>
    <row r="206" ht="12">
      <c r="A206" t="s">
        <v>167</v>
      </c>
    </row>
    <row r="207" spans="1:3" ht="12">
      <c r="A207" t="s">
        <v>156</v>
      </c>
      <c r="C207">
        <v>1</v>
      </c>
    </row>
    <row r="208" ht="12">
      <c r="A208" t="s">
        <v>149</v>
      </c>
    </row>
    <row r="209" ht="12">
      <c r="A209" t="s">
        <v>157</v>
      </c>
    </row>
    <row r="210" ht="12">
      <c r="A210" t="s">
        <v>133</v>
      </c>
    </row>
    <row r="211" ht="12">
      <c r="A211" t="s">
        <v>134</v>
      </c>
    </row>
    <row r="212" ht="12">
      <c r="A212" t="s">
        <v>158</v>
      </c>
    </row>
    <row r="213" ht="12">
      <c r="A213" t="s">
        <v>168</v>
      </c>
    </row>
    <row r="214" ht="12">
      <c r="A214" t="s">
        <v>135</v>
      </c>
    </row>
    <row r="215" spans="1:3" ht="12">
      <c r="A215" t="s">
        <v>159</v>
      </c>
      <c r="C215">
        <v>1</v>
      </c>
    </row>
    <row r="216" ht="12">
      <c r="A216" t="s">
        <v>169</v>
      </c>
    </row>
    <row r="217" ht="12">
      <c r="A217" t="s">
        <v>144</v>
      </c>
    </row>
    <row r="218" ht="12">
      <c r="A218" t="s">
        <v>148</v>
      </c>
    </row>
    <row r="219" ht="12">
      <c r="A219" t="s">
        <v>163</v>
      </c>
    </row>
    <row r="220" ht="12">
      <c r="A220" t="s">
        <v>160</v>
      </c>
    </row>
    <row r="221" ht="12">
      <c r="A221" t="s">
        <v>136</v>
      </c>
    </row>
    <row r="222" ht="12">
      <c r="A222" t="s">
        <v>170</v>
      </c>
    </row>
    <row r="223" ht="12">
      <c r="A223" t="s">
        <v>154</v>
      </c>
    </row>
    <row r="224" ht="12">
      <c r="A224" t="s">
        <v>150</v>
      </c>
    </row>
    <row r="225" ht="12">
      <c r="A225" t="s">
        <v>171</v>
      </c>
    </row>
    <row r="226" ht="12">
      <c r="A226" t="s">
        <v>164</v>
      </c>
    </row>
    <row r="227" ht="12">
      <c r="A227" t="s">
        <v>145</v>
      </c>
    </row>
    <row r="228" ht="12">
      <c r="A228" t="s">
        <v>137</v>
      </c>
    </row>
    <row r="229" ht="12">
      <c r="A229" t="s">
        <v>151</v>
      </c>
    </row>
    <row r="230" ht="12">
      <c r="A230" t="s">
        <v>152</v>
      </c>
    </row>
    <row r="231" ht="12">
      <c r="A231" t="s">
        <v>138</v>
      </c>
    </row>
    <row r="232" ht="12">
      <c r="A232" t="s">
        <v>139</v>
      </c>
    </row>
    <row r="233" ht="12">
      <c r="A233" t="s">
        <v>161</v>
      </c>
    </row>
    <row r="234" ht="12">
      <c r="A234" t="s">
        <v>172</v>
      </c>
    </row>
    <row r="235" ht="12">
      <c r="A235" t="s">
        <v>140</v>
      </c>
    </row>
    <row r="236" ht="12">
      <c r="A236" t="s">
        <v>165</v>
      </c>
    </row>
    <row r="237" ht="12">
      <c r="A237" t="s">
        <v>155</v>
      </c>
    </row>
    <row r="238" ht="12">
      <c r="A238" t="s">
        <v>147</v>
      </c>
    </row>
    <row r="239" ht="12">
      <c r="A239" t="s">
        <v>173</v>
      </c>
    </row>
    <row r="240" ht="12">
      <c r="A240" t="s">
        <v>141</v>
      </c>
    </row>
    <row r="241" ht="12">
      <c r="A241" t="s">
        <v>174</v>
      </c>
    </row>
    <row r="242" ht="12">
      <c r="A242" t="s">
        <v>166</v>
      </c>
    </row>
    <row r="243" ht="12">
      <c r="A243" t="s">
        <v>175</v>
      </c>
    </row>
    <row r="244" ht="12">
      <c r="A244" t="s">
        <v>176</v>
      </c>
    </row>
    <row r="245" ht="12">
      <c r="A245" t="s">
        <v>142</v>
      </c>
    </row>
    <row r="246" ht="12">
      <c r="A246" t="s">
        <v>177</v>
      </c>
    </row>
    <row r="247" ht="12">
      <c r="A247" t="s">
        <v>143</v>
      </c>
    </row>
    <row r="248" ht="12">
      <c r="A248" t="s">
        <v>178</v>
      </c>
    </row>
    <row r="249" ht="12">
      <c r="A249" t="s">
        <v>179</v>
      </c>
    </row>
    <row r="250" ht="12">
      <c r="A250" t="s">
        <v>146</v>
      </c>
    </row>
    <row r="251" ht="12">
      <c r="A251" t="s">
        <v>153</v>
      </c>
    </row>
    <row r="252" ht="12">
      <c r="A252" t="s">
        <v>162</v>
      </c>
    </row>
    <row r="253" ht="12">
      <c r="A253" t="s">
        <v>180</v>
      </c>
    </row>
  </sheetData>
  <sheetProtection/>
  <mergeCells count="5">
    <mergeCell ref="L160:M160"/>
    <mergeCell ref="N160:O160"/>
    <mergeCell ref="P160:Q160"/>
    <mergeCell ref="R160:S160"/>
    <mergeCell ref="T160:U160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53"/>
  <sheetViews>
    <sheetView zoomScale="125" zoomScaleNormal="125" workbookViewId="0" topLeftCell="A1">
      <selection activeCell="M79" sqref="M79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  <col min="14" max="14" width="6.28125" style="0" customWidth="1"/>
  </cols>
  <sheetData>
    <row r="1" ht="12">
      <c r="A1" s="2" t="str">
        <f>+'Cumulative Stats'!A1</f>
        <v>1967 Chicago Bears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14</v>
      </c>
      <c r="H6" s="1" t="s">
        <v>29</v>
      </c>
      <c r="M6" s="2">
        <v>13</v>
      </c>
    </row>
    <row r="7" spans="1:13" ht="12">
      <c r="A7" s="16" t="s">
        <v>95</v>
      </c>
      <c r="D7" s="2">
        <v>11</v>
      </c>
      <c r="H7" s="16" t="s">
        <v>95</v>
      </c>
      <c r="M7" s="2">
        <v>6</v>
      </c>
    </row>
    <row r="8" spans="1:13" ht="12">
      <c r="A8" s="16" t="s">
        <v>96</v>
      </c>
      <c r="D8" s="2">
        <v>2</v>
      </c>
      <c r="H8" s="16" t="s">
        <v>96</v>
      </c>
      <c r="M8" s="2">
        <v>5</v>
      </c>
    </row>
    <row r="9" spans="1:13" ht="12">
      <c r="A9" s="16" t="s">
        <v>97</v>
      </c>
      <c r="D9" s="2">
        <v>1</v>
      </c>
      <c r="H9" s="16" t="s">
        <v>97</v>
      </c>
      <c r="M9" s="2">
        <v>2</v>
      </c>
    </row>
    <row r="10" spans="1:14" ht="12">
      <c r="A10" s="18" t="s">
        <v>108</v>
      </c>
      <c r="C10">
        <v>3</v>
      </c>
      <c r="D10" s="2">
        <v>11</v>
      </c>
      <c r="E10" s="19">
        <f>+C10/D10</f>
        <v>0.2727272727272727</v>
      </c>
      <c r="H10" s="18" t="s">
        <v>108</v>
      </c>
      <c r="L10">
        <v>3</v>
      </c>
      <c r="M10" s="2">
        <v>11</v>
      </c>
      <c r="N10" s="19">
        <f>+L10/M10</f>
        <v>0.2727272727272727</v>
      </c>
    </row>
    <row r="11" spans="1:14" ht="12">
      <c r="A11" s="18" t="s">
        <v>119</v>
      </c>
      <c r="C11">
        <v>0</v>
      </c>
      <c r="D11" s="2">
        <v>1</v>
      </c>
      <c r="E11" s="19"/>
      <c r="H11" s="18" t="s">
        <v>119</v>
      </c>
      <c r="L11">
        <v>0</v>
      </c>
      <c r="M11" s="2">
        <v>0</v>
      </c>
      <c r="N11" s="19"/>
    </row>
    <row r="13" spans="1:23" ht="12">
      <c r="A13" t="s">
        <v>1</v>
      </c>
      <c r="D13" s="2">
        <f>17+3+5+3+1+3+7</f>
        <v>39</v>
      </c>
      <c r="H13" t="s">
        <v>1</v>
      </c>
      <c r="M13" s="2">
        <f>12+17+1+1+2</f>
        <v>33</v>
      </c>
      <c r="V13">
        <f>+D13</f>
        <v>39</v>
      </c>
      <c r="W13">
        <f>+M13</f>
        <v>33</v>
      </c>
    </row>
    <row r="14" spans="1:23" ht="12">
      <c r="A14" t="s">
        <v>2</v>
      </c>
      <c r="D14" s="2">
        <f>83+8+37+11+10+5+56</f>
        <v>210</v>
      </c>
      <c r="H14" t="s">
        <v>2</v>
      </c>
      <c r="M14" s="2">
        <f>22+67+4+1+16</f>
        <v>110</v>
      </c>
      <c r="P14" s="13"/>
      <c r="U14" s="13"/>
      <c r="V14">
        <f>+D18</f>
        <v>4</v>
      </c>
      <c r="W14">
        <f>+M18</f>
        <v>8</v>
      </c>
    </row>
    <row r="15" spans="1:23" ht="12">
      <c r="A15" s="1" t="s">
        <v>3</v>
      </c>
      <c r="D15" s="8">
        <f>+D14/D13</f>
        <v>5.384615384615385</v>
      </c>
      <c r="H15" s="1" t="s">
        <v>3</v>
      </c>
      <c r="M15" s="8">
        <f>+M14/M13</f>
        <v>3.3333333333333335</v>
      </c>
      <c r="V15">
        <f>+(D17-D18)/2</f>
        <v>5</v>
      </c>
      <c r="W15">
        <f>+(M17-M18)/2</f>
        <v>7</v>
      </c>
    </row>
    <row r="16" spans="22:23" ht="12">
      <c r="V16">
        <f>+D40/2</f>
        <v>2.5</v>
      </c>
      <c r="W16">
        <f>+M40/2</f>
        <v>2.5</v>
      </c>
    </row>
    <row r="17" spans="1:23" ht="12">
      <c r="A17" t="s">
        <v>4</v>
      </c>
      <c r="D17" s="2">
        <v>14</v>
      </c>
      <c r="H17" t="s">
        <v>4</v>
      </c>
      <c r="M17" s="2">
        <v>22</v>
      </c>
      <c r="V17">
        <f>+D44/2</f>
        <v>0</v>
      </c>
      <c r="W17">
        <f>+M44/2</f>
        <v>0</v>
      </c>
    </row>
    <row r="18" spans="1:23" ht="12">
      <c r="A18" t="s">
        <v>5</v>
      </c>
      <c r="D18" s="2">
        <v>4</v>
      </c>
      <c r="H18" t="s">
        <v>5</v>
      </c>
      <c r="M18" s="2">
        <v>8</v>
      </c>
      <c r="V18">
        <f>+D50/2</f>
        <v>1.5</v>
      </c>
      <c r="W18">
        <f>+M50/2</f>
        <v>1</v>
      </c>
    </row>
    <row r="19" spans="1:13" ht="12">
      <c r="A19" t="s">
        <v>6</v>
      </c>
      <c r="D19" s="8">
        <f>+D18/D17*100</f>
        <v>28.57142857142857</v>
      </c>
      <c r="H19" t="s">
        <v>6</v>
      </c>
      <c r="M19" s="8">
        <f>+M18/M17*100</f>
        <v>36.36363636363637</v>
      </c>
    </row>
    <row r="20" spans="1:24" ht="12">
      <c r="A20" t="s">
        <v>7</v>
      </c>
      <c r="D20" s="2">
        <v>42</v>
      </c>
      <c r="H20" t="s">
        <v>7</v>
      </c>
      <c r="M20" s="2">
        <v>88</v>
      </c>
      <c r="V20">
        <f>SUM(V13:V18)</f>
        <v>52</v>
      </c>
      <c r="W20">
        <f>SUM(W13:W18)</f>
        <v>51.5</v>
      </c>
      <c r="X20">
        <f>+W20+V20</f>
        <v>103.5</v>
      </c>
    </row>
    <row r="21" spans="1:23" ht="12">
      <c r="A21" t="s">
        <v>8</v>
      </c>
      <c r="D21" s="2">
        <v>2</v>
      </c>
      <c r="H21" t="s">
        <v>8</v>
      </c>
      <c r="M21" s="2">
        <v>2</v>
      </c>
      <c r="V21">
        <f>+V20/X20</f>
        <v>0.5024154589371981</v>
      </c>
      <c r="W21">
        <f>+W20/X20</f>
        <v>0.4975845410628019</v>
      </c>
    </row>
    <row r="22" spans="1:23" ht="12">
      <c r="A22" t="s">
        <v>9</v>
      </c>
      <c r="D22" s="2">
        <v>14</v>
      </c>
      <c r="H22" t="s">
        <v>9</v>
      </c>
      <c r="M22" s="2">
        <v>11</v>
      </c>
      <c r="V22">
        <f>+V21*60</f>
        <v>30.144927536231883</v>
      </c>
      <c r="W22">
        <f>+W21*60</f>
        <v>29.855072463768117</v>
      </c>
    </row>
    <row r="23" spans="1:23" ht="12">
      <c r="A23" t="s">
        <v>10</v>
      </c>
      <c r="D23">
        <f>+D20-D22</f>
        <v>28</v>
      </c>
      <c r="H23" t="s">
        <v>10</v>
      </c>
      <c r="M23">
        <f>+M20-M22</f>
        <v>77</v>
      </c>
      <c r="V23">
        <f>+V22-INT(V22)</f>
        <v>0.14492753623188293</v>
      </c>
      <c r="W23">
        <f>+W22-INT(W22)</f>
        <v>0.8550724637681171</v>
      </c>
    </row>
    <row r="24" spans="1:23" ht="12">
      <c r="A24" t="s">
        <v>11</v>
      </c>
      <c r="D24" s="7">
        <f>+D23/(D17+D21)</f>
        <v>1.75</v>
      </c>
      <c r="H24" t="s">
        <v>11</v>
      </c>
      <c r="M24" s="7">
        <f>+M23/(M17+M21)</f>
        <v>3.2083333333333335</v>
      </c>
      <c r="V24">
        <f>+V23*60</f>
        <v>8.695652173912976</v>
      </c>
      <c r="W24">
        <f>+W23*60</f>
        <v>51.304347826087024</v>
      </c>
    </row>
    <row r="25" spans="1:23" ht="12">
      <c r="A25" t="s">
        <v>12</v>
      </c>
      <c r="D25" s="7">
        <f>+D20/D18</f>
        <v>10.5</v>
      </c>
      <c r="H25" t="s">
        <v>12</v>
      </c>
      <c r="M25" s="7">
        <f>+M20/M18</f>
        <v>11</v>
      </c>
      <c r="Q25" s="11"/>
      <c r="U25">
        <v>0</v>
      </c>
      <c r="V25" s="11">
        <f>ROUND(V24,0)</f>
        <v>9</v>
      </c>
      <c r="W25">
        <f>ROUND(W24,0)</f>
        <v>51</v>
      </c>
    </row>
    <row r="26" spans="22:23" ht="12">
      <c r="V26">
        <f>INT(V22)</f>
        <v>30</v>
      </c>
      <c r="W26">
        <f>INT(W22)</f>
        <v>29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238</v>
      </c>
      <c r="H28" t="s">
        <v>14</v>
      </c>
      <c r="M28">
        <f>+M23+M14</f>
        <v>187</v>
      </c>
      <c r="Q28" s="14"/>
      <c r="R28" s="9"/>
      <c r="V28" s="14" t="str">
        <f>+V26&amp;V27&amp;V25</f>
        <v>30:9</v>
      </c>
      <c r="W28" s="9" t="str">
        <f>+W26&amp;W27&amp;W25</f>
        <v>29:51</v>
      </c>
    </row>
    <row r="29" spans="1:23" ht="12">
      <c r="A29" t="s">
        <v>15</v>
      </c>
      <c r="D29" s="7">
        <f>+D14/D28*100</f>
        <v>88.23529411764706</v>
      </c>
      <c r="H29" t="s">
        <v>15</v>
      </c>
      <c r="M29" s="7">
        <f>+M14/M28*100</f>
        <v>58.82352941176471</v>
      </c>
      <c r="Q29" s="9"/>
      <c r="R29" s="9"/>
      <c r="V29" s="9" t="str">
        <f>IF(V25&lt;10,+V26&amp;V27&amp;$U$25&amp;V25,+V26&amp;V27&amp;V25)</f>
        <v>30:09</v>
      </c>
      <c r="W29" s="9" t="str">
        <f>IF(W25&lt;10,+W26&amp;W27&amp;$U$25&amp;W25,+W26&amp;W27&amp;W25)</f>
        <v>29:51</v>
      </c>
    </row>
    <row r="30" spans="1:16" ht="12">
      <c r="A30" s="1" t="s">
        <v>90</v>
      </c>
      <c r="D30" s="7">
        <f>+D23/D28*100</f>
        <v>11.76470588235294</v>
      </c>
      <c r="H30" s="1" t="s">
        <v>90</v>
      </c>
      <c r="M30" s="7">
        <f>+M23/M28*100</f>
        <v>41.17647058823529</v>
      </c>
      <c r="P30" s="13"/>
    </row>
    <row r="32" spans="1:13" ht="12">
      <c r="A32" t="s">
        <v>16</v>
      </c>
      <c r="D32">
        <f>+D13+D17+D21</f>
        <v>55</v>
      </c>
      <c r="H32" t="s">
        <v>16</v>
      </c>
      <c r="M32">
        <f>+M13+M17+M21</f>
        <v>57</v>
      </c>
    </row>
    <row r="33" spans="1:13" ht="12">
      <c r="A33" t="s">
        <v>17</v>
      </c>
      <c r="D33" s="8">
        <f>+D28/D32</f>
        <v>4.327272727272727</v>
      </c>
      <c r="E33" s="7"/>
      <c r="F33" s="7"/>
      <c r="G33" s="7"/>
      <c r="H33" s="7" t="s">
        <v>17</v>
      </c>
      <c r="I33" s="7"/>
      <c r="J33" s="7"/>
      <c r="K33" s="7"/>
      <c r="L33" s="7"/>
      <c r="M33" s="8">
        <f>+M28/M32</f>
        <v>3.280701754385965</v>
      </c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2</v>
      </c>
      <c r="H36" t="s">
        <v>19</v>
      </c>
      <c r="M36" s="2">
        <v>2</v>
      </c>
    </row>
    <row r="37" spans="1:13" ht="12">
      <c r="A37" t="s">
        <v>20</v>
      </c>
      <c r="D37" s="2">
        <f>32+38</f>
        <v>70</v>
      </c>
      <c r="H37" t="s">
        <v>20</v>
      </c>
      <c r="M37" s="2">
        <f>25+21+27</f>
        <v>73</v>
      </c>
    </row>
    <row r="38" spans="1:13" ht="12">
      <c r="A38" t="s">
        <v>21</v>
      </c>
      <c r="D38" s="2">
        <v>0</v>
      </c>
      <c r="H38" t="s">
        <v>21</v>
      </c>
      <c r="M38" s="2">
        <v>1</v>
      </c>
    </row>
    <row r="40" spans="1:13" ht="12">
      <c r="A40" t="s">
        <v>22</v>
      </c>
      <c r="D40" s="2">
        <v>5</v>
      </c>
      <c r="H40" t="s">
        <v>22</v>
      </c>
      <c r="M40" s="2">
        <v>5</v>
      </c>
    </row>
    <row r="41" spans="1:13" ht="12">
      <c r="A41" t="s">
        <v>23</v>
      </c>
      <c r="D41" s="2">
        <f>22+48+32+42+22</f>
        <v>166</v>
      </c>
      <c r="H41" t="s">
        <v>23</v>
      </c>
      <c r="M41" s="2">
        <f>56+41+32+27+46</f>
        <v>202</v>
      </c>
    </row>
    <row r="42" spans="1:13" ht="12">
      <c r="A42" t="s">
        <v>24</v>
      </c>
      <c r="D42" s="8">
        <f>+D41/D40</f>
        <v>33.2</v>
      </c>
      <c r="E42" s="7"/>
      <c r="F42" s="7"/>
      <c r="G42" s="7"/>
      <c r="H42" s="7" t="s">
        <v>24</v>
      </c>
      <c r="I42" s="7"/>
      <c r="J42" s="7"/>
      <c r="K42" s="7"/>
      <c r="L42" s="7"/>
      <c r="M42" s="8">
        <f>+M41/M40</f>
        <v>40.4</v>
      </c>
    </row>
    <row r="44" spans="1:13" ht="12">
      <c r="A44" t="s">
        <v>25</v>
      </c>
      <c r="D44" s="2">
        <v>0</v>
      </c>
      <c r="H44" t="s">
        <v>25</v>
      </c>
      <c r="M44" s="2">
        <v>0</v>
      </c>
    </row>
    <row r="45" spans="1:13" ht="12">
      <c r="A45" t="s">
        <v>26</v>
      </c>
      <c r="D45" s="2">
        <v>0</v>
      </c>
      <c r="H45" t="s">
        <v>26</v>
      </c>
      <c r="M45" s="2">
        <v>0</v>
      </c>
    </row>
    <row r="46" spans="1:13" ht="12">
      <c r="A46" t="s">
        <v>27</v>
      </c>
      <c r="D46" s="8" t="e">
        <f>+D45/D44</f>
        <v>#DIV/0!</v>
      </c>
      <c r="H46" t="s">
        <v>27</v>
      </c>
      <c r="M46" s="8" t="e">
        <f>+M45/M44</f>
        <v>#DIV/0!</v>
      </c>
    </row>
    <row r="47" spans="1:13" ht="12">
      <c r="A47" s="18" t="s">
        <v>131</v>
      </c>
      <c r="D47" s="2">
        <v>2</v>
      </c>
      <c r="H47" s="18" t="s">
        <v>131</v>
      </c>
      <c r="M47" s="2">
        <v>1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3</v>
      </c>
      <c r="H50" t="s">
        <v>30</v>
      </c>
      <c r="M50" s="2">
        <v>2</v>
      </c>
    </row>
    <row r="51" spans="1:13" ht="12">
      <c r="A51" t="s">
        <v>26</v>
      </c>
      <c r="D51" s="2">
        <f>15+26+28</f>
        <v>69</v>
      </c>
      <c r="H51" t="s">
        <v>26</v>
      </c>
      <c r="M51" s="2">
        <v>57</v>
      </c>
    </row>
    <row r="52" spans="1:13" ht="12">
      <c r="A52" t="s">
        <v>27</v>
      </c>
      <c r="D52" s="8">
        <f>+D51/D50</f>
        <v>23</v>
      </c>
      <c r="H52" t="s">
        <v>27</v>
      </c>
      <c r="M52" s="8">
        <f>+M51/M50</f>
        <v>28.5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3</v>
      </c>
      <c r="G55" t="str">
        <f>IF(D55-D56=M50,"ok","err")</f>
        <v>ok</v>
      </c>
      <c r="H55" t="s">
        <v>127</v>
      </c>
      <c r="K55" s="2"/>
      <c r="M55" s="2">
        <v>4</v>
      </c>
      <c r="P55" s="2"/>
    </row>
    <row r="56" spans="1:16" ht="12">
      <c r="A56" t="s">
        <v>128</v>
      </c>
      <c r="D56" s="2">
        <v>1</v>
      </c>
      <c r="H56" t="s">
        <v>128</v>
      </c>
      <c r="K56" s="2"/>
      <c r="M56" s="2">
        <v>1</v>
      </c>
      <c r="P56" s="2"/>
    </row>
    <row r="57" spans="1:13" ht="12">
      <c r="A57" t="s">
        <v>129</v>
      </c>
      <c r="D57">
        <f>+D56/D55</f>
        <v>0.3333333333333333</v>
      </c>
      <c r="H57" t="s">
        <v>129</v>
      </c>
      <c r="M57">
        <f>+M56/M55</f>
        <v>0.25</v>
      </c>
    </row>
    <row r="59" spans="1:13" ht="12">
      <c r="A59" t="s">
        <v>31</v>
      </c>
      <c r="D59" s="2">
        <v>9</v>
      </c>
      <c r="H59" t="s">
        <v>31</v>
      </c>
      <c r="M59" s="2">
        <v>7</v>
      </c>
    </row>
    <row r="60" spans="1:13" ht="12">
      <c r="A60" t="s">
        <v>32</v>
      </c>
      <c r="D60" s="2">
        <v>84</v>
      </c>
      <c r="H60" t="s">
        <v>32</v>
      </c>
      <c r="M60" s="2">
        <v>61</v>
      </c>
    </row>
    <row r="62" spans="1:13" ht="12">
      <c r="A62" t="s">
        <v>33</v>
      </c>
      <c r="D62" s="2">
        <v>4</v>
      </c>
      <c r="H62" t="s">
        <v>33</v>
      </c>
      <c r="M62" s="2">
        <v>0</v>
      </c>
    </row>
    <row r="63" spans="1:13" ht="12">
      <c r="A63" t="s">
        <v>34</v>
      </c>
      <c r="D63" s="2">
        <v>3</v>
      </c>
      <c r="H63" t="s">
        <v>34</v>
      </c>
      <c r="M63" s="2">
        <v>0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0</v>
      </c>
      <c r="H65" t="s">
        <v>36</v>
      </c>
      <c r="M65" s="2">
        <v>1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14</v>
      </c>
      <c r="H68" t="s">
        <v>38</v>
      </c>
      <c r="M68" s="2">
        <v>20</v>
      </c>
      <c r="N68" t="str">
        <f>IF(K68=K69*6+K75*2+K76*3+K73,"ok","ERR")</f>
        <v>ok</v>
      </c>
      <c r="P68" t="str">
        <f>IF(M68=M69*6+M75*2+M76*3+M73,"ok","ERR")</f>
        <v>ok</v>
      </c>
    </row>
    <row r="69" spans="1:13" ht="12">
      <c r="A69" t="s">
        <v>39</v>
      </c>
      <c r="D69" s="2">
        <v>2</v>
      </c>
      <c r="H69" t="s">
        <v>39</v>
      </c>
      <c r="M69" s="2">
        <v>2</v>
      </c>
    </row>
    <row r="70" spans="1:13" ht="12">
      <c r="A70" t="s">
        <v>40</v>
      </c>
      <c r="D70" s="2">
        <v>1</v>
      </c>
      <c r="H70" t="s">
        <v>40</v>
      </c>
      <c r="M70" s="2">
        <v>1</v>
      </c>
    </row>
    <row r="71" spans="1:13" ht="12">
      <c r="A71" t="s">
        <v>41</v>
      </c>
      <c r="D71" s="2">
        <v>0</v>
      </c>
      <c r="H71" t="s">
        <v>41</v>
      </c>
      <c r="M71" s="2">
        <v>1</v>
      </c>
    </row>
    <row r="72" spans="1:13" ht="12">
      <c r="A72" t="s">
        <v>42</v>
      </c>
      <c r="D72" s="2">
        <v>1</v>
      </c>
      <c r="H72" t="s">
        <v>42</v>
      </c>
      <c r="M72" s="2">
        <v>0</v>
      </c>
    </row>
    <row r="73" spans="1:13" ht="12">
      <c r="A73" t="s">
        <v>43</v>
      </c>
      <c r="D73" s="2">
        <v>2</v>
      </c>
      <c r="H73" t="s">
        <v>43</v>
      </c>
      <c r="M73" s="2">
        <v>2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0</v>
      </c>
      <c r="H76" t="s">
        <v>45</v>
      </c>
      <c r="M76" s="2">
        <v>2</v>
      </c>
    </row>
    <row r="77" spans="1:13" ht="12">
      <c r="A77" t="s">
        <v>46</v>
      </c>
      <c r="D77" s="2">
        <v>1</v>
      </c>
      <c r="H77" t="s">
        <v>46</v>
      </c>
      <c r="M77" s="2">
        <v>3</v>
      </c>
    </row>
    <row r="78" spans="1:13" ht="12">
      <c r="A78" t="s">
        <v>47</v>
      </c>
      <c r="D78" s="8">
        <f>+D76/D77*100</f>
        <v>0</v>
      </c>
      <c r="E78" s="7"/>
      <c r="F78" s="7"/>
      <c r="G78" s="7"/>
      <c r="H78" s="7" t="s">
        <v>47</v>
      </c>
      <c r="I78" s="7"/>
      <c r="J78" s="7"/>
      <c r="K78" s="7"/>
      <c r="L78" s="7"/>
      <c r="M78" s="8">
        <f>+M76/M77*100</f>
        <v>66.66666666666666</v>
      </c>
    </row>
    <row r="79" spans="1:13" ht="12">
      <c r="A79" t="s">
        <v>93</v>
      </c>
      <c r="D79" s="10" t="str">
        <f>IF(V25&lt;10,V29,V28)</f>
        <v>30:09</v>
      </c>
      <c r="E79" s="8"/>
      <c r="F79" s="8"/>
      <c r="H79" t="s">
        <v>93</v>
      </c>
      <c r="M79" s="10" t="str">
        <f>IF(W25&lt;10,W29,W28)</f>
        <v>29:51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8" ht="12">
      <c r="A84" t="s">
        <v>134</v>
      </c>
      <c r="C84">
        <v>5</v>
      </c>
      <c r="D84">
        <v>37</v>
      </c>
      <c r="E84" s="12">
        <f>+D84/C84</f>
        <v>7.4</v>
      </c>
      <c r="F84">
        <v>14</v>
      </c>
      <c r="G84">
        <v>0</v>
      </c>
      <c r="H84">
        <v>0</v>
      </c>
    </row>
    <row r="85" spans="1:8" ht="12">
      <c r="A85" t="s">
        <v>135</v>
      </c>
      <c r="C85">
        <v>7</v>
      </c>
      <c r="D85">
        <v>56</v>
      </c>
      <c r="E85" s="12">
        <f>+D85/C85</f>
        <v>8</v>
      </c>
      <c r="F85">
        <v>31</v>
      </c>
      <c r="G85">
        <v>0</v>
      </c>
      <c r="H85">
        <v>0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8" ht="12">
      <c r="A87" t="s">
        <v>137</v>
      </c>
      <c r="C87">
        <v>1</v>
      </c>
      <c r="D87">
        <v>10</v>
      </c>
      <c r="E87" s="12">
        <f t="shared" si="0"/>
        <v>10</v>
      </c>
      <c r="F87">
        <v>10</v>
      </c>
      <c r="G87">
        <v>0</v>
      </c>
      <c r="H87">
        <v>0</v>
      </c>
    </row>
    <row r="88" spans="1:8" ht="12">
      <c r="A88" t="s">
        <v>138</v>
      </c>
      <c r="C88">
        <v>3</v>
      </c>
      <c r="D88">
        <v>11</v>
      </c>
      <c r="E88" s="12">
        <f t="shared" si="0"/>
        <v>3.6666666666666665</v>
      </c>
      <c r="F88">
        <v>6</v>
      </c>
      <c r="G88">
        <v>0</v>
      </c>
      <c r="H88">
        <v>0</v>
      </c>
    </row>
    <row r="89" spans="1:8" ht="12">
      <c r="A89" t="s">
        <v>139</v>
      </c>
      <c r="C89">
        <v>3</v>
      </c>
      <c r="D89">
        <v>5</v>
      </c>
      <c r="E89" s="12">
        <f t="shared" si="0"/>
        <v>1.6666666666666667</v>
      </c>
      <c r="F89">
        <v>3</v>
      </c>
      <c r="G89">
        <v>0</v>
      </c>
      <c r="H89">
        <v>1</v>
      </c>
    </row>
    <row r="90" spans="1:5" ht="12">
      <c r="A90" t="s">
        <v>140</v>
      </c>
      <c r="E90" s="12" t="e">
        <f t="shared" si="0"/>
        <v>#DIV/0!</v>
      </c>
    </row>
    <row r="91" spans="1:8" ht="12">
      <c r="A91" t="s">
        <v>141</v>
      </c>
      <c r="C91">
        <v>3</v>
      </c>
      <c r="D91">
        <v>8</v>
      </c>
      <c r="E91" s="12">
        <f t="shared" si="0"/>
        <v>2.6666666666666665</v>
      </c>
      <c r="F91">
        <v>6</v>
      </c>
      <c r="G91">
        <v>0</v>
      </c>
      <c r="H91">
        <v>1</v>
      </c>
    </row>
    <row r="92" spans="1:5" ht="12">
      <c r="A92" t="s">
        <v>142</v>
      </c>
      <c r="E92" s="12" t="e">
        <f t="shared" si="0"/>
        <v>#DIV/0!</v>
      </c>
    </row>
    <row r="93" spans="1:8" ht="12">
      <c r="A93" t="s">
        <v>143</v>
      </c>
      <c r="C93">
        <v>17</v>
      </c>
      <c r="D93">
        <v>83</v>
      </c>
      <c r="E93" s="12">
        <f>+D93/C93</f>
        <v>4.882352941176471</v>
      </c>
      <c r="F93">
        <v>22</v>
      </c>
      <c r="G93">
        <v>1</v>
      </c>
      <c r="H93">
        <v>2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8" ht="12">
      <c r="A101" t="s">
        <v>134</v>
      </c>
      <c r="C101">
        <v>1</v>
      </c>
      <c r="D101">
        <v>15</v>
      </c>
      <c r="E101" s="12">
        <f aca="true" t="shared" si="1" ref="E101:E112">+D101/C101</f>
        <v>15</v>
      </c>
      <c r="F101">
        <v>15</v>
      </c>
      <c r="G101">
        <v>0</v>
      </c>
      <c r="H101">
        <v>0</v>
      </c>
    </row>
    <row r="102" spans="1:5" ht="12">
      <c r="A102" t="s">
        <v>144</v>
      </c>
      <c r="E102" s="12" t="e">
        <f t="shared" si="1"/>
        <v>#DIV/0!</v>
      </c>
    </row>
    <row r="103" spans="1:8" ht="12">
      <c r="A103" t="s">
        <v>136</v>
      </c>
      <c r="C103">
        <v>1</v>
      </c>
      <c r="D103">
        <v>4</v>
      </c>
      <c r="E103" s="12">
        <f t="shared" si="1"/>
        <v>4</v>
      </c>
      <c r="F103">
        <v>4</v>
      </c>
      <c r="G103">
        <v>0</v>
      </c>
      <c r="H103">
        <v>0</v>
      </c>
    </row>
    <row r="104" spans="1:5" ht="12">
      <c r="A104" t="s">
        <v>145</v>
      </c>
      <c r="E104" s="12" t="e">
        <f t="shared" si="1"/>
        <v>#DIV/0!</v>
      </c>
    </row>
    <row r="105" spans="1:5" ht="12">
      <c r="A105" t="s">
        <v>137</v>
      </c>
      <c r="E105" s="12" t="e">
        <f t="shared" si="1"/>
        <v>#DIV/0!</v>
      </c>
    </row>
    <row r="106" spans="1:5" ht="12">
      <c r="A106" t="s">
        <v>138</v>
      </c>
      <c r="E106" s="12" t="e">
        <f t="shared" si="1"/>
        <v>#DIV/0!</v>
      </c>
    </row>
    <row r="107" spans="1:5" ht="12">
      <c r="A107" t="s">
        <v>139</v>
      </c>
      <c r="E107" s="12" t="e">
        <f t="shared" si="1"/>
        <v>#DIV/0!</v>
      </c>
    </row>
    <row r="108" spans="1:8" ht="12">
      <c r="A108" t="s">
        <v>140</v>
      </c>
      <c r="C108">
        <v>1</v>
      </c>
      <c r="D108">
        <v>14</v>
      </c>
      <c r="E108" s="12">
        <f t="shared" si="1"/>
        <v>14</v>
      </c>
      <c r="F108">
        <v>14</v>
      </c>
      <c r="G108">
        <v>0</v>
      </c>
      <c r="H108">
        <v>0</v>
      </c>
    </row>
    <row r="109" spans="1:5" ht="12">
      <c r="A109" t="s">
        <v>141</v>
      </c>
      <c r="E109" s="12" t="e">
        <f t="shared" si="1"/>
        <v>#DIV/0!</v>
      </c>
    </row>
    <row r="110" spans="1:8" ht="12">
      <c r="A110" t="s">
        <v>143</v>
      </c>
      <c r="C110">
        <v>1</v>
      </c>
      <c r="D110">
        <v>9</v>
      </c>
      <c r="E110" s="12">
        <f t="shared" si="1"/>
        <v>9</v>
      </c>
      <c r="F110">
        <v>9</v>
      </c>
      <c r="G110">
        <v>0</v>
      </c>
      <c r="H110">
        <v>0</v>
      </c>
    </row>
    <row r="111" spans="1:5" ht="12">
      <c r="A111" t="s">
        <v>146</v>
      </c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133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C122">
        <v>14</v>
      </c>
      <c r="D122">
        <v>4</v>
      </c>
      <c r="E122" s="12">
        <f t="shared" si="2"/>
        <v>28.57142857142857</v>
      </c>
      <c r="F122">
        <v>42</v>
      </c>
      <c r="G122">
        <v>0</v>
      </c>
      <c r="H122">
        <v>15</v>
      </c>
      <c r="I122">
        <v>2</v>
      </c>
      <c r="J122" s="8">
        <f t="shared" si="3"/>
        <v>0</v>
      </c>
      <c r="K122" s="12">
        <f t="shared" si="4"/>
        <v>14.285714285714285</v>
      </c>
      <c r="L122" s="12">
        <f t="shared" si="5"/>
        <v>3</v>
      </c>
      <c r="M122" s="12">
        <f t="shared" si="6"/>
        <v>0</v>
      </c>
      <c r="N122">
        <v>0</v>
      </c>
      <c r="O122">
        <v>2</v>
      </c>
      <c r="R122">
        <f t="shared" si="7"/>
        <v>-0.07142857142857154</v>
      </c>
      <c r="S122" s="2">
        <f t="shared" si="8"/>
        <v>0</v>
      </c>
      <c r="T122" s="6">
        <f t="shared" si="9"/>
        <v>0</v>
      </c>
      <c r="U122" s="2">
        <f t="shared" si="10"/>
        <v>0</v>
      </c>
      <c r="V122">
        <f t="shared" si="11"/>
        <v>0</v>
      </c>
      <c r="W122" s="2">
        <f t="shared" si="12"/>
        <v>0</v>
      </c>
      <c r="X122">
        <f t="shared" si="13"/>
        <v>-1.1964285714285712</v>
      </c>
      <c r="Y122" s="2">
        <f t="shared" si="14"/>
        <v>0</v>
      </c>
    </row>
    <row r="123" spans="1:25" ht="12">
      <c r="A123" t="s">
        <v>147</v>
      </c>
      <c r="E123" s="12" t="e">
        <f t="shared" si="2"/>
        <v>#DIV/0!</v>
      </c>
      <c r="J123" s="8" t="e">
        <f t="shared" si="3"/>
        <v>#DIV/0!</v>
      </c>
      <c r="K123" s="12" t="e">
        <f t="shared" si="4"/>
        <v>#DIV/0!</v>
      </c>
      <c r="L123" s="12" t="e">
        <f t="shared" si="5"/>
        <v>#DIV/0!</v>
      </c>
      <c r="M123" s="12" t="e">
        <f t="shared" si="6"/>
        <v>#DIV/0!</v>
      </c>
      <c r="R123" t="e">
        <f t="shared" si="7"/>
        <v>#DIV/0!</v>
      </c>
      <c r="S123" s="2" t="e">
        <f t="shared" si="8"/>
        <v>#DIV/0!</v>
      </c>
      <c r="T123" s="6" t="e">
        <f t="shared" si="9"/>
        <v>#DIV/0!</v>
      </c>
      <c r="U123" s="2" t="e">
        <f t="shared" si="10"/>
        <v>#DIV/0!</v>
      </c>
      <c r="V123" t="e">
        <f t="shared" si="11"/>
        <v>#DIV/0!</v>
      </c>
      <c r="W123" s="2" t="e">
        <f t="shared" si="12"/>
        <v>#DIV/0!</v>
      </c>
      <c r="X123" t="e">
        <f t="shared" si="13"/>
        <v>#DIV/0!</v>
      </c>
      <c r="Y123" s="2" t="e">
        <f t="shared" si="14"/>
        <v>#DIV/0!</v>
      </c>
    </row>
    <row r="124" spans="1:25" ht="12">
      <c r="A124" t="s">
        <v>142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143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5:25" ht="12"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8" spans="1:9" ht="12">
      <c r="A128" s="2" t="s">
        <v>71</v>
      </c>
      <c r="C128" s="3" t="s">
        <v>72</v>
      </c>
      <c r="D128" s="3" t="s">
        <v>73</v>
      </c>
      <c r="E128" s="3" t="s">
        <v>74</v>
      </c>
      <c r="F128" s="3" t="s">
        <v>53</v>
      </c>
      <c r="G128" s="3" t="s">
        <v>64</v>
      </c>
      <c r="H128" s="3" t="s">
        <v>55</v>
      </c>
      <c r="I128" s="3" t="s">
        <v>84</v>
      </c>
    </row>
    <row r="129" spans="1:6" ht="12">
      <c r="A129" t="s">
        <v>148</v>
      </c>
      <c r="F129" s="12" t="e">
        <f aca="true" t="shared" si="15" ref="F129:F134">+E129/C129</f>
        <v>#DIV/0!</v>
      </c>
    </row>
    <row r="130" spans="1:6" ht="12">
      <c r="A130" t="s">
        <v>136</v>
      </c>
      <c r="F130" s="12" t="e">
        <f t="shared" si="15"/>
        <v>#DIV/0!</v>
      </c>
    </row>
    <row r="131" spans="1:6" ht="12">
      <c r="A131" t="s">
        <v>140</v>
      </c>
      <c r="F131" s="12" t="e">
        <f t="shared" si="15"/>
        <v>#DIV/0!</v>
      </c>
    </row>
    <row r="132" spans="1:6" ht="12">
      <c r="A132" t="s">
        <v>143</v>
      </c>
      <c r="D132">
        <v>2</v>
      </c>
      <c r="F132" s="12" t="e">
        <f t="shared" si="15"/>
        <v>#DIV/0!</v>
      </c>
    </row>
    <row r="133" ht="12">
      <c r="F133" s="12" t="e">
        <f t="shared" si="15"/>
        <v>#DIV/0!</v>
      </c>
    </row>
    <row r="134" ht="12">
      <c r="F134" s="12" t="e">
        <f t="shared" si="15"/>
        <v>#DIV/0!</v>
      </c>
    </row>
    <row r="138" spans="1:8" ht="12">
      <c r="A138" s="2" t="s">
        <v>30</v>
      </c>
      <c r="C138" s="3" t="s">
        <v>72</v>
      </c>
      <c r="D138" s="3" t="s">
        <v>74</v>
      </c>
      <c r="E138" s="3" t="s">
        <v>53</v>
      </c>
      <c r="F138" s="3" t="s">
        <v>64</v>
      </c>
      <c r="G138" s="3" t="s">
        <v>55</v>
      </c>
      <c r="H138" s="3" t="s">
        <v>84</v>
      </c>
    </row>
    <row r="139" spans="1:5" ht="12">
      <c r="A139" t="s">
        <v>149</v>
      </c>
      <c r="E139" s="12" t="e">
        <f aca="true" t="shared" si="16" ref="E139:E144">+D139/C139</f>
        <v>#DIV/0!</v>
      </c>
    </row>
    <row r="140" spans="1:5" ht="12">
      <c r="A140" t="s">
        <v>148</v>
      </c>
      <c r="E140" s="12" t="e">
        <f t="shared" si="16"/>
        <v>#DIV/0!</v>
      </c>
    </row>
    <row r="141" spans="1:6" ht="12">
      <c r="A141" t="s">
        <v>136</v>
      </c>
      <c r="C141">
        <v>2</v>
      </c>
      <c r="D141">
        <f>26+28</f>
        <v>54</v>
      </c>
      <c r="E141" s="12">
        <f t="shared" si="16"/>
        <v>27</v>
      </c>
      <c r="F141">
        <v>28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151</v>
      </c>
      <c r="E143" s="12" t="e">
        <f t="shared" si="16"/>
        <v>#DIV/0!</v>
      </c>
    </row>
    <row r="144" spans="1:5" ht="12">
      <c r="A144" t="s">
        <v>152</v>
      </c>
      <c r="E144" s="12" t="e">
        <f t="shared" si="16"/>
        <v>#DIV/0!</v>
      </c>
    </row>
    <row r="145" spans="1:6" ht="12">
      <c r="A145" t="s">
        <v>138</v>
      </c>
      <c r="C145">
        <v>1</v>
      </c>
      <c r="D145">
        <v>15</v>
      </c>
      <c r="E145" s="12">
        <f aca="true" t="shared" si="17" ref="E145:E151">+D145/C145</f>
        <v>15</v>
      </c>
      <c r="F145">
        <v>15</v>
      </c>
    </row>
    <row r="146" spans="1:5" ht="12">
      <c r="A146" t="s">
        <v>143</v>
      </c>
      <c r="E146" s="12" t="e">
        <f t="shared" si="17"/>
        <v>#DIV/0!</v>
      </c>
    </row>
    <row r="147" spans="1:5" ht="12">
      <c r="A147" t="s">
        <v>146</v>
      </c>
      <c r="E147" s="12" t="e">
        <f t="shared" si="17"/>
        <v>#DIV/0!</v>
      </c>
    </row>
    <row r="148" spans="1:5" ht="12">
      <c r="A148" t="s">
        <v>153</v>
      </c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3" spans="1:8" ht="12">
      <c r="A153" s="2" t="s">
        <v>75</v>
      </c>
      <c r="C153" s="3" t="s">
        <v>72</v>
      </c>
      <c r="D153" s="3" t="s">
        <v>74</v>
      </c>
      <c r="E153" s="3" t="s">
        <v>53</v>
      </c>
      <c r="F153" s="3" t="s">
        <v>64</v>
      </c>
      <c r="G153" s="3" t="s">
        <v>76</v>
      </c>
      <c r="H153" s="3" t="s">
        <v>84</v>
      </c>
    </row>
    <row r="154" spans="1:6" ht="12">
      <c r="A154" t="s">
        <v>154</v>
      </c>
      <c r="C154">
        <v>5</v>
      </c>
      <c r="D154">
        <f>22+48+32+42+22</f>
        <v>166</v>
      </c>
      <c r="E154" s="12"/>
      <c r="F154">
        <v>48</v>
      </c>
    </row>
    <row r="160" spans="9:21" ht="12">
      <c r="I160" s="5" t="s">
        <v>67</v>
      </c>
      <c r="L160" s="32" t="s">
        <v>99</v>
      </c>
      <c r="M160" s="32"/>
      <c r="N160" s="32" t="s">
        <v>100</v>
      </c>
      <c r="O160" s="32"/>
      <c r="P160" s="32" t="s">
        <v>101</v>
      </c>
      <c r="Q160" s="32"/>
      <c r="R160" s="32" t="s">
        <v>102</v>
      </c>
      <c r="S160" s="32"/>
      <c r="T160" s="32" t="s">
        <v>103</v>
      </c>
      <c r="U160" s="32"/>
    </row>
    <row r="161" spans="1:21" ht="12">
      <c r="A161" s="4" t="s">
        <v>83</v>
      </c>
      <c r="C161" s="3" t="s">
        <v>77</v>
      </c>
      <c r="D161" s="3" t="s">
        <v>78</v>
      </c>
      <c r="E161" s="3" t="s">
        <v>79</v>
      </c>
      <c r="F161" s="3" t="s">
        <v>80</v>
      </c>
      <c r="G161" s="3" t="s">
        <v>81</v>
      </c>
      <c r="H161" s="3" t="s">
        <v>82</v>
      </c>
      <c r="I161" s="3" t="s">
        <v>86</v>
      </c>
      <c r="J161" s="3" t="s">
        <v>64</v>
      </c>
      <c r="L161" s="3" t="s">
        <v>81</v>
      </c>
      <c r="M161" s="3" t="s">
        <v>82</v>
      </c>
      <c r="N161" s="3" t="s">
        <v>81</v>
      </c>
      <c r="O161" s="3" t="s">
        <v>82</v>
      </c>
      <c r="P161" s="3" t="s">
        <v>81</v>
      </c>
      <c r="Q161" s="3" t="s">
        <v>82</v>
      </c>
      <c r="R161" s="3" t="s">
        <v>81</v>
      </c>
      <c r="S161" s="3" t="s">
        <v>82</v>
      </c>
      <c r="T161" s="3" t="s">
        <v>81</v>
      </c>
      <c r="U161" s="3" t="s">
        <v>82</v>
      </c>
    </row>
    <row r="162" spans="1:16" ht="12">
      <c r="A162" t="s">
        <v>155</v>
      </c>
      <c r="C162">
        <v>3</v>
      </c>
      <c r="D162">
        <v>1</v>
      </c>
      <c r="E162">
        <v>2</v>
      </c>
      <c r="F162">
        <v>2</v>
      </c>
      <c r="G162">
        <v>1</v>
      </c>
      <c r="I162" s="12">
        <f aca="true" t="shared" si="18" ref="I162:I169">+H162/G162*100</f>
        <v>0</v>
      </c>
      <c r="P162">
        <v>1</v>
      </c>
    </row>
    <row r="163" spans="1:9" ht="12">
      <c r="A163" t="s">
        <v>154</v>
      </c>
      <c r="I163" s="12" t="e">
        <f t="shared" si="18"/>
        <v>#DIV/0!</v>
      </c>
    </row>
    <row r="164" ht="12">
      <c r="I164" s="12" t="e">
        <f t="shared" si="18"/>
        <v>#DIV/0!</v>
      </c>
    </row>
    <row r="165" ht="12">
      <c r="I165" s="12" t="e">
        <f t="shared" si="18"/>
        <v>#DIV/0!</v>
      </c>
    </row>
    <row r="166" ht="12">
      <c r="I166" s="12" t="e">
        <f t="shared" si="18"/>
        <v>#DIV/0!</v>
      </c>
    </row>
    <row r="167" ht="12"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2" spans="1:8" ht="12">
      <c r="A172" s="2" t="s">
        <v>85</v>
      </c>
      <c r="C172" s="3" t="s">
        <v>72</v>
      </c>
      <c r="D172" s="3" t="s">
        <v>74</v>
      </c>
      <c r="E172" s="3" t="s">
        <v>53</v>
      </c>
      <c r="F172" s="3" t="s">
        <v>64</v>
      </c>
      <c r="G172" s="3" t="s">
        <v>55</v>
      </c>
      <c r="H172" s="3" t="s">
        <v>84</v>
      </c>
    </row>
    <row r="173" spans="1:5" ht="12">
      <c r="A173" t="s">
        <v>156</v>
      </c>
      <c r="E173" s="12" t="e">
        <f>+D173/C173</f>
        <v>#DIV/0!</v>
      </c>
    </row>
    <row r="174" spans="1:5" ht="12">
      <c r="A174" t="s">
        <v>149</v>
      </c>
      <c r="E174" s="12" t="e">
        <f aca="true" t="shared" si="19" ref="E174:E180">+D174/C174</f>
        <v>#DIV/0!</v>
      </c>
    </row>
    <row r="175" spans="1:10" ht="12">
      <c r="A175" t="s">
        <v>157</v>
      </c>
      <c r="C175">
        <v>0</v>
      </c>
      <c r="D175">
        <v>21</v>
      </c>
      <c r="E175" s="12" t="e">
        <f t="shared" si="19"/>
        <v>#DIV/0!</v>
      </c>
      <c r="F175">
        <v>21</v>
      </c>
      <c r="G175">
        <v>1</v>
      </c>
      <c r="H175">
        <v>0</v>
      </c>
      <c r="J175" t="s">
        <v>249</v>
      </c>
    </row>
    <row r="176" spans="1:5" ht="12">
      <c r="A176" t="s">
        <v>158</v>
      </c>
      <c r="E176" s="12" t="e">
        <f t="shared" si="19"/>
        <v>#DIV/0!</v>
      </c>
    </row>
    <row r="177" spans="1:5" ht="12">
      <c r="A177" t="s">
        <v>159</v>
      </c>
      <c r="E177" s="12" t="e">
        <f t="shared" si="19"/>
        <v>#DIV/0!</v>
      </c>
    </row>
    <row r="178" spans="1:5" ht="12">
      <c r="A178" t="s">
        <v>160</v>
      </c>
      <c r="E178" s="12" t="e">
        <f t="shared" si="19"/>
        <v>#DIV/0!</v>
      </c>
    </row>
    <row r="179" spans="1:8" ht="12">
      <c r="A179" t="s">
        <v>161</v>
      </c>
      <c r="C179">
        <v>1</v>
      </c>
      <c r="D179">
        <v>25</v>
      </c>
      <c r="E179" s="12">
        <f t="shared" si="19"/>
        <v>25</v>
      </c>
      <c r="F179">
        <v>25</v>
      </c>
      <c r="G179">
        <v>0</v>
      </c>
      <c r="H179">
        <v>0</v>
      </c>
    </row>
    <row r="180" spans="1:8" ht="12">
      <c r="A180" t="s">
        <v>147</v>
      </c>
      <c r="C180">
        <v>1</v>
      </c>
      <c r="D180">
        <v>27</v>
      </c>
      <c r="E180" s="12">
        <f t="shared" si="19"/>
        <v>27</v>
      </c>
      <c r="F180">
        <v>27</v>
      </c>
      <c r="G180">
        <v>0</v>
      </c>
      <c r="H180">
        <v>0</v>
      </c>
    </row>
    <row r="181" spans="1:5" ht="12">
      <c r="A181" t="s">
        <v>153</v>
      </c>
      <c r="E181" s="12" t="e">
        <f>+D181/C181</f>
        <v>#DIV/0!</v>
      </c>
    </row>
    <row r="182" spans="1:5" ht="12">
      <c r="A182" t="s">
        <v>162</v>
      </c>
      <c r="E182" s="12" t="e">
        <f>+D182/C182</f>
        <v>#DIV/0!</v>
      </c>
    </row>
    <row r="183" spans="1:5" ht="12">
      <c r="A183" s="1"/>
      <c r="E183" s="12" t="e">
        <f>+D183/C183</f>
        <v>#DIV/0!</v>
      </c>
    </row>
    <row r="184" spans="1:5" ht="12">
      <c r="A184" s="1"/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/>
    </row>
    <row r="187" spans="1:4" ht="12">
      <c r="A187" s="2" t="s">
        <v>98</v>
      </c>
      <c r="C187" s="3" t="s">
        <v>72</v>
      </c>
      <c r="D187" s="3" t="s">
        <v>74</v>
      </c>
    </row>
    <row r="188" spans="1:4" ht="12">
      <c r="A188" s="20" t="s">
        <v>156</v>
      </c>
      <c r="C188" s="3"/>
      <c r="D188" s="3"/>
    </row>
    <row r="189" spans="1:4" ht="12">
      <c r="A189" s="20" t="s">
        <v>157</v>
      </c>
      <c r="C189" s="3"/>
      <c r="D189" s="3"/>
    </row>
    <row r="190" spans="1:4" ht="12">
      <c r="A190" s="20" t="s">
        <v>158</v>
      </c>
      <c r="C190" s="3"/>
      <c r="D190" s="3"/>
    </row>
    <row r="191" spans="1:4" ht="12">
      <c r="A191" s="20" t="s">
        <v>159</v>
      </c>
      <c r="C191" s="3">
        <v>1</v>
      </c>
      <c r="D191" s="3">
        <v>6</v>
      </c>
    </row>
    <row r="192" spans="1:4" ht="12">
      <c r="A192" s="20" t="s">
        <v>163</v>
      </c>
      <c r="C192" s="3"/>
      <c r="D192" s="3"/>
    </row>
    <row r="193" spans="1:4" ht="12">
      <c r="A193" s="20" t="s">
        <v>164</v>
      </c>
      <c r="C193" s="3"/>
      <c r="D193" s="3"/>
    </row>
    <row r="194" spans="1:4" ht="12">
      <c r="A194" s="20" t="s">
        <v>161</v>
      </c>
      <c r="C194" s="3"/>
      <c r="D194" s="3"/>
    </row>
    <row r="195" spans="1:4" ht="12">
      <c r="A195" s="20" t="s">
        <v>165</v>
      </c>
      <c r="C195" s="3">
        <v>1</v>
      </c>
      <c r="D195" s="3">
        <v>5</v>
      </c>
    </row>
    <row r="196" spans="1:4" ht="12">
      <c r="A196" s="20" t="s">
        <v>147</v>
      </c>
      <c r="C196" s="3"/>
      <c r="D196" s="3"/>
    </row>
    <row r="197" spans="1:4" ht="12">
      <c r="A197" s="20" t="s">
        <v>166</v>
      </c>
      <c r="C197" s="3"/>
      <c r="D197" s="3"/>
    </row>
    <row r="198" spans="1:4" ht="12">
      <c r="A198" s="20"/>
      <c r="C198" s="3"/>
      <c r="D198" s="3"/>
    </row>
    <row r="199" spans="1:4" ht="12">
      <c r="A199" s="20"/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"/>
      <c r="C202" s="3"/>
      <c r="D202" s="3"/>
    </row>
    <row r="203" spans="1:4" ht="12">
      <c r="A203" s="2"/>
      <c r="C203" s="3"/>
      <c r="D203" s="3"/>
    </row>
    <row r="204" spans="1:4" ht="12">
      <c r="A204" s="2"/>
      <c r="C204" s="3"/>
      <c r="D204" s="3"/>
    </row>
    <row r="205" spans="1:7" ht="12">
      <c r="A205" s="2" t="s">
        <v>94</v>
      </c>
      <c r="C205" s="3" t="s">
        <v>72</v>
      </c>
      <c r="D205" s="3" t="s">
        <v>74</v>
      </c>
      <c r="E205" s="3" t="s">
        <v>64</v>
      </c>
      <c r="F205" s="3" t="s">
        <v>55</v>
      </c>
      <c r="G205" s="5" t="s">
        <v>84</v>
      </c>
    </row>
    <row r="206" spans="1:3" ht="12">
      <c r="A206" t="s">
        <v>167</v>
      </c>
      <c r="C206">
        <v>1</v>
      </c>
    </row>
    <row r="207" ht="12">
      <c r="A207" t="s">
        <v>156</v>
      </c>
    </row>
    <row r="208" ht="12">
      <c r="A208" t="s">
        <v>149</v>
      </c>
    </row>
    <row r="209" ht="12">
      <c r="A209" t="s">
        <v>157</v>
      </c>
    </row>
    <row r="210" ht="12">
      <c r="A210" t="s">
        <v>133</v>
      </c>
    </row>
    <row r="211" ht="12">
      <c r="A211" t="s">
        <v>134</v>
      </c>
    </row>
    <row r="212" ht="12">
      <c r="A212" t="s">
        <v>158</v>
      </c>
    </row>
    <row r="213" ht="12">
      <c r="A213" t="s">
        <v>168</v>
      </c>
    </row>
    <row r="214" ht="12">
      <c r="A214" t="s">
        <v>135</v>
      </c>
    </row>
    <row r="215" ht="12">
      <c r="A215" t="s">
        <v>159</v>
      </c>
    </row>
    <row r="216" ht="12">
      <c r="A216" t="s">
        <v>169</v>
      </c>
    </row>
    <row r="217" ht="12">
      <c r="A217" t="s">
        <v>144</v>
      </c>
    </row>
    <row r="218" ht="12">
      <c r="A218" t="s">
        <v>148</v>
      </c>
    </row>
    <row r="219" ht="12">
      <c r="A219" t="s">
        <v>163</v>
      </c>
    </row>
    <row r="220" ht="12">
      <c r="A220" t="s">
        <v>160</v>
      </c>
    </row>
    <row r="221" ht="12">
      <c r="A221" t="s">
        <v>136</v>
      </c>
    </row>
    <row r="222" ht="12">
      <c r="A222" t="s">
        <v>170</v>
      </c>
    </row>
    <row r="223" ht="12">
      <c r="A223" t="s">
        <v>154</v>
      </c>
    </row>
    <row r="224" ht="12">
      <c r="A224" t="s">
        <v>150</v>
      </c>
    </row>
    <row r="225" ht="12">
      <c r="A225" t="s">
        <v>171</v>
      </c>
    </row>
    <row r="226" ht="12">
      <c r="A226" t="s">
        <v>164</v>
      </c>
    </row>
    <row r="227" ht="12">
      <c r="A227" t="s">
        <v>145</v>
      </c>
    </row>
    <row r="228" ht="12">
      <c r="A228" t="s">
        <v>137</v>
      </c>
    </row>
    <row r="229" ht="12">
      <c r="A229" t="s">
        <v>151</v>
      </c>
    </row>
    <row r="230" ht="12">
      <c r="A230" t="s">
        <v>152</v>
      </c>
    </row>
    <row r="231" ht="12">
      <c r="A231" t="s">
        <v>138</v>
      </c>
    </row>
    <row r="232" ht="12">
      <c r="A232" t="s">
        <v>139</v>
      </c>
    </row>
    <row r="233" ht="12">
      <c r="A233" t="s">
        <v>161</v>
      </c>
    </row>
    <row r="234" ht="12">
      <c r="A234" t="s">
        <v>172</v>
      </c>
    </row>
    <row r="235" ht="12">
      <c r="A235" t="s">
        <v>140</v>
      </c>
    </row>
    <row r="236" ht="12">
      <c r="A236" t="s">
        <v>165</v>
      </c>
    </row>
    <row r="237" ht="12">
      <c r="A237" t="s">
        <v>155</v>
      </c>
    </row>
    <row r="238" ht="12">
      <c r="A238" t="s">
        <v>147</v>
      </c>
    </row>
    <row r="239" ht="12">
      <c r="A239" t="s">
        <v>173</v>
      </c>
    </row>
    <row r="240" ht="12">
      <c r="A240" t="s">
        <v>141</v>
      </c>
    </row>
    <row r="241" ht="12">
      <c r="A241" t="s">
        <v>174</v>
      </c>
    </row>
    <row r="242" ht="12">
      <c r="A242" t="s">
        <v>166</v>
      </c>
    </row>
    <row r="243" ht="12">
      <c r="A243" t="s">
        <v>175</v>
      </c>
    </row>
    <row r="244" ht="12">
      <c r="A244" t="s">
        <v>176</v>
      </c>
    </row>
    <row r="245" ht="12">
      <c r="A245" t="s">
        <v>142</v>
      </c>
    </row>
    <row r="246" ht="12">
      <c r="A246" t="s">
        <v>177</v>
      </c>
    </row>
    <row r="247" ht="12">
      <c r="A247" t="s">
        <v>143</v>
      </c>
    </row>
    <row r="248" ht="12">
      <c r="A248" t="s">
        <v>178</v>
      </c>
    </row>
    <row r="249" spans="1:3" ht="12">
      <c r="A249" t="s">
        <v>179</v>
      </c>
      <c r="C249">
        <v>1</v>
      </c>
    </row>
    <row r="250" ht="12">
      <c r="A250" t="s">
        <v>146</v>
      </c>
    </row>
    <row r="251" ht="12">
      <c r="A251" t="s">
        <v>153</v>
      </c>
    </row>
    <row r="252" ht="12">
      <c r="A252" t="s">
        <v>162</v>
      </c>
    </row>
    <row r="253" ht="12">
      <c r="A253" t="s">
        <v>180</v>
      </c>
    </row>
  </sheetData>
  <sheetProtection/>
  <mergeCells count="5">
    <mergeCell ref="L160:M160"/>
    <mergeCell ref="N160:O160"/>
    <mergeCell ref="P160:Q160"/>
    <mergeCell ref="R160:S160"/>
    <mergeCell ref="T160:U160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3"/>
  <sheetViews>
    <sheetView zoomScale="125" zoomScaleNormal="125" workbookViewId="0" topLeftCell="A1">
      <selection activeCell="M79" sqref="M79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  <col min="14" max="14" width="6.421875" style="0" customWidth="1"/>
  </cols>
  <sheetData>
    <row r="1" ht="12">
      <c r="A1" s="2" t="str">
        <f>+'Cumulative Stats'!A1</f>
        <v>1967 Chicago Bears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17</v>
      </c>
      <c r="H6" s="1" t="s">
        <v>29</v>
      </c>
      <c r="M6" s="2">
        <v>22</v>
      </c>
    </row>
    <row r="7" spans="1:13" ht="12">
      <c r="A7" s="16" t="s">
        <v>95</v>
      </c>
      <c r="D7" s="2">
        <v>6</v>
      </c>
      <c r="H7" s="16" t="s">
        <v>95</v>
      </c>
      <c r="M7" s="2">
        <v>9</v>
      </c>
    </row>
    <row r="8" spans="1:13" ht="12">
      <c r="A8" s="16" t="s">
        <v>96</v>
      </c>
      <c r="D8" s="2">
        <v>9</v>
      </c>
      <c r="H8" s="16" t="s">
        <v>96</v>
      </c>
      <c r="M8" s="2">
        <v>12</v>
      </c>
    </row>
    <row r="9" spans="1:13" ht="12">
      <c r="A9" s="16" t="s">
        <v>97</v>
      </c>
      <c r="D9" s="2">
        <v>2</v>
      </c>
      <c r="H9" s="16" t="s">
        <v>97</v>
      </c>
      <c r="M9" s="2">
        <v>1</v>
      </c>
    </row>
    <row r="10" spans="1:14" ht="12">
      <c r="A10" s="18" t="s">
        <v>108</v>
      </c>
      <c r="C10">
        <v>5</v>
      </c>
      <c r="D10" s="2">
        <v>10</v>
      </c>
      <c r="E10" s="19">
        <f>+C10/D10</f>
        <v>0.5</v>
      </c>
      <c r="H10" s="18" t="s">
        <v>108</v>
      </c>
      <c r="L10">
        <v>4</v>
      </c>
      <c r="M10" s="2">
        <v>10</v>
      </c>
      <c r="N10" s="19">
        <f>+L10/M10</f>
        <v>0.4</v>
      </c>
    </row>
    <row r="11" spans="1:14" ht="12">
      <c r="A11" s="18" t="s">
        <v>119</v>
      </c>
      <c r="C11">
        <v>0</v>
      </c>
      <c r="D11" s="2">
        <v>0</v>
      </c>
      <c r="E11" s="19"/>
      <c r="H11" s="18" t="s">
        <v>119</v>
      </c>
      <c r="L11">
        <v>0</v>
      </c>
      <c r="M11" s="2">
        <v>0</v>
      </c>
      <c r="N11" s="19"/>
    </row>
    <row r="13" spans="1:23" ht="12">
      <c r="A13" t="s">
        <v>1</v>
      </c>
      <c r="D13" s="2">
        <f>16+5+7+1+1+3+2</f>
        <v>35</v>
      </c>
      <c r="H13" t="s">
        <v>1</v>
      </c>
      <c r="M13" s="2">
        <f>15+6+6+6+1+3</f>
        <v>37</v>
      </c>
      <c r="V13">
        <f>+D13</f>
        <v>35</v>
      </c>
      <c r="W13">
        <f>+M13</f>
        <v>37</v>
      </c>
    </row>
    <row r="14" spans="1:23" ht="12">
      <c r="A14" t="s">
        <v>2</v>
      </c>
      <c r="D14" s="2">
        <f>87+20+12+0+2+18-5</f>
        <v>134</v>
      </c>
      <c r="H14" t="s">
        <v>2</v>
      </c>
      <c r="M14" s="2">
        <f>54+15+31+30+2+0</f>
        <v>132</v>
      </c>
      <c r="P14" s="13"/>
      <c r="U14" s="13"/>
      <c r="V14">
        <f>+D18</f>
        <v>12</v>
      </c>
      <c r="W14">
        <f>+M18</f>
        <v>15</v>
      </c>
    </row>
    <row r="15" spans="1:23" ht="12">
      <c r="A15" s="1" t="s">
        <v>3</v>
      </c>
      <c r="D15" s="8">
        <f>+D14/D13</f>
        <v>3.8285714285714287</v>
      </c>
      <c r="H15" s="1" t="s">
        <v>3</v>
      </c>
      <c r="M15" s="8">
        <f>+M14/M13</f>
        <v>3.5675675675675675</v>
      </c>
      <c r="V15">
        <f>+(D17-D18)/2</f>
        <v>8</v>
      </c>
      <c r="W15">
        <f>+(M17-M18)/2</f>
        <v>6.5</v>
      </c>
    </row>
    <row r="16" spans="22:23" ht="12">
      <c r="V16">
        <f>+D40/2</f>
        <v>1.5</v>
      </c>
      <c r="W16">
        <f>+M40/2</f>
        <v>2.5</v>
      </c>
    </row>
    <row r="17" spans="1:23" ht="12">
      <c r="A17" t="s">
        <v>4</v>
      </c>
      <c r="D17" s="2">
        <v>28</v>
      </c>
      <c r="H17" t="s">
        <v>4</v>
      </c>
      <c r="M17" s="2">
        <v>28</v>
      </c>
      <c r="V17">
        <f>+D44/2</f>
        <v>1</v>
      </c>
      <c r="W17">
        <f>+M44/2</f>
        <v>0</v>
      </c>
    </row>
    <row r="18" spans="1:23" ht="12">
      <c r="A18" t="s">
        <v>5</v>
      </c>
      <c r="D18" s="2">
        <v>12</v>
      </c>
      <c r="H18" t="s">
        <v>5</v>
      </c>
      <c r="M18" s="2">
        <v>15</v>
      </c>
      <c r="V18">
        <f>+D50/2</f>
        <v>1</v>
      </c>
      <c r="W18">
        <f>+M50/2</f>
        <v>1.5</v>
      </c>
    </row>
    <row r="19" spans="1:13" ht="12">
      <c r="A19" t="s">
        <v>6</v>
      </c>
      <c r="D19" s="8">
        <f>+D18/D17*100</f>
        <v>42.857142857142854</v>
      </c>
      <c r="H19" t="s">
        <v>6</v>
      </c>
      <c r="M19" s="8">
        <f>+M18/M17*100</f>
        <v>53.57142857142857</v>
      </c>
    </row>
    <row r="20" spans="1:24" ht="12">
      <c r="A20" t="s">
        <v>7</v>
      </c>
      <c r="D20" s="2">
        <v>155</v>
      </c>
      <c r="H20" t="s">
        <v>7</v>
      </c>
      <c r="M20" s="2">
        <v>263</v>
      </c>
      <c r="V20">
        <f>SUM(V13:V18)</f>
        <v>58.5</v>
      </c>
      <c r="W20">
        <f>SUM(W13:W18)</f>
        <v>62.5</v>
      </c>
      <c r="X20">
        <f>+W20+V20</f>
        <v>121</v>
      </c>
    </row>
    <row r="21" spans="1:23" ht="12">
      <c r="A21" t="s">
        <v>8</v>
      </c>
      <c r="D21" s="2">
        <v>0</v>
      </c>
      <c r="H21" t="s">
        <v>8</v>
      </c>
      <c r="M21" s="2">
        <v>2</v>
      </c>
      <c r="V21">
        <f>+V20/X20</f>
        <v>0.4834710743801653</v>
      </c>
      <c r="W21">
        <f>+W20/X20</f>
        <v>0.5165289256198347</v>
      </c>
    </row>
    <row r="22" spans="1:23" ht="12">
      <c r="A22" t="s">
        <v>9</v>
      </c>
      <c r="D22" s="2">
        <v>0</v>
      </c>
      <c r="H22" t="s">
        <v>9</v>
      </c>
      <c r="M22" s="2">
        <v>11</v>
      </c>
      <c r="V22">
        <f>+V21*60</f>
        <v>29.00826446280992</v>
      </c>
      <c r="W22">
        <f>+W21*60</f>
        <v>30.99173553719008</v>
      </c>
    </row>
    <row r="23" spans="1:23" ht="12">
      <c r="A23" t="s">
        <v>10</v>
      </c>
      <c r="D23">
        <f>+D20-D22</f>
        <v>155</v>
      </c>
      <c r="H23" t="s">
        <v>10</v>
      </c>
      <c r="M23">
        <f>+M20-M22</f>
        <v>252</v>
      </c>
      <c r="V23">
        <f>+V22-INT(V22)</f>
        <v>0.008264462809918882</v>
      </c>
      <c r="W23">
        <f>+W22-INT(W22)</f>
        <v>0.9917355371900811</v>
      </c>
    </row>
    <row r="24" spans="1:23" ht="12">
      <c r="A24" t="s">
        <v>11</v>
      </c>
      <c r="D24" s="7">
        <f>+D23/(D17+D21)</f>
        <v>5.535714285714286</v>
      </c>
      <c r="H24" t="s">
        <v>11</v>
      </c>
      <c r="M24" s="7">
        <f>+M23/(M17+M21)</f>
        <v>8.4</v>
      </c>
      <c r="V24">
        <f>+V23*60</f>
        <v>0.49586776859513293</v>
      </c>
      <c r="W24">
        <f>+W23*60</f>
        <v>59.50413223140487</v>
      </c>
    </row>
    <row r="25" spans="1:23" ht="12">
      <c r="A25" t="s">
        <v>12</v>
      </c>
      <c r="D25" s="7">
        <f>+D20/D18</f>
        <v>12.916666666666666</v>
      </c>
      <c r="H25" t="s">
        <v>12</v>
      </c>
      <c r="M25" s="7">
        <f>+M20/M18</f>
        <v>17.533333333333335</v>
      </c>
      <c r="Q25" s="11"/>
      <c r="U25">
        <v>0</v>
      </c>
      <c r="V25" s="11">
        <f>IF(ROUND(V24,0)=60,0,ROUND(V24,0))</f>
        <v>0</v>
      </c>
      <c r="W25" s="11">
        <f>IF(ROUND(W24,0)=60,0,ROUND(W24,0))</f>
        <v>0</v>
      </c>
    </row>
    <row r="26" spans="22:23" ht="12">
      <c r="V26">
        <f>IF(INT(V24+0.5)=60,INT(V22+1),INT(V22))</f>
        <v>29</v>
      </c>
      <c r="W26">
        <f>IF(INT(W24+0.5)=60,INT(W22+1),INT(W22))</f>
        <v>31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289</v>
      </c>
      <c r="H28" t="s">
        <v>14</v>
      </c>
      <c r="M28">
        <f>+M23+M14</f>
        <v>384</v>
      </c>
      <c r="Q28" s="14"/>
      <c r="R28" s="9"/>
      <c r="V28" s="14" t="str">
        <f>+V26&amp;V27&amp;V25</f>
        <v>29:0</v>
      </c>
      <c r="W28" s="9" t="str">
        <f>+W26&amp;W27&amp;W25</f>
        <v>31:0</v>
      </c>
    </row>
    <row r="29" spans="1:23" ht="12">
      <c r="A29" t="s">
        <v>15</v>
      </c>
      <c r="D29" s="7">
        <f>+D14/D28*100</f>
        <v>46.36678200692042</v>
      </c>
      <c r="H29" t="s">
        <v>15</v>
      </c>
      <c r="M29" s="7">
        <f>+M14/M28*100</f>
        <v>34.375</v>
      </c>
      <c r="Q29" s="9"/>
      <c r="R29" s="9"/>
      <c r="V29" s="9" t="str">
        <f>IF(V25&lt;10,+V26&amp;V27&amp;$U$25&amp;V25,+V26&amp;V27&amp;V25)</f>
        <v>29:00</v>
      </c>
      <c r="W29" s="9" t="str">
        <f>IF(W25&lt;10,+W26&amp;W27&amp;$U$25&amp;W25,+W26&amp;W27&amp;W25)</f>
        <v>31:00</v>
      </c>
    </row>
    <row r="30" spans="1:16" ht="12">
      <c r="A30" s="1" t="s">
        <v>90</v>
      </c>
      <c r="D30" s="7">
        <f>+D23/D28*100</f>
        <v>53.63321799307958</v>
      </c>
      <c r="H30" s="1" t="s">
        <v>90</v>
      </c>
      <c r="M30" s="7">
        <f>+M23/M28*100</f>
        <v>65.625</v>
      </c>
      <c r="P30" s="13"/>
    </row>
    <row r="32" spans="1:13" ht="12">
      <c r="A32" t="s">
        <v>16</v>
      </c>
      <c r="D32">
        <f>+D13+D17+D21</f>
        <v>63</v>
      </c>
      <c r="H32" t="s">
        <v>16</v>
      </c>
      <c r="M32">
        <f>+M13+M17+M21</f>
        <v>67</v>
      </c>
    </row>
    <row r="33" spans="1:14" ht="12">
      <c r="A33" t="s">
        <v>17</v>
      </c>
      <c r="C33" s="7"/>
      <c r="D33" s="8">
        <f>+D28/D32</f>
        <v>4.587301587301587</v>
      </c>
      <c r="F33" s="7"/>
      <c r="G33" s="7"/>
      <c r="H33" s="7" t="s">
        <v>17</v>
      </c>
      <c r="I33" s="7"/>
      <c r="J33" s="7"/>
      <c r="K33" s="7"/>
      <c r="M33" s="8">
        <f>+M28/M32</f>
        <v>5.731343283582089</v>
      </c>
      <c r="N33" s="7"/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5</v>
      </c>
      <c r="H36" t="s">
        <v>19</v>
      </c>
      <c r="M36" s="2">
        <v>1</v>
      </c>
    </row>
    <row r="37" spans="1:13" ht="12">
      <c r="A37" t="s">
        <v>20</v>
      </c>
      <c r="D37" s="2">
        <f>9+5+0+0+21</f>
        <v>35</v>
      </c>
      <c r="H37" t="s">
        <v>20</v>
      </c>
      <c r="M37" s="2">
        <v>0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3</v>
      </c>
      <c r="H40" t="s">
        <v>22</v>
      </c>
      <c r="M40" s="2">
        <v>5</v>
      </c>
    </row>
    <row r="41" spans="1:13" ht="12">
      <c r="A41" t="s">
        <v>23</v>
      </c>
      <c r="D41" s="2">
        <f>42+40+78</f>
        <v>160</v>
      </c>
      <c r="H41" t="s">
        <v>23</v>
      </c>
      <c r="M41" s="2">
        <f>45+30+41+52+51</f>
        <v>219</v>
      </c>
    </row>
    <row r="42" spans="1:14" ht="12">
      <c r="A42" t="s">
        <v>24</v>
      </c>
      <c r="C42" s="7"/>
      <c r="D42" s="8">
        <f>+D41/D40</f>
        <v>53.333333333333336</v>
      </c>
      <c r="F42" s="7"/>
      <c r="G42" s="7"/>
      <c r="H42" s="7" t="s">
        <v>24</v>
      </c>
      <c r="I42" s="7"/>
      <c r="J42" s="7"/>
      <c r="K42" s="7"/>
      <c r="M42" s="8">
        <f>+M41/M40</f>
        <v>43.8</v>
      </c>
      <c r="N42" s="7"/>
    </row>
    <row r="44" spans="1:13" ht="12">
      <c r="A44" t="s">
        <v>25</v>
      </c>
      <c r="D44" s="2">
        <v>2</v>
      </c>
      <c r="H44" t="s">
        <v>25</v>
      </c>
      <c r="M44" s="2">
        <v>0</v>
      </c>
    </row>
    <row r="45" spans="1:13" ht="12">
      <c r="A45" t="s">
        <v>26</v>
      </c>
      <c r="D45" s="2">
        <v>7</v>
      </c>
      <c r="H45" t="s">
        <v>26</v>
      </c>
      <c r="M45" s="2">
        <v>0</v>
      </c>
    </row>
    <row r="46" spans="1:13" ht="12">
      <c r="A46" t="s">
        <v>27</v>
      </c>
      <c r="D46" s="8">
        <f>+D45/D44</f>
        <v>3.5</v>
      </c>
      <c r="H46" t="s">
        <v>27</v>
      </c>
      <c r="M46" s="8" t="e">
        <f>+M45/M44</f>
        <v>#DIV/0!</v>
      </c>
    </row>
    <row r="47" spans="1:13" ht="12">
      <c r="A47" s="18" t="s">
        <v>131</v>
      </c>
      <c r="D47" s="2">
        <v>1</v>
      </c>
      <c r="H47" s="18" t="s">
        <v>131</v>
      </c>
      <c r="M47" s="2">
        <v>2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2</v>
      </c>
      <c r="H50" t="s">
        <v>30</v>
      </c>
      <c r="M50" s="2">
        <v>3</v>
      </c>
    </row>
    <row r="51" spans="1:13" ht="12">
      <c r="A51" t="s">
        <v>26</v>
      </c>
      <c r="D51" s="2">
        <v>50</v>
      </c>
      <c r="H51" t="s">
        <v>26</v>
      </c>
      <c r="M51" s="2">
        <v>29</v>
      </c>
    </row>
    <row r="52" spans="1:13" ht="12">
      <c r="A52" t="s">
        <v>27</v>
      </c>
      <c r="D52" s="8">
        <f>+D51/D50</f>
        <v>25</v>
      </c>
      <c r="H52" t="s">
        <v>27</v>
      </c>
      <c r="M52" s="8">
        <f>+M51/M50</f>
        <v>9.666666666666666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3</v>
      </c>
      <c r="G55" t="str">
        <f>IF(D55-D56=M50,"ok","err")</f>
        <v>ok</v>
      </c>
      <c r="H55" t="s">
        <v>127</v>
      </c>
      <c r="K55" s="2"/>
      <c r="M55" s="2">
        <v>6</v>
      </c>
      <c r="P55" s="2"/>
    </row>
    <row r="56" spans="1:16" ht="12">
      <c r="A56" t="s">
        <v>128</v>
      </c>
      <c r="D56" s="2">
        <v>0</v>
      </c>
      <c r="H56" t="s">
        <v>128</v>
      </c>
      <c r="K56" s="2"/>
      <c r="M56" s="2">
        <v>4</v>
      </c>
      <c r="P56" s="2"/>
    </row>
    <row r="57" spans="1:13" ht="12">
      <c r="A57" t="s">
        <v>129</v>
      </c>
      <c r="D57">
        <f>+D56/D55</f>
        <v>0</v>
      </c>
      <c r="H57" t="s">
        <v>129</v>
      </c>
      <c r="M57">
        <f>+M56/M55</f>
        <v>0.6666666666666666</v>
      </c>
    </row>
    <row r="59" spans="1:13" ht="12">
      <c r="A59" t="s">
        <v>31</v>
      </c>
      <c r="D59" s="2">
        <v>5</v>
      </c>
      <c r="H59" t="s">
        <v>31</v>
      </c>
      <c r="M59" s="2">
        <v>3</v>
      </c>
    </row>
    <row r="60" spans="1:13" ht="12">
      <c r="A60" t="s">
        <v>32</v>
      </c>
      <c r="D60" s="2">
        <v>53</v>
      </c>
      <c r="H60" t="s">
        <v>32</v>
      </c>
      <c r="M60" s="2">
        <v>35</v>
      </c>
    </row>
    <row r="62" spans="1:13" ht="12">
      <c r="A62" t="s">
        <v>33</v>
      </c>
      <c r="D62" s="2">
        <v>1</v>
      </c>
      <c r="H62" t="s">
        <v>33</v>
      </c>
      <c r="M62" s="2">
        <v>2</v>
      </c>
    </row>
    <row r="63" spans="1:13" ht="12">
      <c r="A63" t="s">
        <v>34</v>
      </c>
      <c r="D63" s="2">
        <v>0</v>
      </c>
      <c r="H63" t="s">
        <v>34</v>
      </c>
      <c r="M63" s="2">
        <v>0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2</v>
      </c>
      <c r="H65" t="s">
        <v>36</v>
      </c>
      <c r="M65" s="2">
        <v>1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13</v>
      </c>
      <c r="E68" t="str">
        <f>IF(B68=B69*6+B75*2+B76*3+B73,"ok","ERR")</f>
        <v>ok</v>
      </c>
      <c r="H68" t="s">
        <v>38</v>
      </c>
      <c r="M68" s="2">
        <v>31</v>
      </c>
      <c r="P68" t="str">
        <f>IF(M68=M69*6+M75*2+M76*3+M73,"ok","ERR")</f>
        <v>ok</v>
      </c>
    </row>
    <row r="69" spans="1:13" ht="12">
      <c r="A69" t="s">
        <v>39</v>
      </c>
      <c r="D69" s="2">
        <v>2</v>
      </c>
      <c r="H69" t="s">
        <v>39</v>
      </c>
      <c r="M69" s="2">
        <v>4</v>
      </c>
    </row>
    <row r="70" spans="1:13" ht="12">
      <c r="A70" t="s">
        <v>40</v>
      </c>
      <c r="D70" s="2">
        <v>2</v>
      </c>
      <c r="H70" t="s">
        <v>40</v>
      </c>
      <c r="M70" s="2">
        <v>3</v>
      </c>
    </row>
    <row r="71" spans="1:13" ht="12">
      <c r="A71" t="s">
        <v>41</v>
      </c>
      <c r="D71" s="2">
        <v>0</v>
      </c>
      <c r="H71" t="s">
        <v>41</v>
      </c>
      <c r="M71" s="2">
        <v>1</v>
      </c>
    </row>
    <row r="72" spans="1:13" ht="12">
      <c r="A72" t="s">
        <v>42</v>
      </c>
      <c r="D72" s="2">
        <v>0</v>
      </c>
      <c r="H72" t="s">
        <v>42</v>
      </c>
      <c r="M72" s="2">
        <v>0</v>
      </c>
    </row>
    <row r="73" spans="1:13" ht="12">
      <c r="A73" t="s">
        <v>43</v>
      </c>
      <c r="D73" s="2">
        <v>1</v>
      </c>
      <c r="H73" t="s">
        <v>43</v>
      </c>
      <c r="M73" s="2">
        <v>4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0</v>
      </c>
      <c r="H76" t="s">
        <v>45</v>
      </c>
      <c r="M76" s="2">
        <v>1</v>
      </c>
    </row>
    <row r="77" spans="1:13" ht="12">
      <c r="A77" t="s">
        <v>46</v>
      </c>
      <c r="D77" s="2">
        <v>2</v>
      </c>
      <c r="H77" t="s">
        <v>46</v>
      </c>
      <c r="M77" s="2">
        <v>1</v>
      </c>
    </row>
    <row r="78" spans="1:13" ht="12">
      <c r="A78" t="s">
        <v>47</v>
      </c>
      <c r="D78" s="8">
        <f>+D76/D77*100</f>
        <v>0</v>
      </c>
      <c r="E78" s="7"/>
      <c r="F78" s="7"/>
      <c r="G78" s="7"/>
      <c r="H78" s="7" t="s">
        <v>47</v>
      </c>
      <c r="I78" s="7"/>
      <c r="J78" s="7"/>
      <c r="K78" s="7"/>
      <c r="L78" s="7"/>
      <c r="M78" s="8">
        <f>+M76/M77*100</f>
        <v>100</v>
      </c>
    </row>
    <row r="79" spans="1:13" ht="12">
      <c r="A79" t="s">
        <v>93</v>
      </c>
      <c r="D79" s="10" t="str">
        <f>IF(V25&lt;10,V29,V28)</f>
        <v>29:00</v>
      </c>
      <c r="E79" s="8"/>
      <c r="F79" s="8"/>
      <c r="H79" t="s">
        <v>93</v>
      </c>
      <c r="M79" s="10" t="str">
        <f>IF(W25&lt;10,W29,W28)</f>
        <v>31:00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8" ht="12">
      <c r="A83" t="s">
        <v>133</v>
      </c>
      <c r="C83">
        <v>2</v>
      </c>
      <c r="D83">
        <v>-5</v>
      </c>
      <c r="E83" s="12">
        <f>+D83/C83</f>
        <v>-2.5</v>
      </c>
      <c r="F83">
        <v>4</v>
      </c>
      <c r="G83">
        <v>0</v>
      </c>
      <c r="H83">
        <v>0</v>
      </c>
    </row>
    <row r="84" spans="1:8" ht="12">
      <c r="A84" t="s">
        <v>134</v>
      </c>
      <c r="C84">
        <v>7</v>
      </c>
      <c r="D84">
        <v>12</v>
      </c>
      <c r="E84" s="12">
        <f>+D84/C84</f>
        <v>1.7142857142857142</v>
      </c>
      <c r="F84">
        <v>4</v>
      </c>
      <c r="G84">
        <v>0</v>
      </c>
      <c r="H84">
        <v>0</v>
      </c>
    </row>
    <row r="85" spans="1:8" ht="12">
      <c r="A85" t="s">
        <v>135</v>
      </c>
      <c r="C85">
        <v>3</v>
      </c>
      <c r="D85">
        <v>18</v>
      </c>
      <c r="E85" s="12">
        <f>+D85/C85</f>
        <v>6</v>
      </c>
      <c r="F85">
        <v>15</v>
      </c>
      <c r="G85">
        <v>0</v>
      </c>
      <c r="H85">
        <v>0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5" ht="12">
      <c r="A87" t="s">
        <v>137</v>
      </c>
      <c r="E87" s="12" t="e">
        <f t="shared" si="0"/>
        <v>#DIV/0!</v>
      </c>
    </row>
    <row r="88" spans="1:8" ht="12">
      <c r="A88" t="s">
        <v>138</v>
      </c>
      <c r="C88">
        <v>1</v>
      </c>
      <c r="D88">
        <v>0</v>
      </c>
      <c r="E88" s="12">
        <f t="shared" si="0"/>
        <v>0</v>
      </c>
      <c r="F88">
        <v>0</v>
      </c>
      <c r="G88">
        <v>0</v>
      </c>
      <c r="H88">
        <v>0</v>
      </c>
    </row>
    <row r="89" spans="1:5" ht="12">
      <c r="A89" t="s">
        <v>139</v>
      </c>
      <c r="E89" s="12" t="e">
        <f t="shared" si="0"/>
        <v>#DIV/0!</v>
      </c>
    </row>
    <row r="90" spans="1:8" ht="12">
      <c r="A90" t="s">
        <v>140</v>
      </c>
      <c r="C90">
        <v>1</v>
      </c>
      <c r="D90">
        <v>2</v>
      </c>
      <c r="E90" s="12">
        <f t="shared" si="0"/>
        <v>2</v>
      </c>
      <c r="F90">
        <v>2</v>
      </c>
      <c r="G90">
        <v>0</v>
      </c>
      <c r="H90">
        <v>0</v>
      </c>
    </row>
    <row r="91" spans="1:8" ht="12">
      <c r="A91" t="s">
        <v>141</v>
      </c>
      <c r="C91">
        <v>5</v>
      </c>
      <c r="D91">
        <v>20</v>
      </c>
      <c r="E91" s="12">
        <f t="shared" si="0"/>
        <v>4</v>
      </c>
      <c r="F91">
        <v>8</v>
      </c>
      <c r="G91">
        <v>0</v>
      </c>
      <c r="H91">
        <v>0</v>
      </c>
    </row>
    <row r="92" spans="1:5" ht="12">
      <c r="A92" t="s">
        <v>142</v>
      </c>
      <c r="E92" s="12" t="e">
        <f t="shared" si="0"/>
        <v>#DIV/0!</v>
      </c>
    </row>
    <row r="93" spans="1:8" ht="12">
      <c r="A93" t="s">
        <v>143</v>
      </c>
      <c r="C93">
        <v>16</v>
      </c>
      <c r="D93">
        <v>87</v>
      </c>
      <c r="E93" s="12">
        <f>+D93/C93</f>
        <v>5.4375</v>
      </c>
      <c r="F93">
        <v>45</v>
      </c>
      <c r="G93">
        <v>2</v>
      </c>
      <c r="H93">
        <v>1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8" ht="12">
      <c r="A101" t="s">
        <v>134</v>
      </c>
      <c r="C101">
        <v>4</v>
      </c>
      <c r="D101">
        <v>54</v>
      </c>
      <c r="E101" s="12">
        <f aca="true" t="shared" si="1" ref="E101:E112">+D101/C101</f>
        <v>13.5</v>
      </c>
      <c r="F101">
        <v>24</v>
      </c>
      <c r="G101">
        <v>0</v>
      </c>
      <c r="H101">
        <v>0</v>
      </c>
    </row>
    <row r="102" spans="1:5" ht="12">
      <c r="A102" t="s">
        <v>144</v>
      </c>
      <c r="E102" s="12" t="e">
        <f t="shared" si="1"/>
        <v>#DIV/0!</v>
      </c>
    </row>
    <row r="103" spans="1:8" ht="12">
      <c r="A103" t="s">
        <v>136</v>
      </c>
      <c r="C103">
        <v>3</v>
      </c>
      <c r="D103">
        <v>32</v>
      </c>
      <c r="E103" s="12">
        <f t="shared" si="1"/>
        <v>10.666666666666666</v>
      </c>
      <c r="F103">
        <v>13</v>
      </c>
      <c r="G103">
        <v>0</v>
      </c>
      <c r="H103">
        <v>0</v>
      </c>
    </row>
    <row r="104" spans="1:5" ht="12">
      <c r="A104" t="s">
        <v>145</v>
      </c>
      <c r="E104" s="12" t="e">
        <f t="shared" si="1"/>
        <v>#DIV/0!</v>
      </c>
    </row>
    <row r="105" spans="1:8" ht="12">
      <c r="A105" t="s">
        <v>137</v>
      </c>
      <c r="C105">
        <v>1</v>
      </c>
      <c r="D105">
        <v>29</v>
      </c>
      <c r="E105" s="12">
        <f t="shared" si="1"/>
        <v>29</v>
      </c>
      <c r="F105">
        <v>29</v>
      </c>
      <c r="G105">
        <v>0</v>
      </c>
      <c r="H105">
        <v>0</v>
      </c>
    </row>
    <row r="106" spans="1:5" ht="12">
      <c r="A106" t="s">
        <v>138</v>
      </c>
      <c r="E106" s="12" t="e">
        <f t="shared" si="1"/>
        <v>#DIV/0!</v>
      </c>
    </row>
    <row r="107" spans="1:5" ht="12">
      <c r="A107" t="s">
        <v>139</v>
      </c>
      <c r="E107" s="12" t="e">
        <f t="shared" si="1"/>
        <v>#DIV/0!</v>
      </c>
    </row>
    <row r="108" spans="1:8" ht="12">
      <c r="A108" t="s">
        <v>140</v>
      </c>
      <c r="C108">
        <v>1</v>
      </c>
      <c r="D108">
        <v>10</v>
      </c>
      <c r="E108" s="12">
        <f t="shared" si="1"/>
        <v>10</v>
      </c>
      <c r="F108">
        <v>10</v>
      </c>
      <c r="G108">
        <v>0</v>
      </c>
      <c r="H108">
        <v>0</v>
      </c>
    </row>
    <row r="109" spans="1:5" ht="12">
      <c r="A109" t="s">
        <v>141</v>
      </c>
      <c r="E109" s="12" t="e">
        <f t="shared" si="1"/>
        <v>#DIV/0!</v>
      </c>
    </row>
    <row r="110" spans="1:8" ht="12">
      <c r="A110" t="s">
        <v>143</v>
      </c>
      <c r="C110">
        <v>2</v>
      </c>
      <c r="D110">
        <v>20</v>
      </c>
      <c r="E110" s="12">
        <f t="shared" si="1"/>
        <v>10</v>
      </c>
      <c r="F110">
        <v>13</v>
      </c>
      <c r="G110">
        <v>0</v>
      </c>
      <c r="H110">
        <v>0</v>
      </c>
    </row>
    <row r="111" spans="1:8" ht="12">
      <c r="A111" t="s">
        <v>146</v>
      </c>
      <c r="C111">
        <v>1</v>
      </c>
      <c r="D111">
        <v>10</v>
      </c>
      <c r="E111" s="12">
        <f t="shared" si="1"/>
        <v>10</v>
      </c>
      <c r="F111">
        <v>10</v>
      </c>
      <c r="G111">
        <v>0</v>
      </c>
      <c r="H111">
        <v>0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133</v>
      </c>
      <c r="C121">
        <v>20</v>
      </c>
      <c r="D121">
        <v>7</v>
      </c>
      <c r="E121" s="12">
        <f aca="true" t="shared" si="2" ref="E121:E126">+D121/C121*100</f>
        <v>35</v>
      </c>
      <c r="F121">
        <v>93</v>
      </c>
      <c r="G121">
        <v>0</v>
      </c>
      <c r="H121">
        <v>29</v>
      </c>
      <c r="I121">
        <v>4</v>
      </c>
      <c r="J121" s="8">
        <f aca="true" t="shared" si="3" ref="J121:J126">+G121/C121*100</f>
        <v>0</v>
      </c>
      <c r="K121" s="12">
        <f aca="true" t="shared" si="4" ref="K121:K126">+I121/C121*100</f>
        <v>20</v>
      </c>
      <c r="L121" s="12">
        <f aca="true" t="shared" si="5" ref="L121:L126">+F121/C121</f>
        <v>4.65</v>
      </c>
      <c r="M121" s="12">
        <f aca="true" t="shared" si="6" ref="M121:M126">100*(S121+U121+W121+Y121)/6</f>
        <v>11.04166666666667</v>
      </c>
      <c r="N121">
        <v>0</v>
      </c>
      <c r="O121">
        <v>0</v>
      </c>
      <c r="R121">
        <f aca="true" t="shared" si="7" ref="R121:R126">+(E121-30)/20</f>
        <v>0.25</v>
      </c>
      <c r="S121" s="2">
        <f aca="true" t="shared" si="8" ref="S121:S126">IF(R121&lt;0,0,IF(R121&gt;2.375,2.375,R121))</f>
        <v>0.25</v>
      </c>
      <c r="T121" s="6">
        <f aca="true" t="shared" si="9" ref="T121:T126">+(L121-3)/4</f>
        <v>0.4125000000000001</v>
      </c>
      <c r="U121" s="2">
        <f aca="true" t="shared" si="10" ref="U121:U126">IF(T121&lt;0,0,IF(T121&gt;2.375,2.375,T121))</f>
        <v>0.4125000000000001</v>
      </c>
      <c r="V121">
        <f aca="true" t="shared" si="11" ref="V121:V126">+J121/5</f>
        <v>0</v>
      </c>
      <c r="W121" s="2">
        <f aca="true" t="shared" si="12" ref="W121:W126">IF(V121&lt;0,0,IF(V121&gt;2.375,2.375,V121))</f>
        <v>0</v>
      </c>
      <c r="X121">
        <f aca="true" t="shared" si="13" ref="X121:X126">(9.5-K121)/4</f>
        <v>-2.625</v>
      </c>
      <c r="Y121" s="2">
        <f aca="true" t="shared" si="14" ref="Y121:Y126">IF(X121&lt;0,0,X121)</f>
        <v>0</v>
      </c>
    </row>
    <row r="122" spans="1:25" ht="12">
      <c r="A122" t="s">
        <v>135</v>
      </c>
      <c r="C122">
        <v>8</v>
      </c>
      <c r="D122">
        <v>5</v>
      </c>
      <c r="E122" s="12">
        <f t="shared" si="2"/>
        <v>62.5</v>
      </c>
      <c r="F122">
        <v>62</v>
      </c>
      <c r="G122">
        <v>0</v>
      </c>
      <c r="H122">
        <v>13</v>
      </c>
      <c r="I122">
        <v>1</v>
      </c>
      <c r="J122" s="8">
        <f t="shared" si="3"/>
        <v>0</v>
      </c>
      <c r="K122" s="12">
        <f t="shared" si="4"/>
        <v>12.5</v>
      </c>
      <c r="L122" s="12">
        <f t="shared" si="5"/>
        <v>7.75</v>
      </c>
      <c r="M122" s="12">
        <f t="shared" si="6"/>
        <v>46.875</v>
      </c>
      <c r="N122">
        <v>0</v>
      </c>
      <c r="O122">
        <v>0</v>
      </c>
      <c r="R122">
        <f t="shared" si="7"/>
        <v>1.625</v>
      </c>
      <c r="S122" s="2">
        <f t="shared" si="8"/>
        <v>1.625</v>
      </c>
      <c r="T122" s="6">
        <f t="shared" si="9"/>
        <v>1.1875</v>
      </c>
      <c r="U122" s="2">
        <f t="shared" si="10"/>
        <v>1.1875</v>
      </c>
      <c r="V122">
        <f t="shared" si="11"/>
        <v>0</v>
      </c>
      <c r="W122" s="2">
        <f t="shared" si="12"/>
        <v>0</v>
      </c>
      <c r="X122">
        <f t="shared" si="13"/>
        <v>-0.75</v>
      </c>
      <c r="Y122" s="2">
        <f t="shared" si="14"/>
        <v>0</v>
      </c>
    </row>
    <row r="123" spans="1:25" ht="12">
      <c r="A123" t="s">
        <v>147</v>
      </c>
      <c r="E123" s="12" t="e">
        <f t="shared" si="2"/>
        <v>#DIV/0!</v>
      </c>
      <c r="J123" s="8" t="e">
        <f t="shared" si="3"/>
        <v>#DIV/0!</v>
      </c>
      <c r="K123" s="12" t="e">
        <f t="shared" si="4"/>
        <v>#DIV/0!</v>
      </c>
      <c r="L123" s="12" t="e">
        <f t="shared" si="5"/>
        <v>#DIV/0!</v>
      </c>
      <c r="M123" s="12" t="e">
        <f t="shared" si="6"/>
        <v>#DIV/0!</v>
      </c>
      <c r="R123" t="e">
        <f t="shared" si="7"/>
        <v>#DIV/0!</v>
      </c>
      <c r="S123" s="2" t="e">
        <f t="shared" si="8"/>
        <v>#DIV/0!</v>
      </c>
      <c r="T123" s="6" t="e">
        <f t="shared" si="9"/>
        <v>#DIV/0!</v>
      </c>
      <c r="U123" s="2" t="e">
        <f t="shared" si="10"/>
        <v>#DIV/0!</v>
      </c>
      <c r="V123" t="e">
        <f t="shared" si="11"/>
        <v>#DIV/0!</v>
      </c>
      <c r="W123" s="2" t="e">
        <f t="shared" si="12"/>
        <v>#DIV/0!</v>
      </c>
      <c r="X123" t="e">
        <f t="shared" si="13"/>
        <v>#DIV/0!</v>
      </c>
      <c r="Y123" s="2" t="e">
        <f t="shared" si="14"/>
        <v>#DIV/0!</v>
      </c>
    </row>
    <row r="124" spans="1:25" ht="12">
      <c r="A124" t="s">
        <v>142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143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5:25" ht="12"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8" spans="1:9" ht="12">
      <c r="A128" s="2" t="s">
        <v>71</v>
      </c>
      <c r="C128" s="3" t="s">
        <v>72</v>
      </c>
      <c r="D128" s="3" t="s">
        <v>73</v>
      </c>
      <c r="E128" s="3" t="s">
        <v>74</v>
      </c>
      <c r="F128" s="3" t="s">
        <v>53</v>
      </c>
      <c r="G128" s="3" t="s">
        <v>64</v>
      </c>
      <c r="H128" s="3" t="s">
        <v>55</v>
      </c>
      <c r="I128" s="3" t="s">
        <v>84</v>
      </c>
    </row>
    <row r="129" spans="1:6" ht="12">
      <c r="A129" t="s">
        <v>148</v>
      </c>
      <c r="F129" s="12" t="e">
        <f aca="true" t="shared" si="15" ref="F129:F134">+E129/C129</f>
        <v>#DIV/0!</v>
      </c>
    </row>
    <row r="130" spans="1:7" ht="12">
      <c r="A130" t="s">
        <v>136</v>
      </c>
      <c r="C130">
        <v>1</v>
      </c>
      <c r="E130">
        <v>4</v>
      </c>
      <c r="F130" s="12">
        <f t="shared" si="15"/>
        <v>4</v>
      </c>
      <c r="G130">
        <v>4</v>
      </c>
    </row>
    <row r="131" spans="1:6" ht="12">
      <c r="A131" t="s">
        <v>140</v>
      </c>
      <c r="F131" s="12" t="e">
        <f t="shared" si="15"/>
        <v>#DIV/0!</v>
      </c>
    </row>
    <row r="132" spans="1:7" ht="12">
      <c r="A132" t="s">
        <v>143</v>
      </c>
      <c r="C132">
        <v>1</v>
      </c>
      <c r="D132">
        <v>1</v>
      </c>
      <c r="E132">
        <v>3</v>
      </c>
      <c r="F132" s="12">
        <f t="shared" si="15"/>
        <v>3</v>
      </c>
      <c r="G132">
        <v>3</v>
      </c>
    </row>
    <row r="133" ht="12">
      <c r="F133" s="12" t="e">
        <f t="shared" si="15"/>
        <v>#DIV/0!</v>
      </c>
    </row>
    <row r="134" ht="12">
      <c r="F134" s="12" t="e">
        <f t="shared" si="15"/>
        <v>#DIV/0!</v>
      </c>
    </row>
    <row r="138" spans="1:8" ht="12">
      <c r="A138" s="2" t="s">
        <v>30</v>
      </c>
      <c r="C138" s="3" t="s">
        <v>72</v>
      </c>
      <c r="D138" s="3" t="s">
        <v>74</v>
      </c>
      <c r="E138" s="3" t="s">
        <v>53</v>
      </c>
      <c r="F138" s="3" t="s">
        <v>64</v>
      </c>
      <c r="G138" s="3" t="s">
        <v>55</v>
      </c>
      <c r="H138" s="3" t="s">
        <v>84</v>
      </c>
    </row>
    <row r="139" spans="1:5" ht="12">
      <c r="A139" t="s">
        <v>149</v>
      </c>
      <c r="E139" s="12" t="e">
        <f aca="true" t="shared" si="16" ref="E139:E144">+D139/C139</f>
        <v>#DIV/0!</v>
      </c>
    </row>
    <row r="140" spans="1:6" ht="12">
      <c r="A140" t="s">
        <v>148</v>
      </c>
      <c r="C140">
        <v>1</v>
      </c>
      <c r="D140">
        <v>0</v>
      </c>
      <c r="E140" s="12">
        <f t="shared" si="16"/>
        <v>0</v>
      </c>
      <c r="F140">
        <v>0</v>
      </c>
    </row>
    <row r="141" spans="1:5" ht="12">
      <c r="A141" t="s">
        <v>136</v>
      </c>
      <c r="E141" s="12" t="e">
        <f t="shared" si="16"/>
        <v>#DIV/0!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151</v>
      </c>
      <c r="E143" s="12" t="e">
        <f t="shared" si="16"/>
        <v>#DIV/0!</v>
      </c>
    </row>
    <row r="144" spans="1:5" ht="12">
      <c r="A144" t="s">
        <v>152</v>
      </c>
      <c r="E144" s="12" t="e">
        <f t="shared" si="16"/>
        <v>#DIV/0!</v>
      </c>
    </row>
    <row r="145" spans="1:5" ht="12">
      <c r="A145" t="s">
        <v>138</v>
      </c>
      <c r="E145" s="12" t="e">
        <f aca="true" t="shared" si="17" ref="E145:E151">+D145/C145</f>
        <v>#DIV/0!</v>
      </c>
    </row>
    <row r="146" spans="1:6" ht="12">
      <c r="A146" t="s">
        <v>143</v>
      </c>
      <c r="C146">
        <v>1</v>
      </c>
      <c r="D146">
        <v>50</v>
      </c>
      <c r="E146" s="12">
        <f t="shared" si="17"/>
        <v>50</v>
      </c>
      <c r="F146">
        <v>50</v>
      </c>
    </row>
    <row r="147" spans="1:5" ht="12">
      <c r="A147" t="s">
        <v>146</v>
      </c>
      <c r="E147" s="12" t="e">
        <f t="shared" si="17"/>
        <v>#DIV/0!</v>
      </c>
    </row>
    <row r="148" spans="1:5" ht="12">
      <c r="A148" t="s">
        <v>153</v>
      </c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3" spans="1:8" ht="12">
      <c r="A153" s="2" t="s">
        <v>75</v>
      </c>
      <c r="C153" s="3" t="s">
        <v>72</v>
      </c>
      <c r="D153" s="3" t="s">
        <v>74</v>
      </c>
      <c r="E153" s="3" t="s">
        <v>53</v>
      </c>
      <c r="F153" s="3" t="s">
        <v>64</v>
      </c>
      <c r="G153" s="3" t="s">
        <v>76</v>
      </c>
      <c r="H153" s="3" t="s">
        <v>84</v>
      </c>
    </row>
    <row r="154" spans="1:6" ht="12">
      <c r="A154" t="s">
        <v>154</v>
      </c>
      <c r="C154">
        <v>3</v>
      </c>
      <c r="D154">
        <f>42+40+78</f>
        <v>160</v>
      </c>
      <c r="E154" s="12"/>
      <c r="F154">
        <v>78</v>
      </c>
    </row>
    <row r="160" spans="9:21" ht="12">
      <c r="I160" s="5" t="s">
        <v>67</v>
      </c>
      <c r="L160" s="32" t="s">
        <v>99</v>
      </c>
      <c r="M160" s="32"/>
      <c r="N160" s="32" t="s">
        <v>100</v>
      </c>
      <c r="O160" s="32"/>
      <c r="P160" s="32" t="s">
        <v>101</v>
      </c>
      <c r="Q160" s="32"/>
      <c r="R160" s="32" t="s">
        <v>102</v>
      </c>
      <c r="S160" s="32"/>
      <c r="T160" s="32" t="s">
        <v>103</v>
      </c>
      <c r="U160" s="32"/>
    </row>
    <row r="161" spans="1:21" ht="12">
      <c r="A161" s="4" t="s">
        <v>83</v>
      </c>
      <c r="C161" s="3" t="s">
        <v>77</v>
      </c>
      <c r="D161" s="3" t="s">
        <v>78</v>
      </c>
      <c r="E161" s="3" t="s">
        <v>79</v>
      </c>
      <c r="F161" s="3" t="s">
        <v>80</v>
      </c>
      <c r="G161" s="3" t="s">
        <v>81</v>
      </c>
      <c r="H161" s="3" t="s">
        <v>82</v>
      </c>
      <c r="I161" s="3" t="s">
        <v>86</v>
      </c>
      <c r="J161" s="3" t="s">
        <v>64</v>
      </c>
      <c r="L161" s="3" t="s">
        <v>81</v>
      </c>
      <c r="M161" s="3" t="s">
        <v>82</v>
      </c>
      <c r="N161" s="3" t="s">
        <v>81</v>
      </c>
      <c r="O161" s="3" t="s">
        <v>82</v>
      </c>
      <c r="P161" s="3" t="s">
        <v>81</v>
      </c>
      <c r="Q161" s="3" t="s">
        <v>82</v>
      </c>
      <c r="R161" s="3" t="s">
        <v>81</v>
      </c>
      <c r="S161" s="3" t="s">
        <v>82</v>
      </c>
      <c r="T161" s="3" t="s">
        <v>81</v>
      </c>
      <c r="U161" s="3" t="s">
        <v>82</v>
      </c>
    </row>
    <row r="162" spans="1:18" ht="12">
      <c r="A162" t="s">
        <v>155</v>
      </c>
      <c r="C162">
        <v>3</v>
      </c>
      <c r="E162">
        <v>2</v>
      </c>
      <c r="F162">
        <v>1</v>
      </c>
      <c r="G162">
        <v>2</v>
      </c>
      <c r="I162" s="12">
        <f aca="true" t="shared" si="18" ref="I162:I169">+H162/G162*100</f>
        <v>0</v>
      </c>
      <c r="P162">
        <v>1</v>
      </c>
      <c r="R162">
        <v>1</v>
      </c>
    </row>
    <row r="163" spans="1:9" ht="12">
      <c r="A163" t="s">
        <v>154</v>
      </c>
      <c r="I163" s="12" t="e">
        <f t="shared" si="18"/>
        <v>#DIV/0!</v>
      </c>
    </row>
    <row r="164" ht="12">
      <c r="I164" s="12" t="e">
        <f t="shared" si="18"/>
        <v>#DIV/0!</v>
      </c>
    </row>
    <row r="165" ht="12">
      <c r="I165" s="12" t="e">
        <f t="shared" si="18"/>
        <v>#DIV/0!</v>
      </c>
    </row>
    <row r="166" ht="12">
      <c r="I166" s="12" t="e">
        <f t="shared" si="18"/>
        <v>#DIV/0!</v>
      </c>
    </row>
    <row r="167" ht="12"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2" spans="1:8" ht="12">
      <c r="A172" s="2" t="s">
        <v>85</v>
      </c>
      <c r="C172" s="3" t="s">
        <v>72</v>
      </c>
      <c r="D172" s="3" t="s">
        <v>74</v>
      </c>
      <c r="E172" s="3" t="s">
        <v>53</v>
      </c>
      <c r="F172" s="3" t="s">
        <v>64</v>
      </c>
      <c r="G172" s="3" t="s">
        <v>55</v>
      </c>
      <c r="H172" s="3" t="s">
        <v>84</v>
      </c>
    </row>
    <row r="173" spans="1:5" ht="12">
      <c r="A173" t="s">
        <v>156</v>
      </c>
      <c r="E173" s="12" t="e">
        <f>+D173/C173</f>
        <v>#DIV/0!</v>
      </c>
    </row>
    <row r="174" spans="1:5" ht="12">
      <c r="A174" t="s">
        <v>149</v>
      </c>
      <c r="E174" s="12" t="e">
        <f aca="true" t="shared" si="19" ref="E174:E180">+D174/C174</f>
        <v>#DIV/0!</v>
      </c>
    </row>
    <row r="175" spans="1:5" ht="12">
      <c r="A175" t="s">
        <v>157</v>
      </c>
      <c r="E175" s="12" t="e">
        <f t="shared" si="19"/>
        <v>#DIV/0!</v>
      </c>
    </row>
    <row r="176" spans="1:5" ht="12">
      <c r="A176" t="s">
        <v>158</v>
      </c>
      <c r="E176" s="12" t="e">
        <f t="shared" si="19"/>
        <v>#DIV/0!</v>
      </c>
    </row>
    <row r="177" spans="1:5" ht="12">
      <c r="A177" t="s">
        <v>159</v>
      </c>
      <c r="E177" s="12" t="e">
        <f t="shared" si="19"/>
        <v>#DIV/0!</v>
      </c>
    </row>
    <row r="178" spans="1:6" ht="12">
      <c r="A178" t="s">
        <v>160</v>
      </c>
      <c r="C178">
        <v>1</v>
      </c>
      <c r="D178">
        <v>0</v>
      </c>
      <c r="E178" s="12">
        <f t="shared" si="19"/>
        <v>0</v>
      </c>
      <c r="F178">
        <v>0</v>
      </c>
    </row>
    <row r="179" spans="1:5" ht="12">
      <c r="A179" t="s">
        <v>161</v>
      </c>
      <c r="E179" s="12" t="e">
        <f t="shared" si="19"/>
        <v>#DIV/0!</v>
      </c>
    </row>
    <row r="180" spans="1:5" ht="12">
      <c r="A180" t="s">
        <v>147</v>
      </c>
      <c r="E180" s="12" t="e">
        <f t="shared" si="19"/>
        <v>#DIV/0!</v>
      </c>
    </row>
    <row r="181" spans="1:5" ht="12">
      <c r="A181" t="s">
        <v>153</v>
      </c>
      <c r="E181" s="12" t="e">
        <f>+D181/C181</f>
        <v>#DIV/0!</v>
      </c>
    </row>
    <row r="182" spans="1:5" ht="12">
      <c r="A182" t="s">
        <v>162</v>
      </c>
      <c r="E182" s="12" t="e">
        <f>+D182/C182</f>
        <v>#DIV/0!</v>
      </c>
    </row>
    <row r="183" spans="1:5" ht="12">
      <c r="A183" s="1"/>
      <c r="E183" s="12" t="e">
        <f>+D183/C183</f>
        <v>#DIV/0!</v>
      </c>
    </row>
    <row r="184" spans="1:5" ht="12">
      <c r="A184" s="1"/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/>
    </row>
    <row r="187" spans="1:4" ht="12">
      <c r="A187" s="2" t="s">
        <v>98</v>
      </c>
      <c r="C187" s="3" t="s">
        <v>72</v>
      </c>
      <c r="D187" s="3" t="s">
        <v>74</v>
      </c>
    </row>
    <row r="188" spans="1:4" ht="12">
      <c r="A188" s="20" t="s">
        <v>156</v>
      </c>
      <c r="C188" s="3"/>
      <c r="D188" s="3"/>
    </row>
    <row r="189" spans="1:4" ht="12">
      <c r="A189" s="20" t="s">
        <v>157</v>
      </c>
      <c r="C189" s="3"/>
      <c r="D189" s="3"/>
    </row>
    <row r="190" spans="1:4" ht="12">
      <c r="A190" s="20" t="s">
        <v>158</v>
      </c>
      <c r="C190" s="3">
        <v>0.5</v>
      </c>
      <c r="D190" s="3">
        <v>2.5</v>
      </c>
    </row>
    <row r="191" spans="1:4" ht="12">
      <c r="A191" s="20" t="s">
        <v>159</v>
      </c>
      <c r="C191" s="3">
        <v>0.5</v>
      </c>
      <c r="D191" s="3">
        <v>2.5</v>
      </c>
    </row>
    <row r="192" spans="1:4" ht="12">
      <c r="A192" s="20" t="s">
        <v>163</v>
      </c>
      <c r="C192" s="3">
        <v>1</v>
      </c>
      <c r="D192" s="3">
        <v>6</v>
      </c>
    </row>
    <row r="193" spans="1:4" ht="12">
      <c r="A193" s="20" t="s">
        <v>164</v>
      </c>
      <c r="C193" s="3"/>
      <c r="D193" s="3"/>
    </row>
    <row r="194" spans="1:4" ht="12">
      <c r="A194" s="20" t="s">
        <v>161</v>
      </c>
      <c r="C194" s="3"/>
      <c r="D194" s="3"/>
    </row>
    <row r="195" spans="1:4" ht="12">
      <c r="A195" s="20" t="s">
        <v>165</v>
      </c>
      <c r="C195" s="3"/>
      <c r="D195" s="3"/>
    </row>
    <row r="196" spans="1:4" ht="12">
      <c r="A196" s="20" t="s">
        <v>147</v>
      </c>
      <c r="C196" s="3"/>
      <c r="D196" s="3"/>
    </row>
    <row r="197" spans="1:4" ht="12">
      <c r="A197" s="20" t="s">
        <v>166</v>
      </c>
      <c r="C197" s="3"/>
      <c r="D197" s="3"/>
    </row>
    <row r="198" spans="1:4" ht="12">
      <c r="A198" s="20"/>
      <c r="C198" s="3"/>
      <c r="D198" s="3"/>
    </row>
    <row r="199" spans="1:4" ht="12">
      <c r="A199" s="20"/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"/>
      <c r="C202" s="3"/>
      <c r="D202" s="3"/>
    </row>
    <row r="203" spans="1:4" ht="12">
      <c r="A203" s="2"/>
      <c r="C203" s="3"/>
      <c r="D203" s="3"/>
    </row>
    <row r="204" spans="1:4" ht="12">
      <c r="A204" s="2"/>
      <c r="C204" s="3"/>
      <c r="D204" s="3"/>
    </row>
    <row r="205" spans="1:7" ht="12">
      <c r="A205" s="2" t="s">
        <v>94</v>
      </c>
      <c r="C205" s="3" t="s">
        <v>72</v>
      </c>
      <c r="D205" s="3" t="s">
        <v>74</v>
      </c>
      <c r="E205" s="3" t="s">
        <v>64</v>
      </c>
      <c r="F205" s="3" t="s">
        <v>55</v>
      </c>
      <c r="G205" s="5" t="s">
        <v>84</v>
      </c>
    </row>
    <row r="206" ht="12">
      <c r="A206" t="s">
        <v>167</v>
      </c>
    </row>
    <row r="207" ht="12">
      <c r="A207" t="s">
        <v>156</v>
      </c>
    </row>
    <row r="208" ht="12">
      <c r="A208" t="s">
        <v>149</v>
      </c>
    </row>
    <row r="209" spans="1:3" ht="12">
      <c r="A209" t="s">
        <v>157</v>
      </c>
      <c r="C209">
        <v>1</v>
      </c>
    </row>
    <row r="210" ht="12">
      <c r="A210" t="s">
        <v>133</v>
      </c>
    </row>
    <row r="211" ht="12">
      <c r="A211" t="s">
        <v>134</v>
      </c>
    </row>
    <row r="212" ht="12">
      <c r="A212" t="s">
        <v>158</v>
      </c>
    </row>
    <row r="213" ht="12">
      <c r="A213" t="s">
        <v>168</v>
      </c>
    </row>
    <row r="214" ht="12">
      <c r="A214" t="s">
        <v>135</v>
      </c>
    </row>
    <row r="215" ht="12">
      <c r="A215" t="s">
        <v>159</v>
      </c>
    </row>
    <row r="216" ht="12">
      <c r="A216" t="s">
        <v>169</v>
      </c>
    </row>
    <row r="217" ht="12">
      <c r="A217" t="s">
        <v>144</v>
      </c>
    </row>
    <row r="218" ht="12">
      <c r="A218" t="s">
        <v>148</v>
      </c>
    </row>
    <row r="219" ht="12">
      <c r="A219" t="s">
        <v>163</v>
      </c>
    </row>
    <row r="220" ht="12">
      <c r="A220" t="s">
        <v>160</v>
      </c>
    </row>
    <row r="221" ht="12">
      <c r="A221" t="s">
        <v>136</v>
      </c>
    </row>
    <row r="222" ht="12">
      <c r="A222" t="s">
        <v>170</v>
      </c>
    </row>
    <row r="223" ht="12">
      <c r="A223" t="s">
        <v>154</v>
      </c>
    </row>
    <row r="224" ht="12">
      <c r="A224" t="s">
        <v>150</v>
      </c>
    </row>
    <row r="225" ht="12">
      <c r="A225" t="s">
        <v>171</v>
      </c>
    </row>
    <row r="226" spans="1:3" ht="12">
      <c r="A226" t="s">
        <v>164</v>
      </c>
      <c r="C226">
        <v>1</v>
      </c>
    </row>
    <row r="227" ht="12">
      <c r="A227" t="s">
        <v>145</v>
      </c>
    </row>
    <row r="228" ht="12">
      <c r="A228" t="s">
        <v>137</v>
      </c>
    </row>
    <row r="229" ht="12">
      <c r="A229" t="s">
        <v>151</v>
      </c>
    </row>
    <row r="230" ht="12">
      <c r="A230" t="s">
        <v>152</v>
      </c>
    </row>
    <row r="231" ht="12">
      <c r="A231" t="s">
        <v>138</v>
      </c>
    </row>
    <row r="232" ht="12">
      <c r="A232" t="s">
        <v>139</v>
      </c>
    </row>
    <row r="233" ht="12">
      <c r="A233" t="s">
        <v>161</v>
      </c>
    </row>
    <row r="234" ht="12">
      <c r="A234" t="s">
        <v>172</v>
      </c>
    </row>
    <row r="235" ht="12">
      <c r="A235" t="s">
        <v>140</v>
      </c>
    </row>
    <row r="236" ht="12">
      <c r="A236" t="s">
        <v>165</v>
      </c>
    </row>
    <row r="237" ht="12">
      <c r="A237" t="s">
        <v>155</v>
      </c>
    </row>
    <row r="238" ht="12">
      <c r="A238" t="s">
        <v>147</v>
      </c>
    </row>
    <row r="239" ht="12">
      <c r="A239" t="s">
        <v>173</v>
      </c>
    </row>
    <row r="240" ht="12">
      <c r="A240" t="s">
        <v>141</v>
      </c>
    </row>
    <row r="241" ht="12">
      <c r="A241" t="s">
        <v>174</v>
      </c>
    </row>
    <row r="242" ht="12">
      <c r="A242" t="s">
        <v>166</v>
      </c>
    </row>
    <row r="243" ht="12">
      <c r="A243" t="s">
        <v>175</v>
      </c>
    </row>
    <row r="244" ht="12">
      <c r="A244" t="s">
        <v>176</v>
      </c>
    </row>
    <row r="245" ht="12">
      <c r="A245" t="s">
        <v>142</v>
      </c>
    </row>
    <row r="246" ht="12">
      <c r="A246" t="s">
        <v>177</v>
      </c>
    </row>
    <row r="247" ht="12">
      <c r="A247" t="s">
        <v>143</v>
      </c>
    </row>
    <row r="248" ht="12">
      <c r="A248" t="s">
        <v>178</v>
      </c>
    </row>
    <row r="249" ht="12">
      <c r="A249" t="s">
        <v>179</v>
      </c>
    </row>
    <row r="250" ht="12">
      <c r="A250" t="s">
        <v>146</v>
      </c>
    </row>
    <row r="251" ht="12">
      <c r="A251" t="s">
        <v>153</v>
      </c>
    </row>
    <row r="252" ht="12">
      <c r="A252" t="s">
        <v>162</v>
      </c>
    </row>
    <row r="253" ht="12">
      <c r="A253" t="s">
        <v>180</v>
      </c>
    </row>
  </sheetData>
  <sheetProtection/>
  <mergeCells count="5">
    <mergeCell ref="L160:M160"/>
    <mergeCell ref="N160:O160"/>
    <mergeCell ref="P160:Q160"/>
    <mergeCell ref="R160:S160"/>
    <mergeCell ref="T160:U160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53"/>
  <sheetViews>
    <sheetView zoomScale="125" zoomScaleNormal="125" workbookViewId="0" topLeftCell="A1">
      <selection activeCell="A125" sqref="A125:G125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  <col min="14" max="14" width="6.28125" style="0" customWidth="1"/>
  </cols>
  <sheetData>
    <row r="1" ht="12">
      <c r="A1" s="2" t="str">
        <f>+'Cumulative Stats'!A1</f>
        <v>1967 Chicago Bears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11</v>
      </c>
      <c r="H6" s="1" t="s">
        <v>29</v>
      </c>
      <c r="M6" s="2">
        <v>8</v>
      </c>
    </row>
    <row r="7" spans="1:13" ht="12">
      <c r="A7" s="16" t="s">
        <v>95</v>
      </c>
      <c r="D7" s="2">
        <v>7</v>
      </c>
      <c r="H7" s="16" t="s">
        <v>95</v>
      </c>
      <c r="M7" s="2">
        <v>4</v>
      </c>
    </row>
    <row r="8" spans="1:13" ht="12">
      <c r="A8" s="16" t="s">
        <v>96</v>
      </c>
      <c r="D8" s="2">
        <v>2</v>
      </c>
      <c r="H8" s="16" t="s">
        <v>96</v>
      </c>
      <c r="M8" s="2">
        <v>3</v>
      </c>
    </row>
    <row r="9" spans="1:13" ht="12">
      <c r="A9" s="16" t="s">
        <v>97</v>
      </c>
      <c r="D9" s="2">
        <v>2</v>
      </c>
      <c r="H9" s="16" t="s">
        <v>97</v>
      </c>
      <c r="M9" s="2">
        <v>1</v>
      </c>
    </row>
    <row r="10" spans="1:14" ht="12">
      <c r="A10" s="18" t="s">
        <v>108</v>
      </c>
      <c r="C10">
        <v>3</v>
      </c>
      <c r="D10" s="2">
        <v>13</v>
      </c>
      <c r="E10" s="19">
        <f>+C10/D10</f>
        <v>0.23076923076923078</v>
      </c>
      <c r="H10" s="18" t="s">
        <v>108</v>
      </c>
      <c r="L10">
        <v>2</v>
      </c>
      <c r="M10" s="2">
        <v>9</v>
      </c>
      <c r="N10" s="19">
        <f>+L10/M10</f>
        <v>0.2222222222222222</v>
      </c>
    </row>
    <row r="11" spans="1:14" ht="12">
      <c r="A11" s="18" t="s">
        <v>119</v>
      </c>
      <c r="C11">
        <v>2</v>
      </c>
      <c r="D11" s="2">
        <v>2</v>
      </c>
      <c r="E11" s="19"/>
      <c r="H11" s="18" t="s">
        <v>119</v>
      </c>
      <c r="L11">
        <v>1</v>
      </c>
      <c r="M11" s="2">
        <v>1</v>
      </c>
      <c r="N11" s="19"/>
    </row>
    <row r="13" spans="1:23" ht="12">
      <c r="A13" t="s">
        <v>1</v>
      </c>
      <c r="D13" s="2">
        <f>18+14+9+7+2</f>
        <v>50</v>
      </c>
      <c r="H13" t="s">
        <v>1</v>
      </c>
      <c r="M13" s="2">
        <f>14+2+1+4</f>
        <v>21</v>
      </c>
      <c r="V13">
        <f>+D13</f>
        <v>50</v>
      </c>
      <c r="W13">
        <f>+M13</f>
        <v>21</v>
      </c>
    </row>
    <row r="14" spans="1:23" ht="12">
      <c r="A14" t="s">
        <v>2</v>
      </c>
      <c r="D14" s="2">
        <f>71+18+16+31+36</f>
        <v>172</v>
      </c>
      <c r="H14" t="s">
        <v>2</v>
      </c>
      <c r="M14" s="2">
        <f>59-3+3+20</f>
        <v>79</v>
      </c>
      <c r="P14" s="13"/>
      <c r="U14" s="13"/>
      <c r="V14">
        <f>+D18</f>
        <v>3</v>
      </c>
      <c r="W14">
        <f>+M18</f>
        <v>9</v>
      </c>
    </row>
    <row r="15" spans="1:23" ht="12">
      <c r="A15" s="1" t="s">
        <v>3</v>
      </c>
      <c r="D15" s="8">
        <f>+D14/D13</f>
        <v>3.44</v>
      </c>
      <c r="H15" s="1" t="s">
        <v>3</v>
      </c>
      <c r="M15" s="8">
        <f>+M14/M13</f>
        <v>3.761904761904762</v>
      </c>
      <c r="V15">
        <f>+(D17-D18)/2</f>
        <v>4.5</v>
      </c>
      <c r="W15">
        <f>+(M17-M18)/2</f>
        <v>9.5</v>
      </c>
    </row>
    <row r="16" spans="22:23" ht="12">
      <c r="V16">
        <f>+D40/2</f>
        <v>3</v>
      </c>
      <c r="W16">
        <f>+M40/2</f>
        <v>4</v>
      </c>
    </row>
    <row r="17" spans="1:23" ht="12">
      <c r="A17" t="s">
        <v>4</v>
      </c>
      <c r="D17" s="2">
        <v>12</v>
      </c>
      <c r="H17" t="s">
        <v>4</v>
      </c>
      <c r="M17" s="2">
        <v>28</v>
      </c>
      <c r="V17">
        <f>+D44/2</f>
        <v>2.5</v>
      </c>
      <c r="W17">
        <f>+M44/2</f>
        <v>1</v>
      </c>
    </row>
    <row r="18" spans="1:23" ht="12">
      <c r="A18" t="s">
        <v>5</v>
      </c>
      <c r="D18" s="2">
        <v>3</v>
      </c>
      <c r="H18" t="s">
        <v>5</v>
      </c>
      <c r="M18" s="2">
        <v>9</v>
      </c>
      <c r="V18">
        <f>+D50/2</f>
        <v>0.5</v>
      </c>
      <c r="W18">
        <f>+M50/2</f>
        <v>1.5</v>
      </c>
    </row>
    <row r="19" spans="1:13" ht="12">
      <c r="A19" t="s">
        <v>6</v>
      </c>
      <c r="D19" s="8">
        <f>+D18/D17*100</f>
        <v>25</v>
      </c>
      <c r="H19" t="s">
        <v>6</v>
      </c>
      <c r="M19" s="8">
        <f>+M18/M17*100</f>
        <v>32.142857142857146</v>
      </c>
    </row>
    <row r="20" spans="1:24" ht="12">
      <c r="A20" t="s">
        <v>7</v>
      </c>
      <c r="D20" s="2">
        <v>43</v>
      </c>
      <c r="H20" t="s">
        <v>7</v>
      </c>
      <c r="M20" s="2">
        <v>70</v>
      </c>
      <c r="V20">
        <f>SUM(V13:V18)</f>
        <v>63.5</v>
      </c>
      <c r="W20">
        <f>SUM(W13:W18)</f>
        <v>46</v>
      </c>
      <c r="X20">
        <f>+W20+V20</f>
        <v>109.5</v>
      </c>
    </row>
    <row r="21" spans="1:23" ht="12">
      <c r="A21" t="s">
        <v>8</v>
      </c>
      <c r="D21" s="2">
        <v>2</v>
      </c>
      <c r="H21" t="s">
        <v>8</v>
      </c>
      <c r="M21" s="2">
        <v>1</v>
      </c>
      <c r="V21">
        <f>+V20/X20</f>
        <v>0.5799086757990868</v>
      </c>
      <c r="W21">
        <f>+W20/X20</f>
        <v>0.4200913242009132</v>
      </c>
    </row>
    <row r="22" spans="1:23" ht="12">
      <c r="A22" t="s">
        <v>9</v>
      </c>
      <c r="D22" s="2">
        <v>12</v>
      </c>
      <c r="H22" t="s">
        <v>9</v>
      </c>
      <c r="M22" s="2">
        <v>7</v>
      </c>
      <c r="V22">
        <f>+V21*60</f>
        <v>34.794520547945204</v>
      </c>
      <c r="W22">
        <f>+W21*60</f>
        <v>25.205479452054792</v>
      </c>
    </row>
    <row r="23" spans="1:23" ht="12">
      <c r="A23" t="s">
        <v>10</v>
      </c>
      <c r="D23">
        <f>+D20-D22</f>
        <v>31</v>
      </c>
      <c r="H23" t="s">
        <v>10</v>
      </c>
      <c r="M23">
        <f>+M20-M22</f>
        <v>63</v>
      </c>
      <c r="V23">
        <f>+V22-INT(V22)</f>
        <v>0.7945205479452042</v>
      </c>
      <c r="W23">
        <f>+W22-INT(W22)</f>
        <v>0.20547945205479223</v>
      </c>
    </row>
    <row r="24" spans="1:23" ht="12">
      <c r="A24" t="s">
        <v>11</v>
      </c>
      <c r="D24" s="7">
        <f>+D23/(D17+D21)</f>
        <v>2.2142857142857144</v>
      </c>
      <c r="H24" t="s">
        <v>11</v>
      </c>
      <c r="M24" s="7">
        <f>+M23/(M17+M21)</f>
        <v>2.1724137931034484</v>
      </c>
      <c r="V24">
        <f>+V23*60</f>
        <v>47.67123287671225</v>
      </c>
      <c r="W24">
        <f>+W23*60</f>
        <v>12.328767123287534</v>
      </c>
    </row>
    <row r="25" spans="1:23" ht="12">
      <c r="A25" t="s">
        <v>12</v>
      </c>
      <c r="D25" s="7">
        <f>+D20/D18</f>
        <v>14.333333333333334</v>
      </c>
      <c r="H25" t="s">
        <v>12</v>
      </c>
      <c r="M25" s="7">
        <f>+M20/M18</f>
        <v>7.777777777777778</v>
      </c>
      <c r="Q25" s="11"/>
      <c r="U25">
        <v>0</v>
      </c>
      <c r="V25" s="11">
        <f>ROUND(V24,0)</f>
        <v>48</v>
      </c>
      <c r="W25">
        <f>ROUND(W24,0)</f>
        <v>12</v>
      </c>
    </row>
    <row r="26" spans="22:23" ht="12">
      <c r="V26">
        <f>INT(V22)</f>
        <v>34</v>
      </c>
      <c r="W26">
        <f>INT(W22)</f>
        <v>25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203</v>
      </c>
      <c r="H28" t="s">
        <v>14</v>
      </c>
      <c r="M28">
        <f>+M23+M14</f>
        <v>142</v>
      </c>
      <c r="Q28" s="14"/>
      <c r="R28" s="9"/>
      <c r="V28" s="14" t="str">
        <f>+V26&amp;V27&amp;V25</f>
        <v>34:48</v>
      </c>
      <c r="W28" s="9" t="str">
        <f>+W26&amp;W27&amp;W25</f>
        <v>25:12</v>
      </c>
    </row>
    <row r="29" spans="1:23" ht="12">
      <c r="A29" t="s">
        <v>15</v>
      </c>
      <c r="D29" s="7">
        <f>+D14/D28*100</f>
        <v>84.72906403940887</v>
      </c>
      <c r="H29" t="s">
        <v>15</v>
      </c>
      <c r="M29" s="7">
        <f>+M14/M28*100</f>
        <v>55.633802816901415</v>
      </c>
      <c r="Q29" s="9"/>
      <c r="R29" s="9"/>
      <c r="V29" s="9" t="str">
        <f>IF(V25&lt;10,+V26&amp;V27&amp;$U$25&amp;V25,+V26&amp;V27&amp;V25)</f>
        <v>34:48</v>
      </c>
      <c r="W29" s="9" t="str">
        <f>IF(W25&lt;10,+W26&amp;W27&amp;$U$25&amp;W25,+W26&amp;W27&amp;W25)</f>
        <v>25:12</v>
      </c>
    </row>
    <row r="30" spans="1:16" ht="12">
      <c r="A30" s="1" t="s">
        <v>90</v>
      </c>
      <c r="D30" s="7">
        <f>+D23/D28*100</f>
        <v>15.270935960591133</v>
      </c>
      <c r="H30" s="1" t="s">
        <v>90</v>
      </c>
      <c r="M30" s="7">
        <f>+M23/M28*100</f>
        <v>44.36619718309859</v>
      </c>
      <c r="P30" s="13"/>
    </row>
    <row r="32" spans="1:13" ht="12">
      <c r="A32" t="s">
        <v>16</v>
      </c>
      <c r="D32">
        <f>+D13+D17+D21</f>
        <v>64</v>
      </c>
      <c r="H32" t="s">
        <v>16</v>
      </c>
      <c r="M32">
        <f>+M13+M17+M21</f>
        <v>50</v>
      </c>
    </row>
    <row r="33" spans="1:14" ht="12">
      <c r="A33" t="s">
        <v>17</v>
      </c>
      <c r="C33" s="7"/>
      <c r="D33" s="8">
        <f>+D28/D32</f>
        <v>3.171875</v>
      </c>
      <c r="F33" s="7"/>
      <c r="G33" s="7"/>
      <c r="H33" s="7" t="s">
        <v>17</v>
      </c>
      <c r="I33" s="7"/>
      <c r="J33" s="7"/>
      <c r="K33" s="7"/>
      <c r="M33" s="8">
        <f>+M28/M32</f>
        <v>2.84</v>
      </c>
      <c r="N33" s="7"/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0</v>
      </c>
      <c r="H36" t="s">
        <v>19</v>
      </c>
      <c r="M36" s="2">
        <v>4</v>
      </c>
    </row>
    <row r="37" spans="1:13" ht="12">
      <c r="A37" t="s">
        <v>20</v>
      </c>
      <c r="D37" s="2">
        <v>0</v>
      </c>
      <c r="H37" t="s">
        <v>20</v>
      </c>
      <c r="M37" s="2">
        <f>4+34+40+0</f>
        <v>78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6</v>
      </c>
      <c r="H40" t="s">
        <v>22</v>
      </c>
      <c r="M40" s="2">
        <v>8</v>
      </c>
    </row>
    <row r="41" spans="1:13" ht="12">
      <c r="A41" t="s">
        <v>23</v>
      </c>
      <c r="D41" s="2">
        <f>40+55+37+45+42+50</f>
        <v>269</v>
      </c>
      <c r="H41" t="s">
        <v>23</v>
      </c>
      <c r="M41" s="2">
        <f>31+48+40+52+26+42+40+45</f>
        <v>324</v>
      </c>
    </row>
    <row r="42" spans="1:14" ht="12">
      <c r="A42" t="s">
        <v>24</v>
      </c>
      <c r="C42" s="7"/>
      <c r="D42" s="8">
        <f>+D41/D40</f>
        <v>44.833333333333336</v>
      </c>
      <c r="F42" s="7"/>
      <c r="G42" s="7"/>
      <c r="H42" s="7" t="s">
        <v>24</v>
      </c>
      <c r="I42" s="7"/>
      <c r="J42" s="7"/>
      <c r="K42" s="7"/>
      <c r="M42" s="8">
        <f>+M41/M40</f>
        <v>40.5</v>
      </c>
      <c r="N42" s="7"/>
    </row>
    <row r="44" spans="1:13" ht="12">
      <c r="A44" t="s">
        <v>25</v>
      </c>
      <c r="D44" s="2">
        <v>5</v>
      </c>
      <c r="H44" t="s">
        <v>25</v>
      </c>
      <c r="M44" s="2">
        <v>2</v>
      </c>
    </row>
    <row r="45" spans="1:13" ht="12">
      <c r="A45" t="s">
        <v>26</v>
      </c>
      <c r="D45" s="2">
        <f>29+0+10+10+17</f>
        <v>66</v>
      </c>
      <c r="H45" t="s">
        <v>26</v>
      </c>
      <c r="M45" s="2">
        <v>4</v>
      </c>
    </row>
    <row r="46" spans="1:13" ht="12">
      <c r="A46" t="s">
        <v>27</v>
      </c>
      <c r="D46" s="8">
        <f>+D45/D44</f>
        <v>13.2</v>
      </c>
      <c r="H46" t="s">
        <v>27</v>
      </c>
      <c r="M46" s="8">
        <f>+M45/M44</f>
        <v>2</v>
      </c>
    </row>
    <row r="47" spans="1:13" ht="12">
      <c r="A47" s="18" t="s">
        <v>131</v>
      </c>
      <c r="D47" s="2">
        <v>3</v>
      </c>
      <c r="H47" s="18" t="s">
        <v>131</v>
      </c>
      <c r="M47" s="2">
        <v>2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1</v>
      </c>
      <c r="H50" t="s">
        <v>30</v>
      </c>
      <c r="M50" s="2">
        <v>3</v>
      </c>
    </row>
    <row r="51" spans="1:13" ht="12">
      <c r="A51" t="s">
        <v>26</v>
      </c>
      <c r="D51" s="2">
        <v>16</v>
      </c>
      <c r="H51" t="s">
        <v>26</v>
      </c>
      <c r="M51" s="2">
        <f>18+24+22</f>
        <v>64</v>
      </c>
    </row>
    <row r="52" spans="1:13" ht="12">
      <c r="A52" t="s">
        <v>27</v>
      </c>
      <c r="D52" s="8">
        <f>+D51/D50</f>
        <v>16</v>
      </c>
      <c r="H52" t="s">
        <v>27</v>
      </c>
      <c r="M52" s="8">
        <f>+M51/M50</f>
        <v>21.333333333333332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3</v>
      </c>
      <c r="G55" t="str">
        <f>IF(D55-D56=M50,"ok","err")</f>
        <v>ok</v>
      </c>
      <c r="H55" t="s">
        <v>127</v>
      </c>
      <c r="K55" s="2"/>
      <c r="M55" s="2">
        <v>1</v>
      </c>
      <c r="P55" s="2"/>
    </row>
    <row r="56" spans="1:16" ht="12">
      <c r="A56" t="s">
        <v>128</v>
      </c>
      <c r="D56" s="2">
        <v>0</v>
      </c>
      <c r="H56" t="s">
        <v>128</v>
      </c>
      <c r="K56" s="2"/>
      <c r="M56" s="2">
        <v>0</v>
      </c>
      <c r="P56" s="2"/>
    </row>
    <row r="57" spans="1:13" ht="12">
      <c r="A57" t="s">
        <v>129</v>
      </c>
      <c r="D57">
        <f>+D56/D55</f>
        <v>0</v>
      </c>
      <c r="H57" t="s">
        <v>129</v>
      </c>
      <c r="M57">
        <f>+M56/M55</f>
        <v>0</v>
      </c>
    </row>
    <row r="59" spans="1:13" ht="12">
      <c r="A59" t="s">
        <v>31</v>
      </c>
      <c r="D59" s="2">
        <v>6</v>
      </c>
      <c r="H59" t="s">
        <v>31</v>
      </c>
      <c r="M59" s="2">
        <v>4</v>
      </c>
    </row>
    <row r="60" spans="1:13" ht="12">
      <c r="A60" t="s">
        <v>32</v>
      </c>
      <c r="D60" s="2">
        <v>62</v>
      </c>
      <c r="H60" t="s">
        <v>32</v>
      </c>
      <c r="M60" s="2">
        <v>38</v>
      </c>
    </row>
    <row r="62" spans="1:13" ht="12">
      <c r="A62" t="s">
        <v>33</v>
      </c>
      <c r="D62" s="2">
        <v>1</v>
      </c>
      <c r="H62" t="s">
        <v>33</v>
      </c>
      <c r="M62" s="2">
        <v>1</v>
      </c>
    </row>
    <row r="63" spans="1:13" ht="12">
      <c r="A63" t="s">
        <v>34</v>
      </c>
      <c r="D63" s="2">
        <v>1</v>
      </c>
      <c r="H63" t="s">
        <v>34</v>
      </c>
      <c r="M63" s="2">
        <v>0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1</v>
      </c>
      <c r="H65" t="s">
        <v>36</v>
      </c>
      <c r="M65" s="2">
        <v>0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10</v>
      </c>
      <c r="E68" t="str">
        <f>IF(B68=B69*6+B75*2+B76*3+B73,"ok","ERR")</f>
        <v>ok</v>
      </c>
      <c r="H68" t="s">
        <v>38</v>
      </c>
      <c r="M68" s="2">
        <v>0</v>
      </c>
      <c r="P68" t="str">
        <f>IF(M68=M69*6+M75*2+M76*3+M73,"ok","ERR")</f>
        <v>ok</v>
      </c>
    </row>
    <row r="69" spans="1:13" ht="12">
      <c r="A69" t="s">
        <v>39</v>
      </c>
      <c r="D69" s="2">
        <v>1</v>
      </c>
      <c r="H69" t="s">
        <v>39</v>
      </c>
      <c r="M69" s="2">
        <v>0</v>
      </c>
    </row>
    <row r="70" spans="1:13" ht="12">
      <c r="A70" t="s">
        <v>40</v>
      </c>
      <c r="D70" s="2">
        <v>1</v>
      </c>
      <c r="H70" t="s">
        <v>40</v>
      </c>
      <c r="M70" s="2">
        <v>0</v>
      </c>
    </row>
    <row r="71" spans="1:13" ht="12">
      <c r="A71" t="s">
        <v>41</v>
      </c>
      <c r="D71" s="2">
        <v>0</v>
      </c>
      <c r="H71" t="s">
        <v>41</v>
      </c>
      <c r="M71" s="2">
        <v>0</v>
      </c>
    </row>
    <row r="72" spans="1:13" ht="12">
      <c r="A72" t="s">
        <v>42</v>
      </c>
      <c r="D72" s="2">
        <v>0</v>
      </c>
      <c r="H72" t="s">
        <v>42</v>
      </c>
      <c r="M72" s="2">
        <v>0</v>
      </c>
    </row>
    <row r="73" spans="1:13" ht="12">
      <c r="A73" t="s">
        <v>43</v>
      </c>
      <c r="D73" s="2">
        <v>1</v>
      </c>
      <c r="H73" t="s">
        <v>43</v>
      </c>
      <c r="M73" s="2">
        <v>0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1</v>
      </c>
      <c r="H76" t="s">
        <v>45</v>
      </c>
      <c r="M76" s="2">
        <v>0</v>
      </c>
    </row>
    <row r="77" spans="1:13" ht="12">
      <c r="A77" t="s">
        <v>46</v>
      </c>
      <c r="D77" s="2">
        <v>3</v>
      </c>
      <c r="H77" t="s">
        <v>46</v>
      </c>
      <c r="M77" s="2">
        <v>0</v>
      </c>
    </row>
    <row r="78" spans="1:13" ht="12">
      <c r="A78" t="s">
        <v>47</v>
      </c>
      <c r="D78" s="8">
        <f>+D76/D77*100</f>
        <v>33.33333333333333</v>
      </c>
      <c r="E78" s="7"/>
      <c r="F78" s="7"/>
      <c r="G78" s="7"/>
      <c r="H78" s="7" t="s">
        <v>47</v>
      </c>
      <c r="I78" s="7"/>
      <c r="J78" s="7"/>
      <c r="K78" s="7"/>
      <c r="L78" s="7"/>
      <c r="M78" s="8" t="e">
        <f>+M76/M77*100</f>
        <v>#DIV/0!</v>
      </c>
    </row>
    <row r="79" spans="1:13" ht="12">
      <c r="A79" t="s">
        <v>93</v>
      </c>
      <c r="D79" s="10" t="str">
        <f>IF(V25&lt;10,V29,V28)</f>
        <v>34:48</v>
      </c>
      <c r="E79" s="8"/>
      <c r="F79" s="8"/>
      <c r="H79" t="s">
        <v>93</v>
      </c>
      <c r="M79" s="10" t="str">
        <f>IF(W25&lt;10,W29,W28)</f>
        <v>25:12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8" ht="12">
      <c r="A84" t="s">
        <v>134</v>
      </c>
      <c r="C84">
        <v>9</v>
      </c>
      <c r="D84">
        <v>16</v>
      </c>
      <c r="E84" s="12">
        <f>+D84/C84</f>
        <v>1.7777777777777777</v>
      </c>
      <c r="F84">
        <v>11</v>
      </c>
      <c r="G84">
        <v>0</v>
      </c>
      <c r="H84">
        <v>0</v>
      </c>
    </row>
    <row r="85" spans="1:8" ht="12">
      <c r="A85" t="s">
        <v>135</v>
      </c>
      <c r="C85">
        <v>2</v>
      </c>
      <c r="D85">
        <v>36</v>
      </c>
      <c r="E85" s="12">
        <f>+D85/C85</f>
        <v>18</v>
      </c>
      <c r="F85">
        <v>31</v>
      </c>
      <c r="G85">
        <v>0</v>
      </c>
      <c r="H85">
        <v>1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5" ht="12">
      <c r="A87" t="s">
        <v>137</v>
      </c>
      <c r="E87" s="12" t="e">
        <f t="shared" si="0"/>
        <v>#DIV/0!</v>
      </c>
    </row>
    <row r="88" spans="1:8" ht="12">
      <c r="A88" t="s">
        <v>138</v>
      </c>
      <c r="C88">
        <v>7</v>
      </c>
      <c r="D88">
        <v>31</v>
      </c>
      <c r="E88" s="12">
        <f t="shared" si="0"/>
        <v>4.428571428571429</v>
      </c>
      <c r="F88">
        <v>13</v>
      </c>
      <c r="G88">
        <v>0</v>
      </c>
      <c r="H88">
        <v>0</v>
      </c>
    </row>
    <row r="89" spans="1:5" ht="12">
      <c r="A89" t="s">
        <v>139</v>
      </c>
      <c r="E89" s="12" t="e">
        <f t="shared" si="0"/>
        <v>#DIV/0!</v>
      </c>
    </row>
    <row r="90" spans="1:5" ht="12">
      <c r="A90" t="s">
        <v>140</v>
      </c>
      <c r="E90" s="12" t="e">
        <f t="shared" si="0"/>
        <v>#DIV/0!</v>
      </c>
    </row>
    <row r="91" spans="1:8" ht="12">
      <c r="A91" t="s">
        <v>141</v>
      </c>
      <c r="C91">
        <v>14</v>
      </c>
      <c r="D91">
        <v>18</v>
      </c>
      <c r="E91" s="12">
        <f t="shared" si="0"/>
        <v>1.2857142857142858</v>
      </c>
      <c r="F91">
        <v>5</v>
      </c>
      <c r="G91">
        <v>1</v>
      </c>
      <c r="H91">
        <v>0</v>
      </c>
    </row>
    <row r="92" spans="1:5" ht="12">
      <c r="A92" t="s">
        <v>142</v>
      </c>
      <c r="E92" s="12" t="e">
        <f t="shared" si="0"/>
        <v>#DIV/0!</v>
      </c>
    </row>
    <row r="93" spans="1:8" ht="12">
      <c r="A93" t="s">
        <v>143</v>
      </c>
      <c r="C93">
        <v>18</v>
      </c>
      <c r="D93">
        <v>71</v>
      </c>
      <c r="E93" s="12">
        <f>+D93/C93</f>
        <v>3.9444444444444446</v>
      </c>
      <c r="F93">
        <v>17</v>
      </c>
      <c r="G93">
        <v>0</v>
      </c>
      <c r="H93">
        <v>0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8" ht="12">
      <c r="A101" t="s">
        <v>134</v>
      </c>
      <c r="C101">
        <v>1</v>
      </c>
      <c r="D101">
        <v>16</v>
      </c>
      <c r="E101" s="12">
        <f aca="true" t="shared" si="1" ref="E101:E112">+D101/C101</f>
        <v>16</v>
      </c>
      <c r="F101">
        <v>16</v>
      </c>
      <c r="G101">
        <v>0</v>
      </c>
      <c r="H101">
        <v>0</v>
      </c>
    </row>
    <row r="102" spans="1:5" ht="12">
      <c r="A102" t="s">
        <v>144</v>
      </c>
      <c r="E102" s="12" t="e">
        <f t="shared" si="1"/>
        <v>#DIV/0!</v>
      </c>
    </row>
    <row r="103" spans="1:8" ht="12">
      <c r="A103" t="s">
        <v>136</v>
      </c>
      <c r="C103">
        <v>1</v>
      </c>
      <c r="D103">
        <v>19</v>
      </c>
      <c r="E103" s="12">
        <f t="shared" si="1"/>
        <v>19</v>
      </c>
      <c r="F103">
        <v>19</v>
      </c>
      <c r="G103">
        <v>0</v>
      </c>
      <c r="H103">
        <v>0</v>
      </c>
    </row>
    <row r="104" spans="1:5" ht="12">
      <c r="A104" t="s">
        <v>145</v>
      </c>
      <c r="E104" s="12" t="e">
        <f t="shared" si="1"/>
        <v>#DIV/0!</v>
      </c>
    </row>
    <row r="105" spans="1:5" ht="12">
      <c r="A105" t="s">
        <v>137</v>
      </c>
      <c r="E105" s="12" t="e">
        <f t="shared" si="1"/>
        <v>#DIV/0!</v>
      </c>
    </row>
    <row r="106" spans="1:5" ht="12">
      <c r="A106" t="s">
        <v>138</v>
      </c>
      <c r="E106" s="12" t="e">
        <f t="shared" si="1"/>
        <v>#DIV/0!</v>
      </c>
    </row>
    <row r="107" spans="1:5" ht="12">
      <c r="A107" t="s">
        <v>139</v>
      </c>
      <c r="E107" s="12" t="e">
        <f t="shared" si="1"/>
        <v>#DIV/0!</v>
      </c>
    </row>
    <row r="108" spans="1:5" ht="12">
      <c r="A108" t="s">
        <v>140</v>
      </c>
      <c r="E108" s="12" t="e">
        <f t="shared" si="1"/>
        <v>#DIV/0!</v>
      </c>
    </row>
    <row r="109" spans="1:8" ht="12">
      <c r="A109" t="s">
        <v>141</v>
      </c>
      <c r="C109">
        <v>1</v>
      </c>
      <c r="D109">
        <v>8</v>
      </c>
      <c r="E109" s="12">
        <f t="shared" si="1"/>
        <v>8</v>
      </c>
      <c r="F109">
        <v>8</v>
      </c>
      <c r="G109">
        <v>0</v>
      </c>
      <c r="H109">
        <v>0</v>
      </c>
    </row>
    <row r="110" spans="1:5" ht="12">
      <c r="A110" t="s">
        <v>143</v>
      </c>
      <c r="E110" s="12" t="e">
        <f t="shared" si="1"/>
        <v>#DIV/0!</v>
      </c>
    </row>
    <row r="111" spans="1:5" ht="12">
      <c r="A111" t="s">
        <v>146</v>
      </c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133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C122">
        <v>11</v>
      </c>
      <c r="D122">
        <v>3</v>
      </c>
      <c r="E122" s="12">
        <f t="shared" si="2"/>
        <v>27.27272727272727</v>
      </c>
      <c r="F122">
        <v>43</v>
      </c>
      <c r="G122">
        <v>0</v>
      </c>
      <c r="H122">
        <v>19</v>
      </c>
      <c r="I122">
        <v>0</v>
      </c>
      <c r="J122" s="8">
        <f t="shared" si="3"/>
        <v>0</v>
      </c>
      <c r="K122" s="12">
        <f t="shared" si="4"/>
        <v>0</v>
      </c>
      <c r="L122" s="12">
        <f t="shared" si="5"/>
        <v>3.909090909090909</v>
      </c>
      <c r="M122" s="12">
        <f t="shared" si="6"/>
        <v>43.371212121212125</v>
      </c>
      <c r="N122">
        <v>0</v>
      </c>
      <c r="O122">
        <v>1</v>
      </c>
      <c r="R122">
        <f t="shared" si="7"/>
        <v>-0.13636363636363652</v>
      </c>
      <c r="S122" s="2">
        <f t="shared" si="8"/>
        <v>0</v>
      </c>
      <c r="T122" s="6">
        <f t="shared" si="9"/>
        <v>0.2272727272727273</v>
      </c>
      <c r="U122" s="2">
        <f t="shared" si="10"/>
        <v>0.2272727272727273</v>
      </c>
      <c r="V122">
        <f t="shared" si="11"/>
        <v>0</v>
      </c>
      <c r="W122" s="2">
        <f t="shared" si="12"/>
        <v>0</v>
      </c>
      <c r="X122">
        <f t="shared" si="13"/>
        <v>2.375</v>
      </c>
      <c r="Y122" s="2">
        <f t="shared" si="14"/>
        <v>2.375</v>
      </c>
    </row>
    <row r="123" spans="1:25" ht="12">
      <c r="A123" t="s">
        <v>147</v>
      </c>
      <c r="C123">
        <v>0</v>
      </c>
      <c r="D123">
        <v>0</v>
      </c>
      <c r="E123" s="12" t="e">
        <f t="shared" si="2"/>
        <v>#DIV/0!</v>
      </c>
      <c r="F123">
        <v>0</v>
      </c>
      <c r="G123">
        <v>0</v>
      </c>
      <c r="H123">
        <v>0</v>
      </c>
      <c r="I123">
        <v>0</v>
      </c>
      <c r="J123" s="8" t="e">
        <f t="shared" si="3"/>
        <v>#DIV/0!</v>
      </c>
      <c r="K123" s="12" t="e">
        <f t="shared" si="4"/>
        <v>#DIV/0!</v>
      </c>
      <c r="L123" s="12" t="e">
        <f t="shared" si="5"/>
        <v>#DIV/0!</v>
      </c>
      <c r="M123" s="12" t="e">
        <f t="shared" si="6"/>
        <v>#DIV/0!</v>
      </c>
      <c r="N123">
        <v>0</v>
      </c>
      <c r="O123">
        <v>1</v>
      </c>
      <c r="R123" t="e">
        <f t="shared" si="7"/>
        <v>#DIV/0!</v>
      </c>
      <c r="S123" s="2" t="e">
        <f t="shared" si="8"/>
        <v>#DIV/0!</v>
      </c>
      <c r="T123" s="6" t="e">
        <f t="shared" si="9"/>
        <v>#DIV/0!</v>
      </c>
      <c r="U123" s="2" t="e">
        <f t="shared" si="10"/>
        <v>#DIV/0!</v>
      </c>
      <c r="V123" t="e">
        <f t="shared" si="11"/>
        <v>#DIV/0!</v>
      </c>
      <c r="W123" s="2" t="e">
        <f t="shared" si="12"/>
        <v>#DIV/0!</v>
      </c>
      <c r="X123" t="e">
        <f t="shared" si="13"/>
        <v>#DIV/0!</v>
      </c>
      <c r="Y123" s="2" t="e">
        <f t="shared" si="14"/>
        <v>#DIV/0!</v>
      </c>
    </row>
    <row r="124" spans="1:25" ht="12">
      <c r="A124" t="s">
        <v>142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143</v>
      </c>
      <c r="C125">
        <v>1</v>
      </c>
      <c r="D125">
        <v>0</v>
      </c>
      <c r="E125" s="12">
        <f t="shared" si="2"/>
        <v>0</v>
      </c>
      <c r="F125">
        <v>0</v>
      </c>
      <c r="G125">
        <v>0</v>
      </c>
      <c r="H125">
        <v>0</v>
      </c>
      <c r="I125">
        <v>0</v>
      </c>
      <c r="J125" s="8">
        <f t="shared" si="3"/>
        <v>0</v>
      </c>
      <c r="K125" s="12">
        <f t="shared" si="4"/>
        <v>0</v>
      </c>
      <c r="L125" s="12">
        <f t="shared" si="5"/>
        <v>0</v>
      </c>
      <c r="M125" s="12">
        <f t="shared" si="6"/>
        <v>39.583333333333336</v>
      </c>
      <c r="N125">
        <v>0</v>
      </c>
      <c r="O125">
        <v>0</v>
      </c>
      <c r="R125">
        <f t="shared" si="7"/>
        <v>-1.5</v>
      </c>
      <c r="S125" s="2">
        <f t="shared" si="8"/>
        <v>0</v>
      </c>
      <c r="T125" s="6">
        <f t="shared" si="9"/>
        <v>-0.75</v>
      </c>
      <c r="U125" s="2">
        <f t="shared" si="10"/>
        <v>0</v>
      </c>
      <c r="V125">
        <f t="shared" si="11"/>
        <v>0</v>
      </c>
      <c r="W125" s="2">
        <f t="shared" si="12"/>
        <v>0</v>
      </c>
      <c r="X125">
        <f t="shared" si="13"/>
        <v>2.375</v>
      </c>
      <c r="Y125" s="2">
        <f t="shared" si="14"/>
        <v>2.375</v>
      </c>
    </row>
    <row r="126" spans="5:25" ht="12"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8" spans="1:9" ht="12">
      <c r="A128" s="2" t="s">
        <v>71</v>
      </c>
      <c r="C128" s="3" t="s">
        <v>72</v>
      </c>
      <c r="D128" s="3" t="s">
        <v>73</v>
      </c>
      <c r="E128" s="3" t="s">
        <v>74</v>
      </c>
      <c r="F128" s="3" t="s">
        <v>53</v>
      </c>
      <c r="G128" s="3" t="s">
        <v>64</v>
      </c>
      <c r="H128" s="3" t="s">
        <v>55</v>
      </c>
      <c r="I128" s="3" t="s">
        <v>84</v>
      </c>
    </row>
    <row r="129" spans="1:7" ht="12">
      <c r="A129" t="s">
        <v>148</v>
      </c>
      <c r="C129">
        <v>2</v>
      </c>
      <c r="D129">
        <v>1</v>
      </c>
      <c r="E129">
        <v>29</v>
      </c>
      <c r="F129" s="12">
        <f aca="true" t="shared" si="15" ref="F129:F134">+E129/C129</f>
        <v>14.5</v>
      </c>
      <c r="G129">
        <v>29</v>
      </c>
    </row>
    <row r="130" spans="1:7" ht="12">
      <c r="A130" t="s">
        <v>136</v>
      </c>
      <c r="C130">
        <v>2</v>
      </c>
      <c r="E130">
        <v>20</v>
      </c>
      <c r="F130" s="12">
        <f t="shared" si="15"/>
        <v>10</v>
      </c>
      <c r="G130">
        <v>10</v>
      </c>
    </row>
    <row r="131" spans="1:7" ht="12">
      <c r="A131" t="s">
        <v>140</v>
      </c>
      <c r="C131">
        <v>1</v>
      </c>
      <c r="E131">
        <v>17</v>
      </c>
      <c r="F131" s="12">
        <f t="shared" si="15"/>
        <v>17</v>
      </c>
      <c r="G131">
        <v>17</v>
      </c>
    </row>
    <row r="132" spans="1:6" ht="12">
      <c r="A132" t="s">
        <v>143</v>
      </c>
      <c r="D132">
        <v>2</v>
      </c>
      <c r="F132" s="12" t="e">
        <f t="shared" si="15"/>
        <v>#DIV/0!</v>
      </c>
    </row>
    <row r="133" ht="12">
      <c r="F133" s="12" t="e">
        <f t="shared" si="15"/>
        <v>#DIV/0!</v>
      </c>
    </row>
    <row r="134" ht="12">
      <c r="F134" s="12" t="e">
        <f t="shared" si="15"/>
        <v>#DIV/0!</v>
      </c>
    </row>
    <row r="138" spans="1:8" ht="12">
      <c r="A138" s="2" t="s">
        <v>30</v>
      </c>
      <c r="C138" s="3" t="s">
        <v>72</v>
      </c>
      <c r="D138" s="3" t="s">
        <v>74</v>
      </c>
      <c r="E138" s="3" t="s">
        <v>53</v>
      </c>
      <c r="F138" s="3" t="s">
        <v>64</v>
      </c>
      <c r="G138" s="3" t="s">
        <v>55</v>
      </c>
      <c r="H138" s="3" t="s">
        <v>84</v>
      </c>
    </row>
    <row r="139" spans="1:5" ht="12">
      <c r="A139" t="s">
        <v>149</v>
      </c>
      <c r="E139" s="12" t="e">
        <f aca="true" t="shared" si="16" ref="E139:E144">+D139/C139</f>
        <v>#DIV/0!</v>
      </c>
    </row>
    <row r="140" spans="1:5" ht="12">
      <c r="A140" t="s">
        <v>148</v>
      </c>
      <c r="E140" s="12" t="e">
        <f t="shared" si="16"/>
        <v>#DIV/0!</v>
      </c>
    </row>
    <row r="141" spans="1:5" ht="12">
      <c r="A141" t="s">
        <v>136</v>
      </c>
      <c r="E141" s="12" t="e">
        <f t="shared" si="16"/>
        <v>#DIV/0!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151</v>
      </c>
      <c r="E143" s="12" t="e">
        <f t="shared" si="16"/>
        <v>#DIV/0!</v>
      </c>
    </row>
    <row r="144" spans="1:5" ht="12">
      <c r="A144" t="s">
        <v>152</v>
      </c>
      <c r="E144" s="12" t="e">
        <f t="shared" si="16"/>
        <v>#DIV/0!</v>
      </c>
    </row>
    <row r="145" spans="1:5" ht="12">
      <c r="A145" t="s">
        <v>138</v>
      </c>
      <c r="E145" s="12" t="e">
        <f aca="true" t="shared" si="17" ref="E145:E151">+D145/C145</f>
        <v>#DIV/0!</v>
      </c>
    </row>
    <row r="146" spans="1:6" ht="12">
      <c r="A146" t="s">
        <v>143</v>
      </c>
      <c r="C146">
        <v>1</v>
      </c>
      <c r="D146">
        <v>16</v>
      </c>
      <c r="E146" s="12">
        <f t="shared" si="17"/>
        <v>16</v>
      </c>
      <c r="F146">
        <v>16</v>
      </c>
    </row>
    <row r="147" spans="1:5" ht="12">
      <c r="A147" t="s">
        <v>146</v>
      </c>
      <c r="E147" s="12" t="e">
        <f t="shared" si="17"/>
        <v>#DIV/0!</v>
      </c>
    </row>
    <row r="148" spans="1:5" ht="12">
      <c r="A148" t="s">
        <v>153</v>
      </c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3" spans="1:8" ht="12">
      <c r="A153" s="2" t="s">
        <v>75</v>
      </c>
      <c r="C153" s="3" t="s">
        <v>72</v>
      </c>
      <c r="D153" s="3" t="s">
        <v>74</v>
      </c>
      <c r="E153" s="3" t="s">
        <v>53</v>
      </c>
      <c r="F153" s="3" t="s">
        <v>64</v>
      </c>
      <c r="G153" s="3" t="s">
        <v>76</v>
      </c>
      <c r="H153" s="3" t="s">
        <v>84</v>
      </c>
    </row>
    <row r="154" spans="1:6" ht="12">
      <c r="A154" t="s">
        <v>154</v>
      </c>
      <c r="C154">
        <v>6</v>
      </c>
      <c r="D154">
        <f>40+55+37+45+42+50</f>
        <v>269</v>
      </c>
      <c r="E154" s="12"/>
      <c r="F154">
        <v>55</v>
      </c>
    </row>
    <row r="160" spans="9:21" ht="12">
      <c r="I160" s="5" t="s">
        <v>67</v>
      </c>
      <c r="L160" s="32" t="s">
        <v>99</v>
      </c>
      <c r="M160" s="32"/>
      <c r="N160" s="32" t="s">
        <v>100</v>
      </c>
      <c r="O160" s="32"/>
      <c r="P160" s="32" t="s">
        <v>101</v>
      </c>
      <c r="Q160" s="32"/>
      <c r="R160" s="32" t="s">
        <v>102</v>
      </c>
      <c r="S160" s="32"/>
      <c r="T160" s="32" t="s">
        <v>103</v>
      </c>
      <c r="U160" s="32"/>
    </row>
    <row r="161" spans="1:21" ht="12">
      <c r="A161" s="4" t="s">
        <v>83</v>
      </c>
      <c r="C161" s="3" t="s">
        <v>77</v>
      </c>
      <c r="D161" s="3" t="s">
        <v>78</v>
      </c>
      <c r="E161" s="3" t="s">
        <v>79</v>
      </c>
      <c r="F161" s="3" t="s">
        <v>80</v>
      </c>
      <c r="G161" s="3" t="s">
        <v>81</v>
      </c>
      <c r="H161" s="3" t="s">
        <v>82</v>
      </c>
      <c r="I161" s="3" t="s">
        <v>86</v>
      </c>
      <c r="J161" s="3" t="s">
        <v>64</v>
      </c>
      <c r="L161" s="3" t="s">
        <v>81</v>
      </c>
      <c r="M161" s="3" t="s">
        <v>82</v>
      </c>
      <c r="N161" s="3" t="s">
        <v>81</v>
      </c>
      <c r="O161" s="3" t="s">
        <v>82</v>
      </c>
      <c r="P161" s="3" t="s">
        <v>81</v>
      </c>
      <c r="Q161" s="3" t="s">
        <v>82</v>
      </c>
      <c r="R161" s="3" t="s">
        <v>81</v>
      </c>
      <c r="S161" s="3" t="s">
        <v>82</v>
      </c>
      <c r="T161" s="3" t="s">
        <v>81</v>
      </c>
      <c r="U161" s="3" t="s">
        <v>82</v>
      </c>
    </row>
    <row r="162" spans="1:18" ht="12">
      <c r="A162" t="s">
        <v>155</v>
      </c>
      <c r="C162">
        <v>3</v>
      </c>
      <c r="E162">
        <v>1</v>
      </c>
      <c r="F162">
        <v>1</v>
      </c>
      <c r="G162">
        <v>3</v>
      </c>
      <c r="H162">
        <v>1</v>
      </c>
      <c r="I162" s="12">
        <f aca="true" t="shared" si="18" ref="I162:I169">+H162/G162*100</f>
        <v>33.33333333333333</v>
      </c>
      <c r="J162">
        <v>33</v>
      </c>
      <c r="N162">
        <v>1</v>
      </c>
      <c r="P162">
        <v>1</v>
      </c>
      <c r="Q162">
        <v>1</v>
      </c>
      <c r="R162">
        <v>1</v>
      </c>
    </row>
    <row r="163" spans="1:9" ht="12">
      <c r="A163" t="s">
        <v>154</v>
      </c>
      <c r="I163" s="12" t="e">
        <f t="shared" si="18"/>
        <v>#DIV/0!</v>
      </c>
    </row>
    <row r="164" ht="12">
      <c r="I164" s="12" t="e">
        <f t="shared" si="18"/>
        <v>#DIV/0!</v>
      </c>
    </row>
    <row r="165" ht="12">
      <c r="I165" s="12" t="e">
        <f t="shared" si="18"/>
        <v>#DIV/0!</v>
      </c>
    </row>
    <row r="166" ht="12">
      <c r="I166" s="12" t="e">
        <f t="shared" si="18"/>
        <v>#DIV/0!</v>
      </c>
    </row>
    <row r="167" ht="12"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2" spans="1:8" ht="12">
      <c r="A172" s="2" t="s">
        <v>85</v>
      </c>
      <c r="C172" s="3" t="s">
        <v>72</v>
      </c>
      <c r="D172" s="3" t="s">
        <v>74</v>
      </c>
      <c r="E172" s="3" t="s">
        <v>53</v>
      </c>
      <c r="F172" s="3" t="s">
        <v>64</v>
      </c>
      <c r="G172" s="3" t="s">
        <v>55</v>
      </c>
      <c r="H172" s="3" t="s">
        <v>84</v>
      </c>
    </row>
    <row r="173" spans="1:5" ht="12">
      <c r="A173" t="s">
        <v>156</v>
      </c>
      <c r="E173" s="12" t="e">
        <f>+D173/C173</f>
        <v>#DIV/0!</v>
      </c>
    </row>
    <row r="174" spans="1:5" ht="12">
      <c r="A174" t="s">
        <v>149</v>
      </c>
      <c r="E174" s="12" t="e">
        <f aca="true" t="shared" si="19" ref="E174:E180">+D174/C174</f>
        <v>#DIV/0!</v>
      </c>
    </row>
    <row r="175" spans="1:5" ht="12">
      <c r="A175" t="s">
        <v>157</v>
      </c>
      <c r="E175" s="12" t="e">
        <f t="shared" si="19"/>
        <v>#DIV/0!</v>
      </c>
    </row>
    <row r="176" spans="1:5" ht="12">
      <c r="A176" t="s">
        <v>158</v>
      </c>
      <c r="E176" s="12" t="e">
        <f t="shared" si="19"/>
        <v>#DIV/0!</v>
      </c>
    </row>
    <row r="177" spans="1:5" ht="12">
      <c r="A177" t="s">
        <v>159</v>
      </c>
      <c r="E177" s="12" t="e">
        <f t="shared" si="19"/>
        <v>#DIV/0!</v>
      </c>
    </row>
    <row r="178" spans="1:5" ht="12">
      <c r="A178" t="s">
        <v>160</v>
      </c>
      <c r="E178" s="12" t="e">
        <f t="shared" si="19"/>
        <v>#DIV/0!</v>
      </c>
    </row>
    <row r="179" spans="1:5" ht="12">
      <c r="A179" t="s">
        <v>161</v>
      </c>
      <c r="E179" s="12" t="e">
        <f t="shared" si="19"/>
        <v>#DIV/0!</v>
      </c>
    </row>
    <row r="180" spans="1:6" ht="12">
      <c r="A180" t="s">
        <v>147</v>
      </c>
      <c r="C180">
        <v>3</v>
      </c>
      <c r="D180">
        <f>4+34+40</f>
        <v>78</v>
      </c>
      <c r="E180" s="12">
        <f t="shared" si="19"/>
        <v>26</v>
      </c>
      <c r="F180">
        <v>40</v>
      </c>
    </row>
    <row r="181" spans="1:5" ht="12">
      <c r="A181" t="s">
        <v>153</v>
      </c>
      <c r="E181" s="12" t="e">
        <f>+D181/C181</f>
        <v>#DIV/0!</v>
      </c>
    </row>
    <row r="182" spans="1:6" ht="12">
      <c r="A182" t="s">
        <v>162</v>
      </c>
      <c r="C182">
        <v>1</v>
      </c>
      <c r="D182">
        <v>0</v>
      </c>
      <c r="E182" s="12">
        <f>+D182/C182</f>
        <v>0</v>
      </c>
      <c r="F182">
        <v>0</v>
      </c>
    </row>
    <row r="183" spans="1:5" ht="12">
      <c r="A183" s="1"/>
      <c r="E183" s="12" t="e">
        <f>+D183/C183</f>
        <v>#DIV/0!</v>
      </c>
    </row>
    <row r="184" spans="1:5" ht="12">
      <c r="A184" s="1"/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/>
    </row>
    <row r="187" spans="1:4" ht="12">
      <c r="A187" s="2" t="s">
        <v>98</v>
      </c>
      <c r="C187" s="3" t="s">
        <v>72</v>
      </c>
      <c r="D187" s="3" t="s">
        <v>74</v>
      </c>
    </row>
    <row r="188" spans="1:4" ht="12">
      <c r="A188" s="20" t="s">
        <v>156</v>
      </c>
      <c r="C188" s="3">
        <v>0.5</v>
      </c>
      <c r="D188" s="3">
        <v>3.5</v>
      </c>
    </row>
    <row r="189" spans="1:4" ht="12">
      <c r="A189" s="20" t="s">
        <v>157</v>
      </c>
      <c r="C189" s="3"/>
      <c r="D189" s="3"/>
    </row>
    <row r="190" spans="1:4" ht="12">
      <c r="A190" s="20" t="s">
        <v>158</v>
      </c>
      <c r="C190" s="3"/>
      <c r="D190" s="3"/>
    </row>
    <row r="191" spans="1:4" ht="12">
      <c r="A191" s="20" t="s">
        <v>159</v>
      </c>
      <c r="C191" s="3"/>
      <c r="D191" s="3"/>
    </row>
    <row r="192" spans="1:4" ht="12">
      <c r="A192" s="20" t="s">
        <v>163</v>
      </c>
      <c r="C192" s="3"/>
      <c r="D192" s="3"/>
    </row>
    <row r="193" spans="1:4" ht="12">
      <c r="A193" s="20" t="s">
        <v>164</v>
      </c>
      <c r="C193" s="3">
        <v>0.5</v>
      </c>
      <c r="D193" s="3">
        <v>3.5</v>
      </c>
    </row>
    <row r="194" spans="1:4" ht="12">
      <c r="A194" s="20" t="s">
        <v>161</v>
      </c>
      <c r="C194" s="3"/>
      <c r="D194" s="3"/>
    </row>
    <row r="195" spans="1:4" ht="12">
      <c r="A195" s="20" t="s">
        <v>165</v>
      </c>
      <c r="C195" s="3"/>
      <c r="D195" s="3"/>
    </row>
    <row r="196" spans="1:4" ht="12">
      <c r="A196" s="20" t="s">
        <v>147</v>
      </c>
      <c r="C196" s="3"/>
      <c r="D196" s="3"/>
    </row>
    <row r="197" spans="1:4" ht="12">
      <c r="A197" s="20" t="s">
        <v>166</v>
      </c>
      <c r="C197" s="3"/>
      <c r="D197" s="3"/>
    </row>
    <row r="198" spans="1:4" ht="12">
      <c r="A198" s="20"/>
      <c r="C198" s="3"/>
      <c r="D198" s="3"/>
    </row>
    <row r="199" spans="1:4" ht="12">
      <c r="A199" s="20"/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"/>
      <c r="C202" s="3"/>
      <c r="D202" s="3"/>
    </row>
    <row r="203" spans="1:4" ht="12">
      <c r="A203" s="2"/>
      <c r="C203" s="3"/>
      <c r="D203" s="3"/>
    </row>
    <row r="204" spans="1:4" ht="12">
      <c r="A204" s="2"/>
      <c r="C204" s="3"/>
      <c r="D204" s="3"/>
    </row>
    <row r="205" spans="1:7" ht="12">
      <c r="A205" s="2" t="s">
        <v>94</v>
      </c>
      <c r="C205" s="3" t="s">
        <v>72</v>
      </c>
      <c r="D205" s="3" t="s">
        <v>74</v>
      </c>
      <c r="E205" s="3" t="s">
        <v>64</v>
      </c>
      <c r="F205" s="3" t="s">
        <v>55</v>
      </c>
      <c r="G205" s="5" t="s">
        <v>84</v>
      </c>
    </row>
    <row r="206" ht="12">
      <c r="A206" t="s">
        <v>167</v>
      </c>
    </row>
    <row r="207" ht="12">
      <c r="A207" t="s">
        <v>156</v>
      </c>
    </row>
    <row r="208" ht="12">
      <c r="A208" t="s">
        <v>149</v>
      </c>
    </row>
    <row r="209" ht="12">
      <c r="A209" t="s">
        <v>157</v>
      </c>
    </row>
    <row r="210" ht="12">
      <c r="A210" t="s">
        <v>133</v>
      </c>
    </row>
    <row r="211" ht="12">
      <c r="A211" t="s">
        <v>134</v>
      </c>
    </row>
    <row r="212" ht="12">
      <c r="A212" t="s">
        <v>158</v>
      </c>
    </row>
    <row r="213" ht="12">
      <c r="A213" t="s">
        <v>168</v>
      </c>
    </row>
    <row r="214" ht="12">
      <c r="A214" t="s">
        <v>135</v>
      </c>
    </row>
    <row r="215" ht="12">
      <c r="A215" t="s">
        <v>159</v>
      </c>
    </row>
    <row r="216" ht="12">
      <c r="A216" t="s">
        <v>169</v>
      </c>
    </row>
    <row r="217" ht="12">
      <c r="A217" t="s">
        <v>144</v>
      </c>
    </row>
    <row r="218" ht="12">
      <c r="A218" t="s">
        <v>148</v>
      </c>
    </row>
    <row r="219" ht="12">
      <c r="A219" t="s">
        <v>163</v>
      </c>
    </row>
    <row r="220" ht="12">
      <c r="A220" t="s">
        <v>160</v>
      </c>
    </row>
    <row r="221" ht="12">
      <c r="A221" t="s">
        <v>136</v>
      </c>
    </row>
    <row r="222" ht="12">
      <c r="A222" t="s">
        <v>170</v>
      </c>
    </row>
    <row r="223" ht="12">
      <c r="A223" t="s">
        <v>154</v>
      </c>
    </row>
    <row r="224" ht="12">
      <c r="A224" t="s">
        <v>150</v>
      </c>
    </row>
    <row r="225" ht="12">
      <c r="A225" t="s">
        <v>171</v>
      </c>
    </row>
    <row r="226" ht="12">
      <c r="A226" t="s">
        <v>164</v>
      </c>
    </row>
    <row r="227" spans="1:3" ht="12">
      <c r="A227" t="s">
        <v>145</v>
      </c>
      <c r="C227">
        <v>1</v>
      </c>
    </row>
    <row r="228" ht="12">
      <c r="A228" t="s">
        <v>137</v>
      </c>
    </row>
    <row r="229" ht="12">
      <c r="A229" t="s">
        <v>151</v>
      </c>
    </row>
    <row r="230" ht="12">
      <c r="A230" t="s">
        <v>152</v>
      </c>
    </row>
    <row r="231" ht="12">
      <c r="A231" t="s">
        <v>138</v>
      </c>
    </row>
    <row r="232" ht="12">
      <c r="A232" t="s">
        <v>139</v>
      </c>
    </row>
    <row r="233" ht="12">
      <c r="A233" t="s">
        <v>161</v>
      </c>
    </row>
    <row r="234" ht="12">
      <c r="A234" t="s">
        <v>172</v>
      </c>
    </row>
    <row r="235" spans="1:3" ht="12">
      <c r="A235" t="s">
        <v>140</v>
      </c>
      <c r="C235">
        <v>1</v>
      </c>
    </row>
    <row r="236" ht="12">
      <c r="A236" t="s">
        <v>165</v>
      </c>
    </row>
    <row r="237" ht="12">
      <c r="A237" t="s">
        <v>155</v>
      </c>
    </row>
    <row r="238" ht="12">
      <c r="A238" t="s">
        <v>147</v>
      </c>
    </row>
    <row r="239" ht="12">
      <c r="A239" t="s">
        <v>173</v>
      </c>
    </row>
    <row r="240" ht="12">
      <c r="A240" t="s">
        <v>141</v>
      </c>
    </row>
    <row r="241" ht="12">
      <c r="A241" t="s">
        <v>174</v>
      </c>
    </row>
    <row r="242" ht="12">
      <c r="A242" t="s">
        <v>166</v>
      </c>
    </row>
    <row r="243" ht="12">
      <c r="A243" t="s">
        <v>175</v>
      </c>
    </row>
    <row r="244" ht="12">
      <c r="A244" t="s">
        <v>176</v>
      </c>
    </row>
    <row r="245" ht="12">
      <c r="A245" t="s">
        <v>142</v>
      </c>
    </row>
    <row r="246" ht="12">
      <c r="A246" t="s">
        <v>177</v>
      </c>
    </row>
    <row r="247" ht="12">
      <c r="A247" t="s">
        <v>143</v>
      </c>
    </row>
    <row r="248" ht="12">
      <c r="A248" t="s">
        <v>178</v>
      </c>
    </row>
    <row r="249" ht="12">
      <c r="A249" t="s">
        <v>179</v>
      </c>
    </row>
    <row r="250" ht="12">
      <c r="A250" t="s">
        <v>146</v>
      </c>
    </row>
    <row r="251" ht="12">
      <c r="A251" t="s">
        <v>153</v>
      </c>
    </row>
    <row r="252" ht="12">
      <c r="A252" t="s">
        <v>162</v>
      </c>
    </row>
    <row r="253" ht="12">
      <c r="A253" t="s">
        <v>180</v>
      </c>
    </row>
  </sheetData>
  <sheetProtection/>
  <mergeCells count="5">
    <mergeCell ref="L160:M160"/>
    <mergeCell ref="N160:O160"/>
    <mergeCell ref="P160:Q160"/>
    <mergeCell ref="R160:S160"/>
    <mergeCell ref="T160:U160"/>
  </mergeCell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53"/>
  <sheetViews>
    <sheetView zoomScale="125" zoomScaleNormal="125" workbookViewId="0" topLeftCell="A1">
      <selection activeCell="A121" sqref="A121:G122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Chicago Bears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11</v>
      </c>
      <c r="H6" s="1" t="s">
        <v>29</v>
      </c>
      <c r="M6" s="2">
        <v>12</v>
      </c>
    </row>
    <row r="7" spans="1:13" ht="12">
      <c r="A7" s="16" t="s">
        <v>95</v>
      </c>
      <c r="D7" s="2">
        <v>1</v>
      </c>
      <c r="H7" s="16" t="s">
        <v>95</v>
      </c>
      <c r="M7" s="2">
        <v>7</v>
      </c>
    </row>
    <row r="8" spans="1:13" ht="12">
      <c r="A8" s="16" t="s">
        <v>96</v>
      </c>
      <c r="D8" s="2">
        <v>9</v>
      </c>
      <c r="H8" s="16" t="s">
        <v>96</v>
      </c>
      <c r="M8" s="2">
        <v>3</v>
      </c>
    </row>
    <row r="9" spans="1:13" ht="12">
      <c r="A9" s="16" t="s">
        <v>97</v>
      </c>
      <c r="D9" s="2">
        <v>1</v>
      </c>
      <c r="H9" s="16" t="s">
        <v>97</v>
      </c>
      <c r="M9" s="2">
        <v>2</v>
      </c>
    </row>
    <row r="10" spans="1:14" ht="12">
      <c r="A10" s="18" t="s">
        <v>108</v>
      </c>
      <c r="C10">
        <v>6</v>
      </c>
      <c r="D10" s="2">
        <v>13</v>
      </c>
      <c r="E10" s="19">
        <f>+C10/D10</f>
        <v>0.46153846153846156</v>
      </c>
      <c r="H10" s="18" t="s">
        <v>108</v>
      </c>
      <c r="L10">
        <v>1</v>
      </c>
      <c r="M10" s="2">
        <v>9</v>
      </c>
      <c r="N10" s="19">
        <f>+L10/M10</f>
        <v>0.1111111111111111</v>
      </c>
    </row>
    <row r="11" spans="1:14" ht="12">
      <c r="A11" s="18" t="s">
        <v>119</v>
      </c>
      <c r="C11">
        <v>0</v>
      </c>
      <c r="D11" s="2">
        <v>1</v>
      </c>
      <c r="E11" s="19"/>
      <c r="H11" s="18" t="s">
        <v>119</v>
      </c>
      <c r="L11">
        <v>0</v>
      </c>
      <c r="M11" s="2">
        <v>0</v>
      </c>
      <c r="N11" s="19"/>
    </row>
    <row r="13" spans="1:23" ht="12">
      <c r="A13" t="s">
        <v>1</v>
      </c>
      <c r="D13" s="2">
        <f>10+9+5+3+5+1+1</f>
        <v>34</v>
      </c>
      <c r="H13" t="s">
        <v>1</v>
      </c>
      <c r="M13" s="2">
        <f>11+8+1+2+3</f>
        <v>25</v>
      </c>
      <c r="V13">
        <f>+D13</f>
        <v>34</v>
      </c>
      <c r="W13">
        <f>+M13</f>
        <v>25</v>
      </c>
    </row>
    <row r="14" spans="1:23" ht="12">
      <c r="A14" t="s">
        <v>2</v>
      </c>
      <c r="D14" s="2">
        <f>-1+18+8+3+44-7+5</f>
        <v>70</v>
      </c>
      <c r="H14" t="s">
        <v>2</v>
      </c>
      <c r="M14" s="2">
        <f>37+71+4+14+8</f>
        <v>134</v>
      </c>
      <c r="P14" s="13"/>
      <c r="U14" s="13"/>
      <c r="V14">
        <f>+D18</f>
        <v>13</v>
      </c>
      <c r="W14">
        <f>+M18</f>
        <v>10</v>
      </c>
    </row>
    <row r="15" spans="1:23" ht="12">
      <c r="A15" s="1" t="s">
        <v>3</v>
      </c>
      <c r="D15" s="8">
        <f>+D14/D13</f>
        <v>2.0588235294117645</v>
      </c>
      <c r="H15" s="1" t="s">
        <v>3</v>
      </c>
      <c r="M15" s="8">
        <f>+M14/M13</f>
        <v>5.36</v>
      </c>
      <c r="V15">
        <f>+(D17-D18)/2</f>
        <v>5</v>
      </c>
      <c r="W15">
        <f>+(M17-M18)/2</f>
        <v>8.5</v>
      </c>
    </row>
    <row r="16" spans="22:23" ht="12">
      <c r="V16">
        <f>+D40/2</f>
        <v>2</v>
      </c>
      <c r="W16">
        <f>+M40/2</f>
        <v>2</v>
      </c>
    </row>
    <row r="17" spans="1:23" ht="12">
      <c r="A17" t="s">
        <v>4</v>
      </c>
      <c r="D17" s="2">
        <v>23</v>
      </c>
      <c r="H17" t="s">
        <v>4</v>
      </c>
      <c r="M17" s="2">
        <v>27</v>
      </c>
      <c r="V17">
        <f>+D44/2</f>
        <v>1</v>
      </c>
      <c r="W17">
        <f>+M44/2</f>
        <v>1</v>
      </c>
    </row>
    <row r="18" spans="1:23" ht="12">
      <c r="A18" t="s">
        <v>5</v>
      </c>
      <c r="D18" s="2">
        <v>13</v>
      </c>
      <c r="H18" t="s">
        <v>5</v>
      </c>
      <c r="M18" s="2">
        <v>10</v>
      </c>
      <c r="V18">
        <f>+D50/2</f>
        <v>2.5</v>
      </c>
      <c r="W18">
        <f>+M50/2</f>
        <v>1.5</v>
      </c>
    </row>
    <row r="19" spans="1:13" ht="12">
      <c r="A19" t="s">
        <v>6</v>
      </c>
      <c r="D19" s="8">
        <f>+D18/D17*100</f>
        <v>56.52173913043478</v>
      </c>
      <c r="H19" t="s">
        <v>6</v>
      </c>
      <c r="M19" s="8">
        <f>+M18/M17*100</f>
        <v>37.03703703703704</v>
      </c>
    </row>
    <row r="20" spans="1:24" ht="12">
      <c r="A20" t="s">
        <v>7</v>
      </c>
      <c r="D20" s="2">
        <v>174</v>
      </c>
      <c r="H20" t="s">
        <v>7</v>
      </c>
      <c r="M20" s="2">
        <f>68+25</f>
        <v>93</v>
      </c>
      <c r="V20">
        <f>SUM(V13:V18)</f>
        <v>57.5</v>
      </c>
      <c r="W20">
        <f>SUM(W13:W18)</f>
        <v>48</v>
      </c>
      <c r="X20">
        <f>+W20+V20</f>
        <v>105.5</v>
      </c>
    </row>
    <row r="21" spans="1:23" ht="12">
      <c r="A21" t="s">
        <v>8</v>
      </c>
      <c r="D21" s="2">
        <v>2</v>
      </c>
      <c r="H21" t="s">
        <v>8</v>
      </c>
      <c r="M21" s="2">
        <v>2</v>
      </c>
      <c r="V21">
        <f>+V20/X20</f>
        <v>0.5450236966824644</v>
      </c>
      <c r="W21">
        <f>+W20/X20</f>
        <v>0.4549763033175355</v>
      </c>
    </row>
    <row r="22" spans="1:23" ht="12">
      <c r="A22" t="s">
        <v>9</v>
      </c>
      <c r="D22" s="2">
        <v>26</v>
      </c>
      <c r="H22" t="s">
        <v>9</v>
      </c>
      <c r="M22" s="2">
        <v>18</v>
      </c>
      <c r="V22">
        <f>+V21*60</f>
        <v>32.70142180094786</v>
      </c>
      <c r="W22">
        <f>+W21*60</f>
        <v>27.29857819905213</v>
      </c>
    </row>
    <row r="23" spans="1:23" ht="12">
      <c r="A23" t="s">
        <v>10</v>
      </c>
      <c r="D23">
        <f>+D20-D22</f>
        <v>148</v>
      </c>
      <c r="H23" t="s">
        <v>10</v>
      </c>
      <c r="M23">
        <f>+M20-M22</f>
        <v>75</v>
      </c>
      <c r="V23">
        <f>+V22-INT(V22)</f>
        <v>0.7014218009478626</v>
      </c>
      <c r="W23">
        <f>+W22-INT(W22)</f>
        <v>0.29857819905213034</v>
      </c>
    </row>
    <row r="24" spans="1:23" ht="12">
      <c r="A24" t="s">
        <v>11</v>
      </c>
      <c r="D24" s="7">
        <f>+D23/(D17+D21)</f>
        <v>5.92</v>
      </c>
      <c r="H24" t="s">
        <v>11</v>
      </c>
      <c r="M24" s="7">
        <f>+M23/(M17+M21)</f>
        <v>2.586206896551724</v>
      </c>
      <c r="V24">
        <f>+V23*60</f>
        <v>42.08530805687175</v>
      </c>
      <c r="W24">
        <f>+W23*60</f>
        <v>17.91469194312782</v>
      </c>
    </row>
    <row r="25" spans="1:23" ht="12">
      <c r="A25" t="s">
        <v>12</v>
      </c>
      <c r="D25" s="7">
        <f>+D20/D18</f>
        <v>13.384615384615385</v>
      </c>
      <c r="H25" t="s">
        <v>12</v>
      </c>
      <c r="M25" s="7">
        <f>+M20/M18</f>
        <v>9.3</v>
      </c>
      <c r="Q25" s="11"/>
      <c r="U25">
        <v>0</v>
      </c>
      <c r="V25" s="11">
        <f>ROUND(V24,0)</f>
        <v>42</v>
      </c>
      <c r="W25">
        <f>ROUND(W24,0)</f>
        <v>18</v>
      </c>
    </row>
    <row r="26" spans="22:23" ht="12">
      <c r="V26">
        <f>INT(V22)</f>
        <v>32</v>
      </c>
      <c r="W26">
        <f>INT(W22)</f>
        <v>27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218</v>
      </c>
      <c r="H28" t="s">
        <v>14</v>
      </c>
      <c r="M28">
        <f>+M23+M14</f>
        <v>209</v>
      </c>
      <c r="Q28" s="14"/>
      <c r="R28" s="9"/>
      <c r="V28" s="14" t="str">
        <f>+V26&amp;V27&amp;V25</f>
        <v>32:42</v>
      </c>
      <c r="W28" s="9" t="str">
        <f>+W26&amp;W27&amp;W25</f>
        <v>27:18</v>
      </c>
    </row>
    <row r="29" spans="1:23" ht="12">
      <c r="A29" t="s">
        <v>15</v>
      </c>
      <c r="D29" s="7">
        <f>+D14/D28*100</f>
        <v>32.11009174311927</v>
      </c>
      <c r="H29" t="s">
        <v>15</v>
      </c>
      <c r="M29" s="7">
        <f>+M14/M28*100</f>
        <v>64.11483253588517</v>
      </c>
      <c r="Q29" s="9"/>
      <c r="R29" s="9"/>
      <c r="V29" s="9" t="str">
        <f>IF(V25&lt;10,+V26&amp;V27&amp;$U$25&amp;V25,+V26&amp;V27&amp;V25)</f>
        <v>32:42</v>
      </c>
      <c r="W29" s="9" t="str">
        <f>IF(W25&lt;10,+W26&amp;W27&amp;$U$25&amp;W25,+W26&amp;W27&amp;W25)</f>
        <v>27:18</v>
      </c>
    </row>
    <row r="30" spans="1:16" ht="12">
      <c r="A30" s="1" t="s">
        <v>90</v>
      </c>
      <c r="D30" s="7">
        <f>+D23/D28*100</f>
        <v>67.88990825688074</v>
      </c>
      <c r="H30" s="1" t="s">
        <v>90</v>
      </c>
      <c r="M30" s="7">
        <f>+M23/M28*100</f>
        <v>35.88516746411483</v>
      </c>
      <c r="P30" s="13"/>
    </row>
    <row r="32" spans="1:13" ht="12">
      <c r="A32" t="s">
        <v>16</v>
      </c>
      <c r="D32">
        <f>+D13+D17+D21</f>
        <v>59</v>
      </c>
      <c r="H32" t="s">
        <v>16</v>
      </c>
      <c r="M32">
        <f>+M13+M17+M21</f>
        <v>54</v>
      </c>
    </row>
    <row r="33" spans="1:13" ht="12">
      <c r="A33" t="s">
        <v>17</v>
      </c>
      <c r="D33" s="8">
        <f>+D28/D32</f>
        <v>3.694915254237288</v>
      </c>
      <c r="E33" s="7"/>
      <c r="F33" s="7"/>
      <c r="G33" s="7"/>
      <c r="H33" s="7" t="s">
        <v>17</v>
      </c>
      <c r="I33" s="7"/>
      <c r="J33" s="7"/>
      <c r="K33" s="7"/>
      <c r="L33" s="7"/>
      <c r="M33" s="8">
        <f>+M28/M32</f>
        <v>3.8703703703703702</v>
      </c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4</v>
      </c>
      <c r="H36" t="s">
        <v>19</v>
      </c>
      <c r="M36" s="2">
        <v>2</v>
      </c>
    </row>
    <row r="37" spans="1:13" ht="12">
      <c r="A37" t="s">
        <v>20</v>
      </c>
      <c r="D37" s="2">
        <f>1+62+1+1</f>
        <v>65</v>
      </c>
      <c r="H37" t="s">
        <v>20</v>
      </c>
      <c r="M37" s="2">
        <v>39</v>
      </c>
    </row>
    <row r="38" spans="1:13" ht="12">
      <c r="A38" t="s">
        <v>21</v>
      </c>
      <c r="D38" s="2">
        <v>1</v>
      </c>
      <c r="H38" t="s">
        <v>21</v>
      </c>
      <c r="M38" s="2">
        <v>0</v>
      </c>
    </row>
    <row r="40" spans="1:13" ht="12">
      <c r="A40" t="s">
        <v>22</v>
      </c>
      <c r="D40" s="2">
        <v>4</v>
      </c>
      <c r="H40" t="s">
        <v>22</v>
      </c>
      <c r="M40" s="2">
        <v>4</v>
      </c>
    </row>
    <row r="41" spans="1:13" ht="12">
      <c r="A41" t="s">
        <v>23</v>
      </c>
      <c r="D41" s="2">
        <f>54+37+52+45</f>
        <v>188</v>
      </c>
      <c r="H41" t="s">
        <v>23</v>
      </c>
      <c r="M41" s="2">
        <f>25+0+40+34</f>
        <v>99</v>
      </c>
    </row>
    <row r="42" spans="1:13" ht="12">
      <c r="A42" t="s">
        <v>24</v>
      </c>
      <c r="D42" s="8">
        <f>+D41/D40</f>
        <v>47</v>
      </c>
      <c r="E42" s="7"/>
      <c r="F42" s="7"/>
      <c r="G42" s="7"/>
      <c r="H42" s="7" t="s">
        <v>24</v>
      </c>
      <c r="I42" s="7"/>
      <c r="J42" s="7"/>
      <c r="K42" s="7"/>
      <c r="L42" s="7"/>
      <c r="M42" s="8">
        <f>+M41/M40</f>
        <v>24.75</v>
      </c>
    </row>
    <row r="44" spans="1:13" ht="12">
      <c r="A44" t="s">
        <v>25</v>
      </c>
      <c r="D44" s="2">
        <v>2</v>
      </c>
      <c r="H44" t="s">
        <v>25</v>
      </c>
      <c r="M44" s="2">
        <v>2</v>
      </c>
    </row>
    <row r="45" spans="1:13" ht="12">
      <c r="A45" t="s">
        <v>26</v>
      </c>
      <c r="D45" s="2">
        <v>5</v>
      </c>
      <c r="H45" t="s">
        <v>26</v>
      </c>
      <c r="M45" s="2">
        <v>50</v>
      </c>
    </row>
    <row r="46" spans="1:13" ht="12">
      <c r="A46" t="s">
        <v>27</v>
      </c>
      <c r="D46" s="8">
        <f>+D45/D44</f>
        <v>2.5</v>
      </c>
      <c r="H46" t="s">
        <v>27</v>
      </c>
      <c r="M46" s="8">
        <f>+M45/M44</f>
        <v>25</v>
      </c>
    </row>
    <row r="47" spans="1:13" ht="12">
      <c r="A47" s="18" t="s">
        <v>131</v>
      </c>
      <c r="D47" s="2">
        <v>0</v>
      </c>
      <c r="H47" s="18" t="s">
        <v>131</v>
      </c>
      <c r="M47" s="2">
        <v>1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5</v>
      </c>
      <c r="H50" t="s">
        <v>30</v>
      </c>
      <c r="M50" s="2">
        <v>3</v>
      </c>
    </row>
    <row r="51" spans="1:13" ht="12">
      <c r="A51" t="s">
        <v>26</v>
      </c>
      <c r="D51" s="2">
        <f>8+2+28+20+9</f>
        <v>67</v>
      </c>
      <c r="H51" t="s">
        <v>26</v>
      </c>
      <c r="M51" s="2">
        <f>15+12+14</f>
        <v>41</v>
      </c>
    </row>
    <row r="52" spans="1:13" ht="12">
      <c r="A52" t="s">
        <v>27</v>
      </c>
      <c r="D52" s="8">
        <f>+D51/D50</f>
        <v>13.4</v>
      </c>
      <c r="H52" t="s">
        <v>27</v>
      </c>
      <c r="M52" s="8">
        <f>+M51/M50</f>
        <v>13.666666666666666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4</v>
      </c>
      <c r="G55" t="str">
        <f>IF(D55-D56=M50,"ok","err")</f>
        <v>ok</v>
      </c>
      <c r="H55" t="s">
        <v>127</v>
      </c>
      <c r="K55" s="2"/>
      <c r="M55" s="2">
        <v>5</v>
      </c>
      <c r="P55" s="2"/>
    </row>
    <row r="56" spans="1:16" ht="12">
      <c r="A56" t="s">
        <v>128</v>
      </c>
      <c r="D56" s="2">
        <v>1</v>
      </c>
      <c r="H56" t="s">
        <v>128</v>
      </c>
      <c r="K56" s="2"/>
      <c r="M56" s="2">
        <v>0</v>
      </c>
      <c r="P56" s="2"/>
    </row>
    <row r="57" spans="1:13" ht="12">
      <c r="A57" t="s">
        <v>129</v>
      </c>
      <c r="D57">
        <f>+D56/D55</f>
        <v>0.25</v>
      </c>
      <c r="H57" t="s">
        <v>129</v>
      </c>
      <c r="M57">
        <f>+M56/M55</f>
        <v>0</v>
      </c>
    </row>
    <row r="59" spans="1:13" ht="12">
      <c r="A59" t="s">
        <v>31</v>
      </c>
      <c r="D59" s="2">
        <v>10</v>
      </c>
      <c r="H59" t="s">
        <v>31</v>
      </c>
      <c r="M59" s="2">
        <v>5</v>
      </c>
    </row>
    <row r="60" spans="1:13" ht="12">
      <c r="A60" t="s">
        <v>32</v>
      </c>
      <c r="D60" s="2">
        <v>95</v>
      </c>
      <c r="H60" t="s">
        <v>32</v>
      </c>
      <c r="M60" s="2">
        <v>44</v>
      </c>
    </row>
    <row r="62" spans="1:13" ht="12">
      <c r="A62" t="s">
        <v>33</v>
      </c>
      <c r="D62" s="2">
        <v>2</v>
      </c>
      <c r="H62" t="s">
        <v>33</v>
      </c>
      <c r="M62" s="2">
        <v>2</v>
      </c>
    </row>
    <row r="63" spans="1:13" ht="12">
      <c r="A63" t="s">
        <v>34</v>
      </c>
      <c r="D63" s="2">
        <v>1</v>
      </c>
      <c r="H63" t="s">
        <v>34</v>
      </c>
      <c r="M63" s="2">
        <v>0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2</v>
      </c>
      <c r="H65" t="s">
        <v>36</v>
      </c>
      <c r="M65" s="2">
        <v>1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16</v>
      </c>
      <c r="H68" t="s">
        <v>38</v>
      </c>
      <c r="M68" s="2">
        <v>16</v>
      </c>
      <c r="N68" t="str">
        <f>IF(K68=K69*6+K75*2+K76*3+K73,"ok","ERR")</f>
        <v>ok</v>
      </c>
      <c r="P68" t="str">
        <f>IF(M68=M69*6+M75*2+M76*3+M73,"ok","ERR")</f>
        <v>ok</v>
      </c>
    </row>
    <row r="69" spans="1:13" ht="12">
      <c r="A69" t="s">
        <v>39</v>
      </c>
      <c r="D69" s="2">
        <v>2</v>
      </c>
      <c r="H69" t="s">
        <v>39</v>
      </c>
      <c r="M69" s="2">
        <v>1</v>
      </c>
    </row>
    <row r="70" spans="1:13" ht="12">
      <c r="A70" t="s">
        <v>40</v>
      </c>
      <c r="D70" s="2">
        <v>0</v>
      </c>
      <c r="H70" t="s">
        <v>40</v>
      </c>
      <c r="M70" s="2">
        <v>0</v>
      </c>
    </row>
    <row r="71" spans="1:13" ht="12">
      <c r="A71" t="s">
        <v>41</v>
      </c>
      <c r="D71" s="2">
        <v>1</v>
      </c>
      <c r="H71" t="s">
        <v>41</v>
      </c>
      <c r="M71" s="2">
        <v>0</v>
      </c>
    </row>
    <row r="72" spans="1:13" ht="12">
      <c r="A72" t="s">
        <v>42</v>
      </c>
      <c r="D72" s="2">
        <v>1</v>
      </c>
      <c r="H72" t="s">
        <v>42</v>
      </c>
      <c r="M72" s="2">
        <v>1</v>
      </c>
    </row>
    <row r="73" spans="1:13" ht="12">
      <c r="A73" t="s">
        <v>43</v>
      </c>
      <c r="D73" s="2">
        <v>1</v>
      </c>
      <c r="H73" t="s">
        <v>43</v>
      </c>
      <c r="M73" s="2">
        <v>1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1</v>
      </c>
      <c r="H76" t="s">
        <v>45</v>
      </c>
      <c r="M76" s="2">
        <v>3</v>
      </c>
    </row>
    <row r="77" spans="1:13" ht="12">
      <c r="A77" t="s">
        <v>46</v>
      </c>
      <c r="D77" s="2">
        <v>2</v>
      </c>
      <c r="H77" t="s">
        <v>46</v>
      </c>
      <c r="M77" s="2">
        <v>5</v>
      </c>
    </row>
    <row r="78" spans="1:13" ht="12">
      <c r="A78" t="s">
        <v>47</v>
      </c>
      <c r="D78" s="8">
        <f>+D76/D77*100</f>
        <v>50</v>
      </c>
      <c r="E78" s="7"/>
      <c r="F78" s="7"/>
      <c r="G78" s="7"/>
      <c r="H78" s="7" t="s">
        <v>47</v>
      </c>
      <c r="I78" s="7"/>
      <c r="J78" s="7"/>
      <c r="K78" s="7"/>
      <c r="L78" s="7"/>
      <c r="M78" s="8">
        <f>+M76/M77*100</f>
        <v>60</v>
      </c>
    </row>
    <row r="79" spans="1:13" ht="12">
      <c r="A79" t="s">
        <v>93</v>
      </c>
      <c r="D79" s="10" t="str">
        <f>IF(V25&lt;10,V29,V28)</f>
        <v>32:42</v>
      </c>
      <c r="E79" s="8"/>
      <c r="F79" s="8"/>
      <c r="H79" t="s">
        <v>93</v>
      </c>
      <c r="M79" s="10">
        <f>IF(AE25&lt;10,AE29,AE28)</f>
        <v>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8" ht="12">
      <c r="A84" t="s">
        <v>134</v>
      </c>
      <c r="C84">
        <v>9</v>
      </c>
      <c r="D84">
        <v>18</v>
      </c>
      <c r="E84" s="12">
        <f>+D84/C84</f>
        <v>2</v>
      </c>
      <c r="F84">
        <v>9</v>
      </c>
      <c r="G84">
        <v>0</v>
      </c>
      <c r="H84">
        <v>0</v>
      </c>
    </row>
    <row r="85" spans="1:8" ht="12">
      <c r="A85" t="s">
        <v>135</v>
      </c>
      <c r="C85">
        <v>5</v>
      </c>
      <c r="D85">
        <v>44</v>
      </c>
      <c r="E85" s="12">
        <f>+D85/C85</f>
        <v>8.8</v>
      </c>
      <c r="F85">
        <v>31</v>
      </c>
      <c r="G85">
        <v>0</v>
      </c>
      <c r="H85">
        <v>0</v>
      </c>
    </row>
    <row r="86" spans="1:8" ht="12">
      <c r="A86" t="s">
        <v>136</v>
      </c>
      <c r="C86">
        <v>1</v>
      </c>
      <c r="D86">
        <v>-7</v>
      </c>
      <c r="E86" s="12">
        <f aca="true" t="shared" si="0" ref="E86:E92">+D86/C86</f>
        <v>-7</v>
      </c>
      <c r="F86">
        <v>-7</v>
      </c>
      <c r="G86">
        <v>0</v>
      </c>
      <c r="H86">
        <v>0</v>
      </c>
    </row>
    <row r="87" spans="1:8" ht="12">
      <c r="A87" t="s">
        <v>137</v>
      </c>
      <c r="C87">
        <v>1</v>
      </c>
      <c r="D87">
        <v>5</v>
      </c>
      <c r="E87" s="12">
        <f t="shared" si="0"/>
        <v>5</v>
      </c>
      <c r="F87">
        <v>5</v>
      </c>
      <c r="G87">
        <v>0</v>
      </c>
      <c r="H87">
        <v>0</v>
      </c>
    </row>
    <row r="88" spans="1:8" ht="12">
      <c r="A88" t="s">
        <v>138</v>
      </c>
      <c r="C88">
        <v>5</v>
      </c>
      <c r="D88">
        <v>8</v>
      </c>
      <c r="E88" s="12">
        <f t="shared" si="0"/>
        <v>1.6</v>
      </c>
      <c r="F88">
        <v>6</v>
      </c>
      <c r="G88">
        <v>0</v>
      </c>
      <c r="H88">
        <v>0</v>
      </c>
    </row>
    <row r="89" spans="1:8" ht="12">
      <c r="A89" t="s">
        <v>139</v>
      </c>
      <c r="C89">
        <v>3</v>
      </c>
      <c r="D89">
        <v>3</v>
      </c>
      <c r="E89" s="12">
        <f t="shared" si="0"/>
        <v>1</v>
      </c>
      <c r="F89">
        <v>6</v>
      </c>
      <c r="G89">
        <v>0</v>
      </c>
      <c r="H89">
        <v>1</v>
      </c>
    </row>
    <row r="90" spans="1:5" ht="12">
      <c r="A90" t="s">
        <v>140</v>
      </c>
      <c r="E90" s="12" t="e">
        <f t="shared" si="0"/>
        <v>#DIV/0!</v>
      </c>
    </row>
    <row r="91" spans="1:8" ht="12">
      <c r="A91" t="s">
        <v>141</v>
      </c>
      <c r="C91">
        <v>10</v>
      </c>
      <c r="D91">
        <v>-1</v>
      </c>
      <c r="E91" s="12">
        <f t="shared" si="0"/>
        <v>-0.1</v>
      </c>
      <c r="F91">
        <v>6</v>
      </c>
      <c r="G91">
        <v>0</v>
      </c>
      <c r="H91">
        <v>0</v>
      </c>
    </row>
    <row r="92" spans="1:5" ht="12">
      <c r="A92" t="s">
        <v>142</v>
      </c>
      <c r="E92" s="12" t="e">
        <f t="shared" si="0"/>
        <v>#DIV/0!</v>
      </c>
    </row>
    <row r="93" spans="1:5" ht="12">
      <c r="A93" t="s">
        <v>143</v>
      </c>
      <c r="E93" s="12" t="e">
        <f>+D93/C93</f>
        <v>#DIV/0!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8" ht="12">
      <c r="A101" t="s">
        <v>134</v>
      </c>
      <c r="C101">
        <v>1</v>
      </c>
      <c r="D101">
        <v>8</v>
      </c>
      <c r="E101" s="12">
        <f aca="true" t="shared" si="1" ref="E101:E112">+D101/C101</f>
        <v>8</v>
      </c>
      <c r="F101">
        <v>8</v>
      </c>
      <c r="G101">
        <v>0</v>
      </c>
      <c r="H101">
        <v>0</v>
      </c>
    </row>
    <row r="102" spans="1:5" ht="12">
      <c r="A102" t="s">
        <v>144</v>
      </c>
      <c r="E102" s="12" t="e">
        <f t="shared" si="1"/>
        <v>#DIV/0!</v>
      </c>
    </row>
    <row r="103" spans="1:8" ht="12">
      <c r="A103" t="s">
        <v>136</v>
      </c>
      <c r="C103">
        <v>3</v>
      </c>
      <c r="D103">
        <v>12</v>
      </c>
      <c r="E103" s="12">
        <f t="shared" si="1"/>
        <v>4</v>
      </c>
      <c r="F103">
        <v>5</v>
      </c>
      <c r="G103">
        <v>1</v>
      </c>
      <c r="H103">
        <v>0</v>
      </c>
    </row>
    <row r="104" spans="1:8" ht="12">
      <c r="A104" t="s">
        <v>145</v>
      </c>
      <c r="C104">
        <v>2</v>
      </c>
      <c r="D104">
        <v>58</v>
      </c>
      <c r="E104" s="12">
        <f t="shared" si="1"/>
        <v>29</v>
      </c>
      <c r="F104">
        <v>36</v>
      </c>
      <c r="G104">
        <v>0</v>
      </c>
      <c r="H104">
        <v>0</v>
      </c>
    </row>
    <row r="105" spans="1:8" ht="12">
      <c r="A105" t="s">
        <v>137</v>
      </c>
      <c r="C105">
        <v>2</v>
      </c>
      <c r="D105">
        <v>39</v>
      </c>
      <c r="E105" s="12">
        <f t="shared" si="1"/>
        <v>19.5</v>
      </c>
      <c r="F105">
        <v>31</v>
      </c>
      <c r="G105">
        <v>0</v>
      </c>
      <c r="H105">
        <v>0</v>
      </c>
    </row>
    <row r="106" spans="1:5" ht="12">
      <c r="A106" t="s">
        <v>138</v>
      </c>
      <c r="E106" s="12" t="e">
        <f t="shared" si="1"/>
        <v>#DIV/0!</v>
      </c>
    </row>
    <row r="107" spans="1:5" ht="12">
      <c r="A107" t="s">
        <v>139</v>
      </c>
      <c r="E107" s="12" t="e">
        <f t="shared" si="1"/>
        <v>#DIV/0!</v>
      </c>
    </row>
    <row r="108" spans="1:8" ht="12">
      <c r="A108" t="s">
        <v>140</v>
      </c>
      <c r="C108">
        <v>3</v>
      </c>
      <c r="D108">
        <v>37</v>
      </c>
      <c r="E108" s="12">
        <f t="shared" si="1"/>
        <v>12.333333333333334</v>
      </c>
      <c r="F108">
        <v>16</v>
      </c>
      <c r="G108">
        <v>0</v>
      </c>
      <c r="H108">
        <v>0</v>
      </c>
    </row>
    <row r="109" spans="1:8" ht="12">
      <c r="A109" t="s">
        <v>141</v>
      </c>
      <c r="C109">
        <v>2</v>
      </c>
      <c r="D109">
        <v>20</v>
      </c>
      <c r="E109" s="12">
        <f t="shared" si="1"/>
        <v>10</v>
      </c>
      <c r="F109">
        <v>14</v>
      </c>
      <c r="G109">
        <v>0</v>
      </c>
      <c r="H109">
        <v>0</v>
      </c>
    </row>
    <row r="110" spans="1:5" ht="12">
      <c r="A110" t="s">
        <v>143</v>
      </c>
      <c r="E110" s="12" t="e">
        <f t="shared" si="1"/>
        <v>#DIV/0!</v>
      </c>
    </row>
    <row r="111" spans="1:5" ht="12">
      <c r="A111" t="s">
        <v>146</v>
      </c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133</v>
      </c>
      <c r="C121">
        <v>7</v>
      </c>
      <c r="D121">
        <v>4</v>
      </c>
      <c r="E121" s="12">
        <f aca="true" t="shared" si="2" ref="E121:E126">+D121/C121*100</f>
        <v>57.14285714285714</v>
      </c>
      <c r="F121">
        <v>44</v>
      </c>
      <c r="G121">
        <v>0</v>
      </c>
      <c r="H121">
        <v>31</v>
      </c>
      <c r="I121">
        <v>0</v>
      </c>
      <c r="J121" s="8">
        <f aca="true" t="shared" si="3" ref="J121:J126">+G121/C121*100</f>
        <v>0</v>
      </c>
      <c r="K121" s="12">
        <f aca="true" t="shared" si="4" ref="K121:K126">+I121/C121*100</f>
        <v>0</v>
      </c>
      <c r="L121" s="12">
        <f aca="true" t="shared" si="5" ref="L121:L126">+F121/C121</f>
        <v>6.285714285714286</v>
      </c>
      <c r="M121" s="12">
        <f aca="true" t="shared" si="6" ref="M121:M126">100*(S121+U121+W121+Y121)/6</f>
        <v>75.89285714285715</v>
      </c>
      <c r="N121">
        <v>1</v>
      </c>
      <c r="O121">
        <v>1</v>
      </c>
      <c r="R121">
        <f aca="true" t="shared" si="7" ref="R121:R126">+(E121-30)/20</f>
        <v>1.357142857142857</v>
      </c>
      <c r="S121" s="2">
        <f aca="true" t="shared" si="8" ref="S121:S126">IF(R121&lt;0,0,IF(R121&gt;2.375,2.375,R121))</f>
        <v>1.357142857142857</v>
      </c>
      <c r="T121" s="6">
        <f aca="true" t="shared" si="9" ref="T121:T126">+(L121-3)/4</f>
        <v>0.8214285714285714</v>
      </c>
      <c r="U121" s="2">
        <f aca="true" t="shared" si="10" ref="U121:U126">IF(T121&lt;0,0,IF(T121&gt;2.375,2.375,T121))</f>
        <v>0.8214285714285714</v>
      </c>
      <c r="V121">
        <f aca="true" t="shared" si="11" ref="V121:V126">+J121/5</f>
        <v>0</v>
      </c>
      <c r="W121" s="2">
        <f aca="true" t="shared" si="12" ref="W121:W126">IF(V121&lt;0,0,IF(V121&gt;2.375,2.375,V121))</f>
        <v>0</v>
      </c>
      <c r="X121">
        <f aca="true" t="shared" si="13" ref="X121:X126">(9.5-K121)/4</f>
        <v>2.375</v>
      </c>
      <c r="Y121" s="2">
        <f aca="true" t="shared" si="14" ref="Y121:Y126">IF(X121&lt;0,0,X121)</f>
        <v>2.375</v>
      </c>
    </row>
    <row r="122" spans="1:25" ht="12">
      <c r="A122" t="s">
        <v>135</v>
      </c>
      <c r="C122">
        <v>16</v>
      </c>
      <c r="D122">
        <v>9</v>
      </c>
      <c r="E122" s="12">
        <f t="shared" si="2"/>
        <v>56.25</v>
      </c>
      <c r="F122">
        <v>130</v>
      </c>
      <c r="G122">
        <v>1</v>
      </c>
      <c r="H122">
        <v>36</v>
      </c>
      <c r="I122">
        <v>4</v>
      </c>
      <c r="J122" s="8">
        <f t="shared" si="3"/>
        <v>6.25</v>
      </c>
      <c r="K122" s="12">
        <f t="shared" si="4"/>
        <v>25</v>
      </c>
      <c r="L122" s="12">
        <f t="shared" si="5"/>
        <v>8.125</v>
      </c>
      <c r="M122" s="12">
        <f t="shared" si="6"/>
        <v>64.0625</v>
      </c>
      <c r="N122">
        <v>0</v>
      </c>
      <c r="O122">
        <v>1</v>
      </c>
      <c r="R122">
        <f t="shared" si="7"/>
        <v>1.3125</v>
      </c>
      <c r="S122" s="2">
        <f t="shared" si="8"/>
        <v>1.3125</v>
      </c>
      <c r="T122" s="6">
        <f t="shared" si="9"/>
        <v>1.28125</v>
      </c>
      <c r="U122" s="2">
        <f t="shared" si="10"/>
        <v>1.28125</v>
      </c>
      <c r="V122">
        <f t="shared" si="11"/>
        <v>1.25</v>
      </c>
      <c r="W122" s="2">
        <f t="shared" si="12"/>
        <v>1.25</v>
      </c>
      <c r="X122">
        <f t="shared" si="13"/>
        <v>-3.875</v>
      </c>
      <c r="Y122" s="2">
        <f t="shared" si="14"/>
        <v>0</v>
      </c>
    </row>
    <row r="123" spans="1:25" ht="12">
      <c r="A123" t="s">
        <v>147</v>
      </c>
      <c r="E123" s="12" t="e">
        <f t="shared" si="2"/>
        <v>#DIV/0!</v>
      </c>
      <c r="J123" s="8" t="e">
        <f t="shared" si="3"/>
        <v>#DIV/0!</v>
      </c>
      <c r="K123" s="12" t="e">
        <f t="shared" si="4"/>
        <v>#DIV/0!</v>
      </c>
      <c r="L123" s="12" t="e">
        <f t="shared" si="5"/>
        <v>#DIV/0!</v>
      </c>
      <c r="M123" s="12" t="e">
        <f t="shared" si="6"/>
        <v>#DIV/0!</v>
      </c>
      <c r="R123" t="e">
        <f t="shared" si="7"/>
        <v>#DIV/0!</v>
      </c>
      <c r="S123" s="2" t="e">
        <f t="shared" si="8"/>
        <v>#DIV/0!</v>
      </c>
      <c r="T123" s="6" t="e">
        <f t="shared" si="9"/>
        <v>#DIV/0!</v>
      </c>
      <c r="U123" s="2" t="e">
        <f t="shared" si="10"/>
        <v>#DIV/0!</v>
      </c>
      <c r="V123" t="e">
        <f t="shared" si="11"/>
        <v>#DIV/0!</v>
      </c>
      <c r="W123" s="2" t="e">
        <f t="shared" si="12"/>
        <v>#DIV/0!</v>
      </c>
      <c r="X123" t="e">
        <f t="shared" si="13"/>
        <v>#DIV/0!</v>
      </c>
      <c r="Y123" s="2" t="e">
        <f t="shared" si="14"/>
        <v>#DIV/0!</v>
      </c>
    </row>
    <row r="124" spans="1:25" ht="12">
      <c r="A124" t="s">
        <v>142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143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5:25" ht="12"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8" spans="1:9" ht="12">
      <c r="A128" s="2" t="s">
        <v>71</v>
      </c>
      <c r="C128" s="3" t="s">
        <v>72</v>
      </c>
      <c r="D128" s="3" t="s">
        <v>73</v>
      </c>
      <c r="E128" s="3" t="s">
        <v>74</v>
      </c>
      <c r="F128" s="3" t="s">
        <v>53</v>
      </c>
      <c r="G128" s="3" t="s">
        <v>64</v>
      </c>
      <c r="H128" s="3" t="s">
        <v>55</v>
      </c>
      <c r="I128" s="3" t="s">
        <v>84</v>
      </c>
    </row>
    <row r="129" spans="1:6" ht="12">
      <c r="A129" t="s">
        <v>148</v>
      </c>
      <c r="F129" s="12" t="e">
        <f aca="true" t="shared" si="15" ref="F129:F134">+E129/C129</f>
        <v>#DIV/0!</v>
      </c>
    </row>
    <row r="130" spans="1:7" ht="12">
      <c r="A130" t="s">
        <v>136</v>
      </c>
      <c r="C130">
        <v>1</v>
      </c>
      <c r="E130">
        <v>0</v>
      </c>
      <c r="F130" s="12">
        <f t="shared" si="15"/>
        <v>0</v>
      </c>
      <c r="G130">
        <v>0</v>
      </c>
    </row>
    <row r="131" spans="1:7" ht="12">
      <c r="A131" t="s">
        <v>140</v>
      </c>
      <c r="C131">
        <v>1</v>
      </c>
      <c r="E131">
        <v>5</v>
      </c>
      <c r="F131" s="12">
        <f t="shared" si="15"/>
        <v>5</v>
      </c>
      <c r="G131">
        <v>5</v>
      </c>
    </row>
    <row r="132" spans="1:6" ht="12">
      <c r="A132" t="s">
        <v>143</v>
      </c>
      <c r="F132" s="12" t="e">
        <f t="shared" si="15"/>
        <v>#DIV/0!</v>
      </c>
    </row>
    <row r="133" ht="12">
      <c r="F133" s="12" t="e">
        <f t="shared" si="15"/>
        <v>#DIV/0!</v>
      </c>
    </row>
    <row r="134" ht="12">
      <c r="F134" s="12" t="e">
        <f t="shared" si="15"/>
        <v>#DIV/0!</v>
      </c>
    </row>
    <row r="138" spans="1:8" ht="12">
      <c r="A138" s="2" t="s">
        <v>30</v>
      </c>
      <c r="C138" s="3" t="s">
        <v>72</v>
      </c>
      <c r="D138" s="3" t="s">
        <v>74</v>
      </c>
      <c r="E138" s="3" t="s">
        <v>53</v>
      </c>
      <c r="F138" s="3" t="s">
        <v>64</v>
      </c>
      <c r="G138" s="3" t="s">
        <v>55</v>
      </c>
      <c r="H138" s="3" t="s">
        <v>84</v>
      </c>
    </row>
    <row r="139" spans="1:5" ht="12">
      <c r="A139" t="s">
        <v>149</v>
      </c>
      <c r="E139" s="12" t="e">
        <f aca="true" t="shared" si="16" ref="E139:E144">+D139/C139</f>
        <v>#DIV/0!</v>
      </c>
    </row>
    <row r="140" spans="1:6" ht="12">
      <c r="A140" t="s">
        <v>148</v>
      </c>
      <c r="C140">
        <v>2</v>
      </c>
      <c r="D140">
        <v>10</v>
      </c>
      <c r="E140" s="12">
        <f t="shared" si="16"/>
        <v>5</v>
      </c>
      <c r="F140">
        <v>8</v>
      </c>
    </row>
    <row r="141" spans="1:6" ht="12">
      <c r="A141" t="s">
        <v>136</v>
      </c>
      <c r="C141">
        <v>2</v>
      </c>
      <c r="D141">
        <v>48</v>
      </c>
      <c r="E141" s="12">
        <f t="shared" si="16"/>
        <v>24</v>
      </c>
      <c r="F141">
        <v>28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151</v>
      </c>
      <c r="E143" s="12" t="e">
        <f t="shared" si="16"/>
        <v>#DIV/0!</v>
      </c>
    </row>
    <row r="144" spans="1:5" ht="12">
      <c r="A144" t="s">
        <v>152</v>
      </c>
      <c r="E144" s="12" t="e">
        <f t="shared" si="16"/>
        <v>#DIV/0!</v>
      </c>
    </row>
    <row r="145" spans="1:6" ht="12">
      <c r="A145" t="s">
        <v>138</v>
      </c>
      <c r="C145">
        <v>1</v>
      </c>
      <c r="D145">
        <v>9</v>
      </c>
      <c r="E145" s="12">
        <f aca="true" t="shared" si="17" ref="E145:E151">+D145/C145</f>
        <v>9</v>
      </c>
      <c r="F145">
        <v>9</v>
      </c>
    </row>
    <row r="146" spans="1:5" ht="12">
      <c r="A146" t="s">
        <v>143</v>
      </c>
      <c r="E146" s="12" t="e">
        <f t="shared" si="17"/>
        <v>#DIV/0!</v>
      </c>
    </row>
    <row r="147" spans="1:5" ht="12">
      <c r="A147" t="s">
        <v>146</v>
      </c>
      <c r="E147" s="12" t="e">
        <f t="shared" si="17"/>
        <v>#DIV/0!</v>
      </c>
    </row>
    <row r="148" spans="1:5" ht="12">
      <c r="A148" t="s">
        <v>153</v>
      </c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3" spans="1:8" ht="12">
      <c r="A153" s="2" t="s">
        <v>75</v>
      </c>
      <c r="C153" s="3" t="s">
        <v>72</v>
      </c>
      <c r="D153" s="3" t="s">
        <v>74</v>
      </c>
      <c r="E153" s="3" t="s">
        <v>53</v>
      </c>
      <c r="F153" s="3" t="s">
        <v>64</v>
      </c>
      <c r="G153" s="3" t="s">
        <v>76</v>
      </c>
      <c r="H153" s="3" t="s">
        <v>84</v>
      </c>
    </row>
    <row r="154" spans="1:6" ht="12">
      <c r="A154" t="s">
        <v>154</v>
      </c>
      <c r="C154">
        <v>4</v>
      </c>
      <c r="D154">
        <f>54+37+52+45</f>
        <v>188</v>
      </c>
      <c r="E154" s="12"/>
      <c r="F154">
        <v>54</v>
      </c>
    </row>
    <row r="160" spans="9:21" ht="12">
      <c r="I160" s="5" t="s">
        <v>67</v>
      </c>
      <c r="L160" s="32" t="s">
        <v>99</v>
      </c>
      <c r="M160" s="32"/>
      <c r="N160" s="32" t="s">
        <v>100</v>
      </c>
      <c r="O160" s="32"/>
      <c r="P160" s="32" t="s">
        <v>101</v>
      </c>
      <c r="Q160" s="32"/>
      <c r="R160" s="32" t="s">
        <v>102</v>
      </c>
      <c r="S160" s="32"/>
      <c r="T160" s="32" t="s">
        <v>103</v>
      </c>
      <c r="U160" s="32"/>
    </row>
    <row r="161" spans="1:21" ht="12">
      <c r="A161" s="4" t="s">
        <v>83</v>
      </c>
      <c r="C161" s="3" t="s">
        <v>77</v>
      </c>
      <c r="D161" s="3" t="s">
        <v>78</v>
      </c>
      <c r="E161" s="3" t="s">
        <v>79</v>
      </c>
      <c r="F161" s="3" t="s">
        <v>80</v>
      </c>
      <c r="G161" s="3" t="s">
        <v>81</v>
      </c>
      <c r="H161" s="3" t="s">
        <v>82</v>
      </c>
      <c r="I161" s="3" t="s">
        <v>86</v>
      </c>
      <c r="J161" s="3" t="s">
        <v>64</v>
      </c>
      <c r="L161" s="3" t="s">
        <v>81</v>
      </c>
      <c r="M161" s="3" t="s">
        <v>82</v>
      </c>
      <c r="N161" s="3" t="s">
        <v>81</v>
      </c>
      <c r="O161" s="3" t="s">
        <v>82</v>
      </c>
      <c r="P161" s="3" t="s">
        <v>81</v>
      </c>
      <c r="Q161" s="3" t="s">
        <v>82</v>
      </c>
      <c r="R161" s="3" t="s">
        <v>81</v>
      </c>
      <c r="S161" s="3" t="s">
        <v>82</v>
      </c>
      <c r="T161" s="3" t="s">
        <v>81</v>
      </c>
      <c r="U161" s="3" t="s">
        <v>82</v>
      </c>
    </row>
    <row r="162" spans="1:16" ht="12">
      <c r="A162" t="s">
        <v>155</v>
      </c>
      <c r="C162">
        <v>4</v>
      </c>
      <c r="D162">
        <v>1</v>
      </c>
      <c r="E162">
        <v>2</v>
      </c>
      <c r="F162">
        <v>1</v>
      </c>
      <c r="G162">
        <v>2</v>
      </c>
      <c r="H162">
        <v>1</v>
      </c>
      <c r="I162" s="12">
        <f aca="true" t="shared" si="18" ref="I162:I169">+H162/G162*100</f>
        <v>50</v>
      </c>
      <c r="J162">
        <v>28</v>
      </c>
      <c r="N162">
        <v>1</v>
      </c>
      <c r="O162">
        <v>1</v>
      </c>
      <c r="P162">
        <v>1</v>
      </c>
    </row>
    <row r="163" spans="1:9" ht="12">
      <c r="A163" t="s">
        <v>154</v>
      </c>
      <c r="I163" s="12" t="e">
        <f t="shared" si="18"/>
        <v>#DIV/0!</v>
      </c>
    </row>
    <row r="164" ht="12">
      <c r="I164" s="12" t="e">
        <f t="shared" si="18"/>
        <v>#DIV/0!</v>
      </c>
    </row>
    <row r="165" ht="12">
      <c r="I165" s="12" t="e">
        <f t="shared" si="18"/>
        <v>#DIV/0!</v>
      </c>
    </row>
    <row r="166" ht="12">
      <c r="I166" s="12" t="e">
        <f t="shared" si="18"/>
        <v>#DIV/0!</v>
      </c>
    </row>
    <row r="167" ht="12"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2" spans="1:8" ht="12">
      <c r="A172" s="2" t="s">
        <v>85</v>
      </c>
      <c r="C172" s="3" t="s">
        <v>72</v>
      </c>
      <c r="D172" s="3" t="s">
        <v>74</v>
      </c>
      <c r="E172" s="3" t="s">
        <v>53</v>
      </c>
      <c r="F172" s="3" t="s">
        <v>64</v>
      </c>
      <c r="G172" s="3" t="s">
        <v>55</v>
      </c>
      <c r="H172" s="3" t="s">
        <v>84</v>
      </c>
    </row>
    <row r="173" spans="1:5" ht="12">
      <c r="A173" t="s">
        <v>156</v>
      </c>
      <c r="E173" s="12" t="e">
        <f>+D173/C173</f>
        <v>#DIV/0!</v>
      </c>
    </row>
    <row r="174" spans="1:5" ht="12">
      <c r="A174" t="s">
        <v>149</v>
      </c>
      <c r="E174" s="12" t="e">
        <f aca="true" t="shared" si="19" ref="E174:E180">+D174/C174</f>
        <v>#DIV/0!</v>
      </c>
    </row>
    <row r="175" spans="1:5" ht="12">
      <c r="A175" t="s">
        <v>157</v>
      </c>
      <c r="E175" s="12" t="e">
        <f t="shared" si="19"/>
        <v>#DIV/0!</v>
      </c>
    </row>
    <row r="176" spans="1:5" ht="12">
      <c r="A176" t="s">
        <v>158</v>
      </c>
      <c r="E176" s="12" t="e">
        <f t="shared" si="19"/>
        <v>#DIV/0!</v>
      </c>
    </row>
    <row r="177" spans="1:5" ht="12">
      <c r="A177" t="s">
        <v>159</v>
      </c>
      <c r="E177" s="12" t="e">
        <f t="shared" si="19"/>
        <v>#DIV/0!</v>
      </c>
    </row>
    <row r="178" spans="1:6" ht="12">
      <c r="A178" t="s">
        <v>160</v>
      </c>
      <c r="C178">
        <v>1</v>
      </c>
      <c r="D178">
        <v>9</v>
      </c>
      <c r="E178" s="12">
        <f t="shared" si="19"/>
        <v>9</v>
      </c>
      <c r="F178">
        <v>9</v>
      </c>
    </row>
    <row r="179" spans="1:6" ht="12">
      <c r="A179" t="s">
        <v>161</v>
      </c>
      <c r="C179">
        <v>1</v>
      </c>
      <c r="D179">
        <v>30</v>
      </c>
      <c r="E179" s="12">
        <f t="shared" si="19"/>
        <v>30</v>
      </c>
      <c r="F179">
        <v>30</v>
      </c>
    </row>
    <row r="180" spans="1:5" ht="12">
      <c r="A180" t="s">
        <v>147</v>
      </c>
      <c r="E180" s="12" t="e">
        <f t="shared" si="19"/>
        <v>#DIV/0!</v>
      </c>
    </row>
    <row r="181" spans="1:5" ht="12">
      <c r="A181" t="s">
        <v>153</v>
      </c>
      <c r="E181" s="12" t="e">
        <f>+D181/C181</f>
        <v>#DIV/0!</v>
      </c>
    </row>
    <row r="182" spans="1:5" ht="12">
      <c r="A182" t="s">
        <v>162</v>
      </c>
      <c r="E182" s="12" t="e">
        <f>+D182/C182</f>
        <v>#DIV/0!</v>
      </c>
    </row>
    <row r="183" spans="1:5" ht="12">
      <c r="A183" s="1"/>
      <c r="E183" s="12" t="e">
        <f>+D183/C183</f>
        <v>#DIV/0!</v>
      </c>
    </row>
    <row r="184" spans="1:5" ht="12">
      <c r="A184" s="1"/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/>
    </row>
    <row r="187" spans="1:4" ht="12">
      <c r="A187" s="2" t="s">
        <v>98</v>
      </c>
      <c r="C187" s="3" t="s">
        <v>72</v>
      </c>
      <c r="D187" s="3" t="s">
        <v>74</v>
      </c>
    </row>
    <row r="188" spans="1:4" ht="12">
      <c r="A188" s="20" t="s">
        <v>156</v>
      </c>
      <c r="C188" s="3"/>
      <c r="D188" s="3"/>
    </row>
    <row r="189" spans="1:4" ht="12">
      <c r="A189" s="20" t="s">
        <v>157</v>
      </c>
      <c r="C189" s="3"/>
      <c r="D189" s="3"/>
    </row>
    <row r="190" spans="1:4" ht="12">
      <c r="A190" s="20" t="s">
        <v>158</v>
      </c>
      <c r="C190" s="3"/>
      <c r="D190" s="3"/>
    </row>
    <row r="191" spans="1:4" ht="12">
      <c r="A191" s="20" t="s">
        <v>159</v>
      </c>
      <c r="C191" s="3"/>
      <c r="D191" s="3"/>
    </row>
    <row r="192" spans="1:4" ht="12">
      <c r="A192" s="20" t="s">
        <v>163</v>
      </c>
      <c r="C192" s="3"/>
      <c r="D192" s="3"/>
    </row>
    <row r="193" spans="1:4" ht="12">
      <c r="A193" s="20" t="s">
        <v>164</v>
      </c>
      <c r="C193" s="3">
        <v>0.5</v>
      </c>
      <c r="D193" s="3">
        <v>3</v>
      </c>
    </row>
    <row r="194" spans="1:4" ht="12">
      <c r="A194" s="20" t="s">
        <v>161</v>
      </c>
      <c r="C194" s="3"/>
      <c r="D194" s="3"/>
    </row>
    <row r="195" spans="1:4" ht="12">
      <c r="A195" s="20" t="s">
        <v>165</v>
      </c>
      <c r="C195" s="3">
        <v>1</v>
      </c>
      <c r="D195" s="3">
        <v>9</v>
      </c>
    </row>
    <row r="196" spans="1:4" ht="12">
      <c r="A196" s="20" t="s">
        <v>147</v>
      </c>
      <c r="C196" s="3"/>
      <c r="D196" s="3"/>
    </row>
    <row r="197" spans="1:4" ht="12">
      <c r="A197" s="20" t="s">
        <v>166</v>
      </c>
      <c r="C197" s="3">
        <v>0.5</v>
      </c>
      <c r="D197" s="3">
        <v>6</v>
      </c>
    </row>
    <row r="198" spans="1:4" ht="12">
      <c r="A198" s="20"/>
      <c r="C198" s="3"/>
      <c r="D198" s="3"/>
    </row>
    <row r="199" spans="1:4" ht="12">
      <c r="A199" s="20"/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"/>
      <c r="C202" s="3"/>
      <c r="D202" s="3"/>
    </row>
    <row r="203" spans="1:4" ht="12">
      <c r="A203" s="2"/>
      <c r="C203" s="3"/>
      <c r="D203" s="3"/>
    </row>
    <row r="204" spans="1:4" ht="12">
      <c r="A204" s="2"/>
      <c r="C204" s="3"/>
      <c r="D204" s="3"/>
    </row>
    <row r="205" spans="1:7" ht="12">
      <c r="A205" s="2" t="s">
        <v>94</v>
      </c>
      <c r="C205" s="3" t="s">
        <v>72</v>
      </c>
      <c r="D205" s="3" t="s">
        <v>74</v>
      </c>
      <c r="E205" s="3" t="s">
        <v>64</v>
      </c>
      <c r="F205" s="3" t="s">
        <v>55</v>
      </c>
      <c r="G205" s="5" t="s">
        <v>84</v>
      </c>
    </row>
    <row r="206" ht="12">
      <c r="A206" t="s">
        <v>167</v>
      </c>
    </row>
    <row r="207" ht="12">
      <c r="A207" t="s">
        <v>156</v>
      </c>
    </row>
    <row r="208" ht="12">
      <c r="A208" t="s">
        <v>149</v>
      </c>
    </row>
    <row r="209" ht="12">
      <c r="A209" t="s">
        <v>157</v>
      </c>
    </row>
    <row r="210" ht="12">
      <c r="A210" t="s">
        <v>133</v>
      </c>
    </row>
    <row r="211" ht="12">
      <c r="A211" t="s">
        <v>134</v>
      </c>
    </row>
    <row r="212" ht="12">
      <c r="A212" t="s">
        <v>158</v>
      </c>
    </row>
    <row r="213" ht="12">
      <c r="A213" t="s">
        <v>168</v>
      </c>
    </row>
    <row r="214" ht="12">
      <c r="A214" t="s">
        <v>135</v>
      </c>
    </row>
    <row r="215" spans="1:3" ht="12">
      <c r="A215" t="s">
        <v>159</v>
      </c>
      <c r="C215">
        <v>1</v>
      </c>
    </row>
    <row r="216" ht="12">
      <c r="A216" t="s">
        <v>169</v>
      </c>
    </row>
    <row r="217" ht="12">
      <c r="A217" t="s">
        <v>144</v>
      </c>
    </row>
    <row r="218" ht="12">
      <c r="A218" t="s">
        <v>148</v>
      </c>
    </row>
    <row r="219" ht="12">
      <c r="A219" t="s">
        <v>163</v>
      </c>
    </row>
    <row r="220" spans="1:3" ht="12">
      <c r="A220" t="s">
        <v>160</v>
      </c>
      <c r="C220">
        <v>1</v>
      </c>
    </row>
    <row r="221" ht="12">
      <c r="A221" t="s">
        <v>136</v>
      </c>
    </row>
    <row r="222" ht="12">
      <c r="A222" t="s">
        <v>170</v>
      </c>
    </row>
    <row r="223" ht="12">
      <c r="A223" t="s">
        <v>154</v>
      </c>
    </row>
    <row r="224" ht="12">
      <c r="A224" t="s">
        <v>150</v>
      </c>
    </row>
    <row r="225" ht="12">
      <c r="A225" t="s">
        <v>171</v>
      </c>
    </row>
    <row r="226" ht="12">
      <c r="A226" t="s">
        <v>164</v>
      </c>
    </row>
    <row r="227" ht="12">
      <c r="A227" t="s">
        <v>145</v>
      </c>
    </row>
    <row r="228" ht="12">
      <c r="A228" t="s">
        <v>137</v>
      </c>
    </row>
    <row r="229" ht="12">
      <c r="A229" t="s">
        <v>151</v>
      </c>
    </row>
    <row r="230" ht="12">
      <c r="A230" t="s">
        <v>152</v>
      </c>
    </row>
    <row r="231" ht="12">
      <c r="A231" t="s">
        <v>138</v>
      </c>
    </row>
    <row r="232" ht="12">
      <c r="A232" t="s">
        <v>139</v>
      </c>
    </row>
    <row r="233" ht="12">
      <c r="A233" t="s">
        <v>161</v>
      </c>
    </row>
    <row r="234" ht="12">
      <c r="A234" t="s">
        <v>172</v>
      </c>
    </row>
    <row r="235" ht="12">
      <c r="A235" t="s">
        <v>140</v>
      </c>
    </row>
    <row r="236" ht="12">
      <c r="A236" t="s">
        <v>165</v>
      </c>
    </row>
    <row r="237" ht="12">
      <c r="A237" t="s">
        <v>155</v>
      </c>
    </row>
    <row r="238" ht="12">
      <c r="A238" t="s">
        <v>147</v>
      </c>
    </row>
    <row r="239" ht="12">
      <c r="A239" t="s">
        <v>173</v>
      </c>
    </row>
    <row r="240" ht="12">
      <c r="A240" t="s">
        <v>141</v>
      </c>
    </row>
    <row r="241" ht="12">
      <c r="A241" t="s">
        <v>174</v>
      </c>
    </row>
    <row r="242" ht="12">
      <c r="A242" t="s">
        <v>166</v>
      </c>
    </row>
    <row r="243" ht="12">
      <c r="A243" t="s">
        <v>175</v>
      </c>
    </row>
    <row r="244" ht="12">
      <c r="A244" t="s">
        <v>176</v>
      </c>
    </row>
    <row r="245" ht="12">
      <c r="A245" t="s">
        <v>142</v>
      </c>
    </row>
    <row r="246" ht="12">
      <c r="A246" t="s">
        <v>177</v>
      </c>
    </row>
    <row r="247" ht="12">
      <c r="A247" t="s">
        <v>143</v>
      </c>
    </row>
    <row r="248" ht="12">
      <c r="A248" t="s">
        <v>178</v>
      </c>
    </row>
    <row r="249" ht="12">
      <c r="A249" t="s">
        <v>179</v>
      </c>
    </row>
    <row r="250" ht="12">
      <c r="A250" t="s">
        <v>146</v>
      </c>
    </row>
    <row r="251" ht="12">
      <c r="A251" t="s">
        <v>153</v>
      </c>
    </row>
    <row r="252" spans="1:8" ht="12">
      <c r="A252" t="s">
        <v>162</v>
      </c>
      <c r="F252">
        <v>1</v>
      </c>
      <c r="H252" t="s">
        <v>250</v>
      </c>
    </row>
    <row r="253" ht="12">
      <c r="A253" t="s">
        <v>180</v>
      </c>
    </row>
  </sheetData>
  <sheetProtection/>
  <mergeCells count="5">
    <mergeCell ref="L160:M160"/>
    <mergeCell ref="N160:O160"/>
    <mergeCell ref="P160:Q160"/>
    <mergeCell ref="R160:S160"/>
    <mergeCell ref="T160:U160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53"/>
  <sheetViews>
    <sheetView zoomScale="125" zoomScaleNormal="125" workbookViewId="0" topLeftCell="A1">
      <selection activeCell="A122" sqref="A122:G122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Chicago Bears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15</v>
      </c>
      <c r="H6" s="1" t="s">
        <v>29</v>
      </c>
      <c r="M6" s="2">
        <v>19</v>
      </c>
    </row>
    <row r="7" spans="1:13" ht="12">
      <c r="A7" s="16" t="s">
        <v>95</v>
      </c>
      <c r="D7" s="2">
        <v>7</v>
      </c>
      <c r="H7" s="16" t="s">
        <v>95</v>
      </c>
      <c r="M7" s="2">
        <v>9</v>
      </c>
    </row>
    <row r="8" spans="1:13" ht="12">
      <c r="A8" s="16" t="s">
        <v>96</v>
      </c>
      <c r="D8" s="2">
        <v>7</v>
      </c>
      <c r="H8" s="16" t="s">
        <v>96</v>
      </c>
      <c r="M8" s="2">
        <v>7</v>
      </c>
    </row>
    <row r="9" spans="1:13" ht="12">
      <c r="A9" s="16" t="s">
        <v>97</v>
      </c>
      <c r="D9" s="2">
        <v>1</v>
      </c>
      <c r="H9" s="16" t="s">
        <v>97</v>
      </c>
      <c r="M9" s="2">
        <v>3</v>
      </c>
    </row>
    <row r="10" spans="1:14" ht="12">
      <c r="A10" s="18" t="s">
        <v>108</v>
      </c>
      <c r="C10">
        <v>8</v>
      </c>
      <c r="D10" s="2">
        <v>15</v>
      </c>
      <c r="E10" s="19">
        <f>+C10/D10</f>
        <v>0.5333333333333333</v>
      </c>
      <c r="H10" s="18" t="s">
        <v>108</v>
      </c>
      <c r="L10">
        <v>4</v>
      </c>
      <c r="M10" s="2">
        <v>11</v>
      </c>
      <c r="N10" s="19">
        <f>+L10/M10</f>
        <v>0.36363636363636365</v>
      </c>
    </row>
    <row r="11" spans="1:14" ht="12">
      <c r="A11" s="18" t="s">
        <v>119</v>
      </c>
      <c r="C11">
        <v>0</v>
      </c>
      <c r="D11" s="2">
        <v>0</v>
      </c>
      <c r="E11" s="19"/>
      <c r="H11" s="18" t="s">
        <v>119</v>
      </c>
      <c r="L11">
        <v>2</v>
      </c>
      <c r="M11" s="2">
        <v>2</v>
      </c>
      <c r="N11" s="19"/>
    </row>
    <row r="13" spans="1:23" ht="12">
      <c r="A13" t="s">
        <v>1</v>
      </c>
      <c r="D13" s="2">
        <f>18+9+2+2+5</f>
        <v>36</v>
      </c>
      <c r="H13" t="s">
        <v>1</v>
      </c>
      <c r="M13" s="2">
        <f>18+10+3+2</f>
        <v>33</v>
      </c>
      <c r="V13">
        <f>+D13</f>
        <v>36</v>
      </c>
      <c r="W13">
        <f>+M13</f>
        <v>33</v>
      </c>
    </row>
    <row r="14" spans="1:23" ht="12">
      <c r="A14" t="s">
        <v>2</v>
      </c>
      <c r="D14" s="2">
        <f>84+35+4+17+11</f>
        <v>151</v>
      </c>
      <c r="H14" t="s">
        <v>2</v>
      </c>
      <c r="M14" s="2">
        <f>83+16+11+9</f>
        <v>119</v>
      </c>
      <c r="P14" s="13"/>
      <c r="U14" s="13"/>
      <c r="V14">
        <f>+D18</f>
        <v>11</v>
      </c>
      <c r="W14">
        <f>+M18</f>
        <v>13</v>
      </c>
    </row>
    <row r="15" spans="1:23" ht="12">
      <c r="A15" s="1" t="s">
        <v>3</v>
      </c>
      <c r="D15" s="8">
        <f>+D14/D13</f>
        <v>4.194444444444445</v>
      </c>
      <c r="H15" s="1" t="s">
        <v>3</v>
      </c>
      <c r="M15" s="8">
        <f>+M14/M13</f>
        <v>3.606060606060606</v>
      </c>
      <c r="V15">
        <f>+(D17-D18)/2</f>
        <v>8</v>
      </c>
      <c r="W15">
        <f>+(M17-M18)/2</f>
        <v>5.5</v>
      </c>
    </row>
    <row r="16" spans="22:23" ht="12">
      <c r="V16">
        <f>+D40/2</f>
        <v>1.5</v>
      </c>
      <c r="W16">
        <f>+M40/2</f>
        <v>1.5</v>
      </c>
    </row>
    <row r="17" spans="1:23" ht="12">
      <c r="A17" t="s">
        <v>4</v>
      </c>
      <c r="D17" s="2">
        <v>27</v>
      </c>
      <c r="H17" t="s">
        <v>4</v>
      </c>
      <c r="M17" s="2">
        <v>24</v>
      </c>
      <c r="V17">
        <f>+D44/2</f>
        <v>0.5</v>
      </c>
      <c r="W17">
        <f>+M44/2</f>
        <v>0.5</v>
      </c>
    </row>
    <row r="18" spans="1:23" ht="12">
      <c r="A18" t="s">
        <v>5</v>
      </c>
      <c r="D18" s="2">
        <v>11</v>
      </c>
      <c r="H18" t="s">
        <v>5</v>
      </c>
      <c r="M18" s="2">
        <v>13</v>
      </c>
      <c r="V18">
        <f>+D50/2</f>
        <v>2</v>
      </c>
      <c r="W18">
        <f>+M50/2</f>
        <v>1.5</v>
      </c>
    </row>
    <row r="19" spans="1:13" ht="12">
      <c r="A19" t="s">
        <v>6</v>
      </c>
      <c r="D19" s="8">
        <f>+D18/D17*100</f>
        <v>40.74074074074074</v>
      </c>
      <c r="H19" t="s">
        <v>6</v>
      </c>
      <c r="M19" s="8">
        <f>+M18/M17*100</f>
        <v>54.166666666666664</v>
      </c>
    </row>
    <row r="20" spans="1:24" ht="12">
      <c r="A20" t="s">
        <v>7</v>
      </c>
      <c r="D20" s="2">
        <v>134</v>
      </c>
      <c r="H20" t="s">
        <v>7</v>
      </c>
      <c r="M20" s="2">
        <v>166</v>
      </c>
      <c r="V20">
        <f>SUM(V13:V18)</f>
        <v>59</v>
      </c>
      <c r="W20">
        <f>SUM(W13:W18)</f>
        <v>55</v>
      </c>
      <c r="X20">
        <f>+W20+V20</f>
        <v>114</v>
      </c>
    </row>
    <row r="21" spans="1:23" ht="12">
      <c r="A21" t="s">
        <v>8</v>
      </c>
      <c r="D21" s="2">
        <v>1</v>
      </c>
      <c r="H21" t="s">
        <v>8</v>
      </c>
      <c r="M21" s="2">
        <v>1</v>
      </c>
      <c r="V21">
        <f>+V20/X20</f>
        <v>0.5175438596491229</v>
      </c>
      <c r="W21">
        <f>+W20/X20</f>
        <v>0.4824561403508772</v>
      </c>
    </row>
    <row r="22" spans="1:23" ht="12">
      <c r="A22" t="s">
        <v>9</v>
      </c>
      <c r="D22" s="2">
        <v>13</v>
      </c>
      <c r="H22" t="s">
        <v>9</v>
      </c>
      <c r="M22" s="2">
        <v>7</v>
      </c>
      <c r="V22">
        <f>+V21*60</f>
        <v>31.05263157894737</v>
      </c>
      <c r="W22">
        <f>+W21*60</f>
        <v>28.94736842105263</v>
      </c>
    </row>
    <row r="23" spans="1:23" ht="12">
      <c r="A23" t="s">
        <v>10</v>
      </c>
      <c r="D23">
        <f>+D20-D22</f>
        <v>121</v>
      </c>
      <c r="H23" t="s">
        <v>10</v>
      </c>
      <c r="M23">
        <f>+M20-M22</f>
        <v>159</v>
      </c>
      <c r="V23">
        <f>+V22-INT(V22)</f>
        <v>0.05263157894736992</v>
      </c>
      <c r="W23">
        <f>+W22-INT(W22)</f>
        <v>0.9473684210526301</v>
      </c>
    </row>
    <row r="24" spans="1:23" ht="12">
      <c r="A24" t="s">
        <v>11</v>
      </c>
      <c r="D24" s="7">
        <f>+D23/(D17+D21)</f>
        <v>4.321428571428571</v>
      </c>
      <c r="H24" t="s">
        <v>11</v>
      </c>
      <c r="M24" s="7">
        <f>+M23/(M17+M21)</f>
        <v>6.36</v>
      </c>
      <c r="V24">
        <f>+V23*60</f>
        <v>3.157894736842195</v>
      </c>
      <c r="W24">
        <f>+W23*60</f>
        <v>56.842105263157805</v>
      </c>
    </row>
    <row r="25" spans="1:23" ht="12">
      <c r="A25" t="s">
        <v>12</v>
      </c>
      <c r="D25" s="7">
        <f>+D20/D18</f>
        <v>12.181818181818182</v>
      </c>
      <c r="H25" t="s">
        <v>12</v>
      </c>
      <c r="M25" s="7">
        <f>+M20/M18</f>
        <v>12.76923076923077</v>
      </c>
      <c r="Q25" s="11"/>
      <c r="U25">
        <v>0</v>
      </c>
      <c r="V25" s="11">
        <f>ROUND(V24,0)</f>
        <v>3</v>
      </c>
      <c r="W25">
        <f>ROUND(W24,0)</f>
        <v>57</v>
      </c>
    </row>
    <row r="26" spans="22:23" ht="12">
      <c r="V26">
        <f>INT(V22)</f>
        <v>31</v>
      </c>
      <c r="W26">
        <f>INT(W22)</f>
        <v>28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272</v>
      </c>
      <c r="H28" t="s">
        <v>14</v>
      </c>
      <c r="M28">
        <f>+M23+M14</f>
        <v>278</v>
      </c>
      <c r="Q28" s="14"/>
      <c r="R28" s="9"/>
      <c r="V28" s="14" t="str">
        <f>+V26&amp;V27&amp;V25</f>
        <v>31:3</v>
      </c>
      <c r="W28" s="9" t="str">
        <f>+W26&amp;W27&amp;W25</f>
        <v>28:57</v>
      </c>
    </row>
    <row r="29" spans="1:23" ht="12">
      <c r="A29" t="s">
        <v>15</v>
      </c>
      <c r="D29" s="7">
        <f>+D14/D28*100</f>
        <v>55.51470588235294</v>
      </c>
      <c r="H29" t="s">
        <v>15</v>
      </c>
      <c r="M29" s="7">
        <f>+M14/M28*100</f>
        <v>42.805755395683455</v>
      </c>
      <c r="Q29" s="9"/>
      <c r="R29" s="9"/>
      <c r="V29" s="9" t="str">
        <f>IF(V25&lt;10,+V26&amp;V27&amp;$U$25&amp;V25,+V26&amp;V27&amp;V25)</f>
        <v>31:03</v>
      </c>
      <c r="W29" s="9" t="str">
        <f>IF(W25&lt;10,+W26&amp;W27&amp;$U$25&amp;W25,+W26&amp;W27&amp;W25)</f>
        <v>28:57</v>
      </c>
    </row>
    <row r="30" spans="1:16" ht="12">
      <c r="A30" s="1" t="s">
        <v>90</v>
      </c>
      <c r="D30" s="7">
        <f>+D23/D28*100</f>
        <v>44.48529411764706</v>
      </c>
      <c r="H30" s="1" t="s">
        <v>90</v>
      </c>
      <c r="M30" s="7">
        <f>+M23/M28*100</f>
        <v>57.194244604316545</v>
      </c>
      <c r="P30" s="13"/>
    </row>
    <row r="32" spans="1:13" ht="12">
      <c r="A32" t="s">
        <v>16</v>
      </c>
      <c r="D32">
        <f>+D13+D17+D21</f>
        <v>64</v>
      </c>
      <c r="H32" t="s">
        <v>16</v>
      </c>
      <c r="M32">
        <f>+M13+M17+M21</f>
        <v>58</v>
      </c>
    </row>
    <row r="33" spans="1:14" ht="12">
      <c r="A33" t="s">
        <v>17</v>
      </c>
      <c r="C33" s="7"/>
      <c r="D33" s="8">
        <f>+D28/D32</f>
        <v>4.25</v>
      </c>
      <c r="F33" s="7"/>
      <c r="G33" s="7"/>
      <c r="H33" s="7" t="s">
        <v>17</v>
      </c>
      <c r="I33" s="7"/>
      <c r="J33" s="7"/>
      <c r="K33" s="7"/>
      <c r="M33" s="8">
        <f>+M28/M32</f>
        <v>4.793103448275862</v>
      </c>
      <c r="N33" s="7"/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2</v>
      </c>
      <c r="H36" t="s">
        <v>19</v>
      </c>
      <c r="M36" s="2">
        <v>1</v>
      </c>
    </row>
    <row r="37" spans="1:13" ht="12">
      <c r="A37" t="s">
        <v>20</v>
      </c>
      <c r="D37" s="2">
        <v>37</v>
      </c>
      <c r="H37" t="s">
        <v>20</v>
      </c>
      <c r="M37" s="2">
        <v>14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3</v>
      </c>
      <c r="H40" t="s">
        <v>22</v>
      </c>
      <c r="M40" s="2">
        <v>3</v>
      </c>
    </row>
    <row r="41" spans="1:13" ht="12">
      <c r="A41" t="s">
        <v>23</v>
      </c>
      <c r="D41" s="2">
        <f>52+40+40</f>
        <v>132</v>
      </c>
      <c r="H41" t="s">
        <v>23</v>
      </c>
      <c r="M41" s="2">
        <f>34+52+48</f>
        <v>134</v>
      </c>
    </row>
    <row r="42" spans="1:14" ht="12">
      <c r="A42" t="s">
        <v>24</v>
      </c>
      <c r="C42" s="7"/>
      <c r="D42" s="8">
        <f>+D41/D40</f>
        <v>44</v>
      </c>
      <c r="F42" s="7"/>
      <c r="G42" s="7"/>
      <c r="H42" s="7" t="s">
        <v>24</v>
      </c>
      <c r="I42" s="7"/>
      <c r="J42" s="7"/>
      <c r="K42" s="7"/>
      <c r="M42" s="8">
        <f>+M41/M40</f>
        <v>44.666666666666664</v>
      </c>
      <c r="N42" s="7"/>
    </row>
    <row r="44" spans="1:13" ht="12">
      <c r="A44" t="s">
        <v>25</v>
      </c>
      <c r="D44" s="2">
        <v>1</v>
      </c>
      <c r="H44" t="s">
        <v>25</v>
      </c>
      <c r="M44" s="2">
        <v>1</v>
      </c>
    </row>
    <row r="45" spans="1:13" ht="12">
      <c r="A45" t="s">
        <v>26</v>
      </c>
      <c r="D45" s="2">
        <v>4</v>
      </c>
      <c r="H45" t="s">
        <v>26</v>
      </c>
      <c r="M45" s="2">
        <v>0</v>
      </c>
    </row>
    <row r="46" spans="1:13" ht="12">
      <c r="A46" t="s">
        <v>27</v>
      </c>
      <c r="D46" s="8">
        <f>+D45/D44</f>
        <v>4</v>
      </c>
      <c r="H46" t="s">
        <v>27</v>
      </c>
      <c r="M46" s="8">
        <f>+M45/M44</f>
        <v>0</v>
      </c>
    </row>
    <row r="47" spans="1:13" ht="12">
      <c r="A47" s="18" t="s">
        <v>131</v>
      </c>
      <c r="D47" s="2">
        <v>0</v>
      </c>
      <c r="H47" s="18" t="s">
        <v>131</v>
      </c>
      <c r="M47" s="2">
        <v>2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4</v>
      </c>
      <c r="H50" t="s">
        <v>30</v>
      </c>
      <c r="M50" s="2">
        <v>3</v>
      </c>
    </row>
    <row r="51" spans="1:13" ht="12">
      <c r="A51" t="s">
        <v>26</v>
      </c>
      <c r="D51" s="2">
        <f>15+31+27+27</f>
        <v>100</v>
      </c>
      <c r="H51" t="s">
        <v>26</v>
      </c>
      <c r="M51" s="2">
        <f>37+9+24</f>
        <v>70</v>
      </c>
    </row>
    <row r="52" spans="1:13" ht="12">
      <c r="A52" t="s">
        <v>27</v>
      </c>
      <c r="D52" s="8">
        <f>+D51/D50</f>
        <v>25</v>
      </c>
      <c r="H52" t="s">
        <v>27</v>
      </c>
      <c r="M52" s="8">
        <f>+M51/M50</f>
        <v>23.333333333333332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3</v>
      </c>
      <c r="G55" t="str">
        <f>IF(D55-D56=M50,"ok","err")</f>
        <v>ok</v>
      </c>
      <c r="H55" t="s">
        <v>127</v>
      </c>
      <c r="K55" s="2"/>
      <c r="M55" s="2">
        <v>4</v>
      </c>
      <c r="P55" s="2"/>
    </row>
    <row r="56" spans="1:16" ht="12">
      <c r="A56" t="s">
        <v>128</v>
      </c>
      <c r="D56" s="2">
        <v>0</v>
      </c>
      <c r="H56" t="s">
        <v>128</v>
      </c>
      <c r="K56" s="2"/>
      <c r="M56" s="2">
        <v>0</v>
      </c>
      <c r="P56" s="2"/>
    </row>
    <row r="57" spans="1:13" ht="12">
      <c r="A57" t="s">
        <v>129</v>
      </c>
      <c r="D57">
        <f>+D56/D55</f>
        <v>0</v>
      </c>
      <c r="H57" t="s">
        <v>129</v>
      </c>
      <c r="M57">
        <f>+M56/M55</f>
        <v>0</v>
      </c>
    </row>
    <row r="59" spans="1:13" ht="12">
      <c r="A59" t="s">
        <v>31</v>
      </c>
      <c r="D59" s="2">
        <v>6</v>
      </c>
      <c r="H59" t="s">
        <v>31</v>
      </c>
      <c r="M59" s="2">
        <v>7</v>
      </c>
    </row>
    <row r="60" spans="1:13" ht="12">
      <c r="A60" t="s">
        <v>32</v>
      </c>
      <c r="D60" s="2">
        <v>62</v>
      </c>
      <c r="H60" t="s">
        <v>32</v>
      </c>
      <c r="M60" s="2">
        <v>52</v>
      </c>
    </row>
    <row r="62" spans="1:13" ht="12">
      <c r="A62" t="s">
        <v>33</v>
      </c>
      <c r="D62" s="2">
        <v>2</v>
      </c>
      <c r="H62" t="s">
        <v>33</v>
      </c>
      <c r="M62" s="2">
        <v>1</v>
      </c>
    </row>
    <row r="63" spans="1:13" ht="12">
      <c r="A63" t="s">
        <v>34</v>
      </c>
      <c r="D63" s="2">
        <v>1</v>
      </c>
      <c r="H63" t="s">
        <v>34</v>
      </c>
      <c r="M63" s="2">
        <v>0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1</v>
      </c>
      <c r="H65" t="s">
        <v>36</v>
      </c>
      <c r="M65" s="2">
        <v>1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10</v>
      </c>
      <c r="E68" t="str">
        <f>IF(B68=B69*6+B75*2+B76*3+B73,"ok","ERR")</f>
        <v>ok</v>
      </c>
      <c r="H68" t="s">
        <v>38</v>
      </c>
      <c r="M68" s="2">
        <v>17</v>
      </c>
      <c r="P68" t="str">
        <f>IF(M68=M69*6+M75*2+M76*3+M73,"ok","ERR")</f>
        <v>ok</v>
      </c>
    </row>
    <row r="69" spans="1:13" ht="12">
      <c r="A69" t="s">
        <v>39</v>
      </c>
      <c r="D69" s="2">
        <v>1</v>
      </c>
      <c r="H69" t="s">
        <v>39</v>
      </c>
      <c r="M69" s="2">
        <v>2</v>
      </c>
    </row>
    <row r="70" spans="1:13" ht="12">
      <c r="A70" t="s">
        <v>40</v>
      </c>
      <c r="D70" s="2">
        <v>1</v>
      </c>
      <c r="H70" t="s">
        <v>40</v>
      </c>
      <c r="M70" s="2">
        <v>1</v>
      </c>
    </row>
    <row r="71" spans="1:13" ht="12">
      <c r="A71" t="s">
        <v>41</v>
      </c>
      <c r="D71" s="2">
        <v>0</v>
      </c>
      <c r="H71" t="s">
        <v>41</v>
      </c>
      <c r="M71" s="2">
        <v>1</v>
      </c>
    </row>
    <row r="72" spans="1:13" ht="12">
      <c r="A72" t="s">
        <v>42</v>
      </c>
      <c r="D72" s="2">
        <v>0</v>
      </c>
      <c r="H72" t="s">
        <v>42</v>
      </c>
      <c r="M72" s="2">
        <v>0</v>
      </c>
    </row>
    <row r="73" spans="1:13" ht="12">
      <c r="A73" t="s">
        <v>43</v>
      </c>
      <c r="D73" s="2">
        <v>1</v>
      </c>
      <c r="H73" t="s">
        <v>43</v>
      </c>
      <c r="M73" s="2">
        <v>2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1</v>
      </c>
      <c r="H76" t="s">
        <v>45</v>
      </c>
      <c r="M76" s="2">
        <v>1</v>
      </c>
    </row>
    <row r="77" spans="1:13" ht="12">
      <c r="A77" t="s">
        <v>46</v>
      </c>
      <c r="D77" s="2">
        <v>3</v>
      </c>
      <c r="H77" t="s">
        <v>46</v>
      </c>
      <c r="M77" s="2">
        <v>3</v>
      </c>
    </row>
    <row r="78" spans="1:13" ht="12">
      <c r="A78" t="s">
        <v>47</v>
      </c>
      <c r="D78" s="8">
        <f>+D76/D77*100</f>
        <v>33.33333333333333</v>
      </c>
      <c r="E78" s="7"/>
      <c r="F78" s="7"/>
      <c r="G78" s="7"/>
      <c r="H78" s="7" t="s">
        <v>47</v>
      </c>
      <c r="I78" s="7"/>
      <c r="J78" s="7"/>
      <c r="K78" s="7"/>
      <c r="L78" s="7"/>
      <c r="M78" s="8">
        <f>+M76/M77*100</f>
        <v>33.33333333333333</v>
      </c>
    </row>
    <row r="79" spans="1:13" ht="12">
      <c r="A79" t="s">
        <v>93</v>
      </c>
      <c r="D79" s="10" t="str">
        <f>IF(V25&lt;10,V29,V28)</f>
        <v>31:03</v>
      </c>
      <c r="E79" s="8"/>
      <c r="F79" s="8"/>
      <c r="H79" t="s">
        <v>93</v>
      </c>
      <c r="M79" s="10">
        <f>IF(AE25&lt;10,AE29,AE28)</f>
        <v>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8" ht="12">
      <c r="A84" t="s">
        <v>134</v>
      </c>
      <c r="C84">
        <v>2</v>
      </c>
      <c r="D84">
        <v>4</v>
      </c>
      <c r="E84" s="12">
        <f>+D84/C84</f>
        <v>2</v>
      </c>
      <c r="F84">
        <v>4</v>
      </c>
      <c r="G84">
        <v>0</v>
      </c>
      <c r="H84">
        <v>0</v>
      </c>
    </row>
    <row r="85" spans="1:8" ht="12">
      <c r="A85" t="s">
        <v>135</v>
      </c>
      <c r="C85">
        <v>5</v>
      </c>
      <c r="D85">
        <v>11</v>
      </c>
      <c r="E85" s="12">
        <f>+D85/C85</f>
        <v>2.2</v>
      </c>
      <c r="F85">
        <v>5</v>
      </c>
      <c r="G85">
        <v>0</v>
      </c>
      <c r="H85">
        <v>1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5" ht="12">
      <c r="A87" t="s">
        <v>137</v>
      </c>
      <c r="E87" s="12" t="e">
        <f t="shared" si="0"/>
        <v>#DIV/0!</v>
      </c>
    </row>
    <row r="88" spans="1:8" ht="12">
      <c r="A88" t="s">
        <v>138</v>
      </c>
      <c r="C88">
        <v>2</v>
      </c>
      <c r="D88">
        <v>17</v>
      </c>
      <c r="E88" s="12">
        <f t="shared" si="0"/>
        <v>8.5</v>
      </c>
      <c r="F88">
        <v>13</v>
      </c>
      <c r="G88">
        <v>0</v>
      </c>
      <c r="H88">
        <v>0</v>
      </c>
    </row>
    <row r="89" spans="1:5" ht="12">
      <c r="A89" t="s">
        <v>139</v>
      </c>
      <c r="E89" s="12" t="e">
        <f t="shared" si="0"/>
        <v>#DIV/0!</v>
      </c>
    </row>
    <row r="90" spans="1:5" ht="12">
      <c r="A90" t="s">
        <v>140</v>
      </c>
      <c r="E90" s="12" t="e">
        <f t="shared" si="0"/>
        <v>#DIV/0!</v>
      </c>
    </row>
    <row r="91" spans="1:8" ht="12">
      <c r="A91" t="s">
        <v>141</v>
      </c>
      <c r="C91">
        <v>9</v>
      </c>
      <c r="D91">
        <v>35</v>
      </c>
      <c r="E91" s="12">
        <f t="shared" si="0"/>
        <v>3.888888888888889</v>
      </c>
      <c r="F91">
        <v>8</v>
      </c>
      <c r="G91">
        <v>0</v>
      </c>
      <c r="H91">
        <v>1</v>
      </c>
    </row>
    <row r="92" spans="1:5" ht="12">
      <c r="A92" t="s">
        <v>142</v>
      </c>
      <c r="E92" s="12" t="e">
        <f t="shared" si="0"/>
        <v>#DIV/0!</v>
      </c>
    </row>
    <row r="93" spans="1:8" ht="12">
      <c r="A93" t="s">
        <v>143</v>
      </c>
      <c r="C93">
        <v>18</v>
      </c>
      <c r="D93">
        <v>84</v>
      </c>
      <c r="E93" s="12">
        <f>+D93/C93</f>
        <v>4.666666666666667</v>
      </c>
      <c r="F93">
        <v>22</v>
      </c>
      <c r="G93">
        <v>1</v>
      </c>
      <c r="H93">
        <v>0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5" ht="12">
      <c r="A101" t="s">
        <v>134</v>
      </c>
      <c r="E101" s="12" t="e">
        <f aca="true" t="shared" si="1" ref="E101:E112">+D101/C101</f>
        <v>#DIV/0!</v>
      </c>
    </row>
    <row r="102" spans="1:5" ht="12">
      <c r="A102" t="s">
        <v>144</v>
      </c>
      <c r="E102" s="12" t="e">
        <f t="shared" si="1"/>
        <v>#DIV/0!</v>
      </c>
    </row>
    <row r="103" spans="1:8" ht="12">
      <c r="A103" t="s">
        <v>136</v>
      </c>
      <c r="C103">
        <v>4</v>
      </c>
      <c r="D103">
        <v>70</v>
      </c>
      <c r="E103" s="12">
        <f t="shared" si="1"/>
        <v>17.5</v>
      </c>
      <c r="F103">
        <v>27</v>
      </c>
      <c r="G103">
        <v>0</v>
      </c>
      <c r="H103">
        <v>0</v>
      </c>
    </row>
    <row r="104" spans="1:5" ht="12">
      <c r="A104" t="s">
        <v>145</v>
      </c>
      <c r="E104" s="12" t="e">
        <f t="shared" si="1"/>
        <v>#DIV/0!</v>
      </c>
    </row>
    <row r="105" spans="1:8" ht="12">
      <c r="A105" t="s">
        <v>137</v>
      </c>
      <c r="C105">
        <v>1</v>
      </c>
      <c r="D105">
        <v>29</v>
      </c>
      <c r="E105" s="12">
        <f t="shared" si="1"/>
        <v>29</v>
      </c>
      <c r="F105">
        <v>29</v>
      </c>
      <c r="G105">
        <v>0</v>
      </c>
      <c r="H105">
        <v>0</v>
      </c>
    </row>
    <row r="106" spans="1:8" ht="12">
      <c r="A106" t="s">
        <v>138</v>
      </c>
      <c r="C106">
        <v>1</v>
      </c>
      <c r="D106">
        <v>4</v>
      </c>
      <c r="E106" s="12">
        <f t="shared" si="1"/>
        <v>4</v>
      </c>
      <c r="F106">
        <v>4</v>
      </c>
      <c r="G106">
        <v>0</v>
      </c>
      <c r="H106">
        <v>0</v>
      </c>
    </row>
    <row r="107" spans="1:5" ht="12">
      <c r="A107" t="s">
        <v>139</v>
      </c>
      <c r="E107" s="12" t="e">
        <f t="shared" si="1"/>
        <v>#DIV/0!</v>
      </c>
    </row>
    <row r="108" spans="1:8" ht="12">
      <c r="A108" t="s">
        <v>140</v>
      </c>
      <c r="C108">
        <v>1</v>
      </c>
      <c r="D108">
        <v>8</v>
      </c>
      <c r="E108" s="12">
        <f t="shared" si="1"/>
        <v>8</v>
      </c>
      <c r="F108">
        <v>8</v>
      </c>
      <c r="G108">
        <v>0</v>
      </c>
      <c r="H108">
        <v>0</v>
      </c>
    </row>
    <row r="109" spans="1:8" ht="12">
      <c r="A109" t="s">
        <v>141</v>
      </c>
      <c r="C109">
        <v>1</v>
      </c>
      <c r="D109">
        <v>4</v>
      </c>
      <c r="E109" s="12">
        <f t="shared" si="1"/>
        <v>4</v>
      </c>
      <c r="F109">
        <v>4</v>
      </c>
      <c r="G109">
        <v>0</v>
      </c>
      <c r="H109">
        <v>0</v>
      </c>
    </row>
    <row r="110" spans="1:8" ht="12">
      <c r="A110" t="s">
        <v>143</v>
      </c>
      <c r="C110">
        <v>3</v>
      </c>
      <c r="D110">
        <v>19</v>
      </c>
      <c r="E110" s="12">
        <f t="shared" si="1"/>
        <v>6.333333333333333</v>
      </c>
      <c r="F110">
        <v>8</v>
      </c>
      <c r="G110">
        <v>0</v>
      </c>
      <c r="H110">
        <v>0</v>
      </c>
    </row>
    <row r="111" spans="1:5" ht="12">
      <c r="A111" t="s">
        <v>146</v>
      </c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133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C122">
        <v>27</v>
      </c>
      <c r="D122">
        <v>11</v>
      </c>
      <c r="E122" s="12">
        <f t="shared" si="2"/>
        <v>40.74074074074074</v>
      </c>
      <c r="F122">
        <v>134</v>
      </c>
      <c r="G122">
        <v>0</v>
      </c>
      <c r="H122">
        <v>29</v>
      </c>
      <c r="I122">
        <v>2</v>
      </c>
      <c r="J122" s="8">
        <f t="shared" si="3"/>
        <v>0</v>
      </c>
      <c r="K122" s="12">
        <f t="shared" si="4"/>
        <v>7.4074074074074066</v>
      </c>
      <c r="L122" s="12">
        <f t="shared" si="5"/>
        <v>4.962962962962963</v>
      </c>
      <c r="M122" s="12">
        <f t="shared" si="6"/>
        <v>25.84876543209877</v>
      </c>
      <c r="N122">
        <v>0</v>
      </c>
      <c r="O122">
        <v>1</v>
      </c>
      <c r="R122">
        <f t="shared" si="7"/>
        <v>0.537037037037037</v>
      </c>
      <c r="S122" s="2">
        <f t="shared" si="8"/>
        <v>0.537037037037037</v>
      </c>
      <c r="T122" s="6">
        <f t="shared" si="9"/>
        <v>0.4907407407407407</v>
      </c>
      <c r="U122" s="2">
        <f t="shared" si="10"/>
        <v>0.4907407407407407</v>
      </c>
      <c r="V122">
        <f t="shared" si="11"/>
        <v>0</v>
      </c>
      <c r="W122" s="2">
        <f t="shared" si="12"/>
        <v>0</v>
      </c>
      <c r="X122">
        <f t="shared" si="13"/>
        <v>0.5231481481481484</v>
      </c>
      <c r="Y122" s="2">
        <f t="shared" si="14"/>
        <v>0.5231481481481484</v>
      </c>
    </row>
    <row r="123" spans="1:25" ht="12">
      <c r="A123" t="s">
        <v>147</v>
      </c>
      <c r="E123" s="12" t="e">
        <f t="shared" si="2"/>
        <v>#DIV/0!</v>
      </c>
      <c r="J123" s="8" t="e">
        <f t="shared" si="3"/>
        <v>#DIV/0!</v>
      </c>
      <c r="K123" s="12" t="e">
        <f t="shared" si="4"/>
        <v>#DIV/0!</v>
      </c>
      <c r="L123" s="12" t="e">
        <f t="shared" si="5"/>
        <v>#DIV/0!</v>
      </c>
      <c r="M123" s="12" t="e">
        <f t="shared" si="6"/>
        <v>#DIV/0!</v>
      </c>
      <c r="R123" t="e">
        <f t="shared" si="7"/>
        <v>#DIV/0!</v>
      </c>
      <c r="S123" s="2" t="e">
        <f t="shared" si="8"/>
        <v>#DIV/0!</v>
      </c>
      <c r="T123" s="6" t="e">
        <f t="shared" si="9"/>
        <v>#DIV/0!</v>
      </c>
      <c r="U123" s="2" t="e">
        <f t="shared" si="10"/>
        <v>#DIV/0!</v>
      </c>
      <c r="V123" t="e">
        <f t="shared" si="11"/>
        <v>#DIV/0!</v>
      </c>
      <c r="W123" s="2" t="e">
        <f t="shared" si="12"/>
        <v>#DIV/0!</v>
      </c>
      <c r="X123" t="e">
        <f t="shared" si="13"/>
        <v>#DIV/0!</v>
      </c>
      <c r="Y123" s="2" t="e">
        <f t="shared" si="14"/>
        <v>#DIV/0!</v>
      </c>
    </row>
    <row r="124" spans="1:25" ht="12">
      <c r="A124" t="s">
        <v>142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143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5:25" ht="12"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8" spans="1:9" ht="12">
      <c r="A128" s="2" t="s">
        <v>71</v>
      </c>
      <c r="C128" s="3" t="s">
        <v>72</v>
      </c>
      <c r="D128" s="3" t="s">
        <v>73</v>
      </c>
      <c r="E128" s="3" t="s">
        <v>74</v>
      </c>
      <c r="F128" s="3" t="s">
        <v>53</v>
      </c>
      <c r="G128" s="3" t="s">
        <v>64</v>
      </c>
      <c r="H128" s="3" t="s">
        <v>55</v>
      </c>
      <c r="I128" s="3" t="s">
        <v>84</v>
      </c>
    </row>
    <row r="129" spans="1:6" ht="12">
      <c r="A129" t="s">
        <v>148</v>
      </c>
      <c r="F129" s="12" t="e">
        <f aca="true" t="shared" si="15" ref="F129:F134">+E129/C129</f>
        <v>#DIV/0!</v>
      </c>
    </row>
    <row r="130" spans="1:7" ht="12">
      <c r="A130" t="s">
        <v>136</v>
      </c>
      <c r="C130">
        <v>1</v>
      </c>
      <c r="E130">
        <v>4</v>
      </c>
      <c r="F130" s="12">
        <f t="shared" si="15"/>
        <v>4</v>
      </c>
      <c r="G130">
        <v>4</v>
      </c>
    </row>
    <row r="131" spans="1:6" ht="12">
      <c r="A131" t="s">
        <v>140</v>
      </c>
      <c r="F131" s="12" t="e">
        <f t="shared" si="15"/>
        <v>#DIV/0!</v>
      </c>
    </row>
    <row r="132" spans="1:6" ht="12">
      <c r="A132" t="s">
        <v>143</v>
      </c>
      <c r="F132" s="12" t="e">
        <f t="shared" si="15"/>
        <v>#DIV/0!</v>
      </c>
    </row>
    <row r="133" ht="12">
      <c r="F133" s="12" t="e">
        <f t="shared" si="15"/>
        <v>#DIV/0!</v>
      </c>
    </row>
    <row r="134" ht="12">
      <c r="F134" s="12" t="e">
        <f t="shared" si="15"/>
        <v>#DIV/0!</v>
      </c>
    </row>
    <row r="138" spans="1:8" ht="12">
      <c r="A138" s="2" t="s">
        <v>30</v>
      </c>
      <c r="C138" s="3" t="s">
        <v>72</v>
      </c>
      <c r="D138" s="3" t="s">
        <v>74</v>
      </c>
      <c r="E138" s="3" t="s">
        <v>53</v>
      </c>
      <c r="F138" s="3" t="s">
        <v>64</v>
      </c>
      <c r="G138" s="3" t="s">
        <v>55</v>
      </c>
      <c r="H138" s="3" t="s">
        <v>84</v>
      </c>
    </row>
    <row r="139" spans="1:5" ht="12">
      <c r="A139" t="s">
        <v>149</v>
      </c>
      <c r="E139" s="12" t="e">
        <f aca="true" t="shared" si="16" ref="E139:E144">+D139/C139</f>
        <v>#DIV/0!</v>
      </c>
    </row>
    <row r="140" spans="1:5" ht="12">
      <c r="A140" t="s">
        <v>148</v>
      </c>
      <c r="E140" s="12" t="e">
        <f t="shared" si="16"/>
        <v>#DIV/0!</v>
      </c>
    </row>
    <row r="141" spans="1:6" ht="12">
      <c r="A141" t="s">
        <v>136</v>
      </c>
      <c r="C141">
        <v>1</v>
      </c>
      <c r="D141">
        <v>27</v>
      </c>
      <c r="E141" s="12">
        <f t="shared" si="16"/>
        <v>27</v>
      </c>
      <c r="F141">
        <v>27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151</v>
      </c>
      <c r="E143" s="12" t="e">
        <f t="shared" si="16"/>
        <v>#DIV/0!</v>
      </c>
    </row>
    <row r="144" spans="1:5" ht="12">
      <c r="A144" t="s">
        <v>152</v>
      </c>
      <c r="E144" s="12" t="e">
        <f t="shared" si="16"/>
        <v>#DIV/0!</v>
      </c>
    </row>
    <row r="145" spans="1:6" ht="12">
      <c r="A145" t="s">
        <v>138</v>
      </c>
      <c r="C145">
        <v>1</v>
      </c>
      <c r="D145">
        <v>27</v>
      </c>
      <c r="E145" s="12">
        <f aca="true" t="shared" si="17" ref="E145:E151">+D145/C145</f>
        <v>27</v>
      </c>
      <c r="F145">
        <v>27</v>
      </c>
    </row>
    <row r="146" spans="1:6" ht="12">
      <c r="A146" t="s">
        <v>143</v>
      </c>
      <c r="C146">
        <v>2</v>
      </c>
      <c r="D146">
        <v>46</v>
      </c>
      <c r="E146" s="12">
        <f t="shared" si="17"/>
        <v>23</v>
      </c>
      <c r="F146">
        <v>31</v>
      </c>
    </row>
    <row r="147" spans="1:5" ht="12">
      <c r="A147" t="s">
        <v>146</v>
      </c>
      <c r="E147" s="12" t="e">
        <f t="shared" si="17"/>
        <v>#DIV/0!</v>
      </c>
    </row>
    <row r="148" spans="1:5" ht="12">
      <c r="A148" t="s">
        <v>153</v>
      </c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3" spans="1:8" ht="12">
      <c r="A153" s="2" t="s">
        <v>75</v>
      </c>
      <c r="C153" s="3" t="s">
        <v>72</v>
      </c>
      <c r="D153" s="3" t="s">
        <v>74</v>
      </c>
      <c r="E153" s="3" t="s">
        <v>53</v>
      </c>
      <c r="F153" s="3" t="s">
        <v>64</v>
      </c>
      <c r="G153" s="3" t="s">
        <v>76</v>
      </c>
      <c r="H153" s="3" t="s">
        <v>84</v>
      </c>
    </row>
    <row r="154" spans="1:6" ht="12">
      <c r="A154" t="s">
        <v>154</v>
      </c>
      <c r="C154">
        <v>3</v>
      </c>
      <c r="D154">
        <f>52+40+40</f>
        <v>132</v>
      </c>
      <c r="E154" s="12"/>
      <c r="F154">
        <v>52</v>
      </c>
    </row>
    <row r="160" spans="9:21" ht="12">
      <c r="I160" s="5" t="s">
        <v>67</v>
      </c>
      <c r="L160" s="32" t="s">
        <v>99</v>
      </c>
      <c r="M160" s="32"/>
      <c r="N160" s="32" t="s">
        <v>100</v>
      </c>
      <c r="O160" s="32"/>
      <c r="P160" s="32" t="s">
        <v>101</v>
      </c>
      <c r="Q160" s="32"/>
      <c r="R160" s="32" t="s">
        <v>102</v>
      </c>
      <c r="S160" s="32"/>
      <c r="T160" s="32" t="s">
        <v>103</v>
      </c>
      <c r="U160" s="32"/>
    </row>
    <row r="161" spans="1:21" ht="12">
      <c r="A161" s="4" t="s">
        <v>83</v>
      </c>
      <c r="C161" s="3" t="s">
        <v>77</v>
      </c>
      <c r="D161" s="3" t="s">
        <v>78</v>
      </c>
      <c r="E161" s="3" t="s">
        <v>79</v>
      </c>
      <c r="F161" s="3" t="s">
        <v>80</v>
      </c>
      <c r="G161" s="3" t="s">
        <v>81</v>
      </c>
      <c r="H161" s="3" t="s">
        <v>82</v>
      </c>
      <c r="I161" s="3" t="s">
        <v>86</v>
      </c>
      <c r="J161" s="3" t="s">
        <v>64</v>
      </c>
      <c r="L161" s="3" t="s">
        <v>81</v>
      </c>
      <c r="M161" s="3" t="s">
        <v>82</v>
      </c>
      <c r="N161" s="3" t="s">
        <v>81</v>
      </c>
      <c r="O161" s="3" t="s">
        <v>82</v>
      </c>
      <c r="P161" s="3" t="s">
        <v>81</v>
      </c>
      <c r="Q161" s="3" t="s">
        <v>82</v>
      </c>
      <c r="R161" s="3" t="s">
        <v>81</v>
      </c>
      <c r="S161" s="3" t="s">
        <v>82</v>
      </c>
      <c r="T161" s="3" t="s">
        <v>81</v>
      </c>
      <c r="U161" s="3" t="s">
        <v>82</v>
      </c>
    </row>
    <row r="162" spans="1:17" ht="12">
      <c r="A162" t="s">
        <v>155</v>
      </c>
      <c r="C162">
        <v>3</v>
      </c>
      <c r="E162">
        <v>1</v>
      </c>
      <c r="F162">
        <v>1</v>
      </c>
      <c r="G162">
        <v>3</v>
      </c>
      <c r="H162">
        <v>1</v>
      </c>
      <c r="I162" s="12">
        <f aca="true" t="shared" si="18" ref="I162:I169">+H162/G162*100</f>
        <v>33.33333333333333</v>
      </c>
      <c r="J162">
        <v>36</v>
      </c>
      <c r="L162">
        <v>1</v>
      </c>
      <c r="N162">
        <v>1</v>
      </c>
      <c r="P162">
        <v>1</v>
      </c>
      <c r="Q162">
        <v>1</v>
      </c>
    </row>
    <row r="163" spans="1:9" ht="12">
      <c r="A163" t="s">
        <v>154</v>
      </c>
      <c r="I163" s="12" t="e">
        <f t="shared" si="18"/>
        <v>#DIV/0!</v>
      </c>
    </row>
    <row r="164" ht="12">
      <c r="I164" s="12" t="e">
        <f t="shared" si="18"/>
        <v>#DIV/0!</v>
      </c>
    </row>
    <row r="165" ht="12">
      <c r="I165" s="12" t="e">
        <f t="shared" si="18"/>
        <v>#DIV/0!</v>
      </c>
    </row>
    <row r="166" ht="12">
      <c r="I166" s="12" t="e">
        <f t="shared" si="18"/>
        <v>#DIV/0!</v>
      </c>
    </row>
    <row r="167" ht="12"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2" spans="1:8" ht="12">
      <c r="A172" s="2" t="s">
        <v>85</v>
      </c>
      <c r="C172" s="3" t="s">
        <v>72</v>
      </c>
      <c r="D172" s="3" t="s">
        <v>74</v>
      </c>
      <c r="E172" s="3" t="s">
        <v>53</v>
      </c>
      <c r="F172" s="3" t="s">
        <v>64</v>
      </c>
      <c r="G172" s="3" t="s">
        <v>55</v>
      </c>
      <c r="H172" s="3" t="s">
        <v>84</v>
      </c>
    </row>
    <row r="173" spans="1:5" ht="12">
      <c r="A173" t="s">
        <v>156</v>
      </c>
      <c r="E173" s="12" t="e">
        <f>+D173/C173</f>
        <v>#DIV/0!</v>
      </c>
    </row>
    <row r="174" spans="1:5" ht="12">
      <c r="A174" t="s">
        <v>149</v>
      </c>
      <c r="E174" s="12" t="e">
        <f aca="true" t="shared" si="19" ref="E174:E180">+D174/C174</f>
        <v>#DIV/0!</v>
      </c>
    </row>
    <row r="175" spans="1:6" ht="12">
      <c r="A175" t="s">
        <v>157</v>
      </c>
      <c r="C175">
        <v>1</v>
      </c>
      <c r="D175">
        <v>14</v>
      </c>
      <c r="E175" s="12">
        <f t="shared" si="19"/>
        <v>14</v>
      </c>
      <c r="F175">
        <v>14</v>
      </c>
    </row>
    <row r="176" spans="1:5" ht="12">
      <c r="A176" t="s">
        <v>158</v>
      </c>
      <c r="E176" s="12" t="e">
        <f t="shared" si="19"/>
        <v>#DIV/0!</v>
      </c>
    </row>
    <row r="177" spans="1:5" ht="12">
      <c r="A177" t="s">
        <v>159</v>
      </c>
      <c r="E177" s="12" t="e">
        <f t="shared" si="19"/>
        <v>#DIV/0!</v>
      </c>
    </row>
    <row r="178" spans="1:5" ht="12">
      <c r="A178" t="s">
        <v>160</v>
      </c>
      <c r="E178" s="12" t="e">
        <f t="shared" si="19"/>
        <v>#DIV/0!</v>
      </c>
    </row>
    <row r="179" spans="1:5" ht="12">
      <c r="A179" t="s">
        <v>161</v>
      </c>
      <c r="E179" s="12" t="e">
        <f t="shared" si="19"/>
        <v>#DIV/0!</v>
      </c>
    </row>
    <row r="180" spans="1:5" ht="12">
      <c r="A180" t="s">
        <v>147</v>
      </c>
      <c r="E180" s="12" t="e">
        <f t="shared" si="19"/>
        <v>#DIV/0!</v>
      </c>
    </row>
    <row r="181" spans="1:5" ht="12">
      <c r="A181" t="s">
        <v>153</v>
      </c>
      <c r="E181" s="12" t="e">
        <f>+D181/C181</f>
        <v>#DIV/0!</v>
      </c>
    </row>
    <row r="182" spans="1:5" ht="12">
      <c r="A182" t="s">
        <v>162</v>
      </c>
      <c r="E182" s="12" t="e">
        <f>+D182/C182</f>
        <v>#DIV/0!</v>
      </c>
    </row>
    <row r="183" spans="1:5" ht="12">
      <c r="A183" s="1"/>
      <c r="E183" s="12" t="e">
        <f>+D183/C183</f>
        <v>#DIV/0!</v>
      </c>
    </row>
    <row r="184" spans="1:5" ht="12">
      <c r="A184" s="1"/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/>
    </row>
    <row r="187" spans="1:4" ht="12">
      <c r="A187" s="2" t="s">
        <v>98</v>
      </c>
      <c r="C187" s="3" t="s">
        <v>72</v>
      </c>
      <c r="D187" s="3" t="s">
        <v>74</v>
      </c>
    </row>
    <row r="188" spans="1:4" ht="12">
      <c r="A188" s="20" t="s">
        <v>156</v>
      </c>
      <c r="C188" s="3"/>
      <c r="D188" s="3"/>
    </row>
    <row r="189" spans="1:4" ht="12">
      <c r="A189" s="20" t="s">
        <v>157</v>
      </c>
      <c r="C189" s="3"/>
      <c r="D189" s="3"/>
    </row>
    <row r="190" spans="1:4" ht="12">
      <c r="A190" s="20" t="s">
        <v>158</v>
      </c>
      <c r="C190" s="3">
        <v>0.5</v>
      </c>
      <c r="D190" s="3">
        <v>3.5</v>
      </c>
    </row>
    <row r="191" spans="1:4" ht="12">
      <c r="A191" s="20" t="s">
        <v>159</v>
      </c>
      <c r="C191" s="3"/>
      <c r="D191" s="3"/>
    </row>
    <row r="192" spans="1:4" ht="12">
      <c r="A192" s="20" t="s">
        <v>163</v>
      </c>
      <c r="C192" s="3"/>
      <c r="D192" s="3"/>
    </row>
    <row r="193" spans="1:4" ht="12">
      <c r="A193" s="20" t="s">
        <v>164</v>
      </c>
      <c r="C193" s="3"/>
      <c r="D193" s="3"/>
    </row>
    <row r="194" spans="1:4" ht="12">
      <c r="A194" s="20" t="s">
        <v>161</v>
      </c>
      <c r="C194" s="3"/>
      <c r="D194" s="3"/>
    </row>
    <row r="195" spans="1:4" ht="12">
      <c r="A195" s="20" t="s">
        <v>165</v>
      </c>
      <c r="C195" s="3">
        <v>0.5</v>
      </c>
      <c r="D195" s="3">
        <v>3.5</v>
      </c>
    </row>
    <row r="196" spans="1:4" ht="12">
      <c r="A196" s="20" t="s">
        <v>147</v>
      </c>
      <c r="C196" s="3"/>
      <c r="D196" s="3"/>
    </row>
    <row r="197" spans="1:4" ht="12">
      <c r="A197" s="20" t="s">
        <v>166</v>
      </c>
      <c r="C197" s="3"/>
      <c r="D197" s="3"/>
    </row>
    <row r="198" spans="1:4" ht="12">
      <c r="A198" s="20"/>
      <c r="C198" s="3"/>
      <c r="D198" s="3"/>
    </row>
    <row r="199" spans="1:4" ht="12">
      <c r="A199" s="20"/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"/>
      <c r="C202" s="3"/>
      <c r="D202" s="3"/>
    </row>
    <row r="203" spans="1:4" ht="12">
      <c r="A203" s="2"/>
      <c r="C203" s="3"/>
      <c r="D203" s="3"/>
    </row>
    <row r="204" spans="1:4" ht="12">
      <c r="A204" s="2"/>
      <c r="C204" s="3"/>
      <c r="D204" s="3"/>
    </row>
    <row r="205" spans="1:7" ht="12">
      <c r="A205" s="2" t="s">
        <v>94</v>
      </c>
      <c r="C205" s="3" t="s">
        <v>72</v>
      </c>
      <c r="D205" s="3" t="s">
        <v>74</v>
      </c>
      <c r="E205" s="3" t="s">
        <v>64</v>
      </c>
      <c r="F205" s="3" t="s">
        <v>55</v>
      </c>
      <c r="G205" s="5" t="s">
        <v>84</v>
      </c>
    </row>
    <row r="206" ht="12">
      <c r="A206" t="s">
        <v>167</v>
      </c>
    </row>
    <row r="207" ht="12">
      <c r="A207" t="s">
        <v>156</v>
      </c>
    </row>
    <row r="208" ht="12">
      <c r="A208" t="s">
        <v>149</v>
      </c>
    </row>
    <row r="209" ht="12">
      <c r="A209" t="s">
        <v>157</v>
      </c>
    </row>
    <row r="210" ht="12">
      <c r="A210" t="s">
        <v>133</v>
      </c>
    </row>
    <row r="211" ht="12">
      <c r="A211" t="s">
        <v>134</v>
      </c>
    </row>
    <row r="212" ht="12">
      <c r="A212" t="s">
        <v>158</v>
      </c>
    </row>
    <row r="213" ht="12">
      <c r="A213" t="s">
        <v>168</v>
      </c>
    </row>
    <row r="214" ht="12">
      <c r="A214" t="s">
        <v>135</v>
      </c>
    </row>
    <row r="215" spans="1:3" ht="12">
      <c r="A215" t="s">
        <v>159</v>
      </c>
      <c r="C215">
        <v>1</v>
      </c>
    </row>
    <row r="216" ht="12">
      <c r="A216" t="s">
        <v>169</v>
      </c>
    </row>
    <row r="217" ht="12">
      <c r="A217" t="s">
        <v>144</v>
      </c>
    </row>
    <row r="218" ht="12">
      <c r="A218" t="s">
        <v>148</v>
      </c>
    </row>
    <row r="219" ht="12">
      <c r="A219" t="s">
        <v>163</v>
      </c>
    </row>
    <row r="220" ht="12">
      <c r="A220" t="s">
        <v>160</v>
      </c>
    </row>
    <row r="221" ht="12">
      <c r="A221" t="s">
        <v>136</v>
      </c>
    </row>
    <row r="222" ht="12">
      <c r="A222" t="s">
        <v>170</v>
      </c>
    </row>
    <row r="223" ht="12">
      <c r="A223" t="s">
        <v>154</v>
      </c>
    </row>
    <row r="224" ht="12">
      <c r="A224" t="s">
        <v>150</v>
      </c>
    </row>
    <row r="225" ht="12">
      <c r="A225" t="s">
        <v>171</v>
      </c>
    </row>
    <row r="226" ht="12">
      <c r="A226" t="s">
        <v>164</v>
      </c>
    </row>
    <row r="227" ht="12">
      <c r="A227" t="s">
        <v>145</v>
      </c>
    </row>
    <row r="228" ht="12">
      <c r="A228" t="s">
        <v>137</v>
      </c>
    </row>
    <row r="229" ht="12">
      <c r="A229" t="s">
        <v>151</v>
      </c>
    </row>
    <row r="230" ht="12">
      <c r="A230" t="s">
        <v>152</v>
      </c>
    </row>
    <row r="231" ht="12">
      <c r="A231" t="s">
        <v>138</v>
      </c>
    </row>
    <row r="232" ht="12">
      <c r="A232" t="s">
        <v>139</v>
      </c>
    </row>
    <row r="233" ht="12">
      <c r="A233" t="s">
        <v>161</v>
      </c>
    </row>
    <row r="234" ht="12">
      <c r="A234" t="s">
        <v>172</v>
      </c>
    </row>
    <row r="235" ht="12">
      <c r="A235" t="s">
        <v>140</v>
      </c>
    </row>
    <row r="236" ht="12">
      <c r="A236" t="s">
        <v>165</v>
      </c>
    </row>
    <row r="237" ht="12">
      <c r="A237" t="s">
        <v>155</v>
      </c>
    </row>
    <row r="238" ht="12">
      <c r="A238" t="s">
        <v>147</v>
      </c>
    </row>
    <row r="239" ht="12">
      <c r="A239" t="s">
        <v>173</v>
      </c>
    </row>
    <row r="240" ht="12">
      <c r="A240" t="s">
        <v>141</v>
      </c>
    </row>
    <row r="241" ht="12">
      <c r="A241" t="s">
        <v>174</v>
      </c>
    </row>
    <row r="242" ht="12">
      <c r="A242" t="s">
        <v>166</v>
      </c>
    </row>
    <row r="243" ht="12">
      <c r="A243" t="s">
        <v>175</v>
      </c>
    </row>
    <row r="244" ht="12">
      <c r="A244" t="s">
        <v>176</v>
      </c>
    </row>
    <row r="245" ht="12">
      <c r="A245" t="s">
        <v>142</v>
      </c>
    </row>
    <row r="246" ht="12">
      <c r="A246" t="s">
        <v>177</v>
      </c>
    </row>
    <row r="247" ht="12">
      <c r="A247" t="s">
        <v>143</v>
      </c>
    </row>
    <row r="248" ht="12">
      <c r="A248" t="s">
        <v>178</v>
      </c>
    </row>
    <row r="249" ht="12">
      <c r="A249" t="s">
        <v>179</v>
      </c>
    </row>
    <row r="250" ht="12">
      <c r="A250" t="s">
        <v>146</v>
      </c>
    </row>
    <row r="251" ht="12">
      <c r="A251" t="s">
        <v>153</v>
      </c>
    </row>
    <row r="252" ht="12">
      <c r="A252" t="s">
        <v>162</v>
      </c>
    </row>
    <row r="253" ht="12">
      <c r="A253" t="s">
        <v>180</v>
      </c>
    </row>
  </sheetData>
  <sheetProtection/>
  <mergeCells count="5">
    <mergeCell ref="L160:M160"/>
    <mergeCell ref="N160:O160"/>
    <mergeCell ref="P160:Q160"/>
    <mergeCell ref="R160:S160"/>
    <mergeCell ref="T160:U160"/>
  </mergeCells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53"/>
  <sheetViews>
    <sheetView zoomScale="125" zoomScaleNormal="125" workbookViewId="0" topLeftCell="A1">
      <selection activeCell="A122" sqref="A122:G122"/>
    </sheetView>
  </sheetViews>
  <sheetFormatPr defaultColWidth="8.8515625" defaultRowHeight="12.75"/>
  <cols>
    <col min="1" max="1" width="15.00390625" style="0" customWidth="1"/>
    <col min="2" max="2" width="8.8515625" style="0" customWidth="1"/>
    <col min="3" max="3" width="7.28125" style="0" customWidth="1"/>
    <col min="4" max="5" width="6.7109375" style="0" customWidth="1"/>
    <col min="6" max="6" width="6.421875" style="0" customWidth="1"/>
    <col min="7" max="7" width="5.7109375" style="0" customWidth="1"/>
    <col min="8" max="8" width="7.00390625" style="0" customWidth="1"/>
    <col min="9" max="9" width="6.28125" style="0" customWidth="1"/>
    <col min="10" max="10" width="6.00390625" style="0" customWidth="1"/>
    <col min="11" max="11" width="6.28125" style="0" customWidth="1"/>
    <col min="12" max="12" width="6.00390625" style="0" customWidth="1"/>
    <col min="13" max="13" width="7.28125" style="0" customWidth="1"/>
  </cols>
  <sheetData>
    <row r="1" ht="12">
      <c r="A1" s="2" t="str">
        <f>+'Cumulative Stats'!A1</f>
        <v>1967 Chicago Bears</v>
      </c>
    </row>
    <row r="3" spans="1:8" ht="12">
      <c r="A3" s="2" t="s">
        <v>0</v>
      </c>
      <c r="H3" s="2" t="s">
        <v>48</v>
      </c>
    </row>
    <row r="6" spans="1:13" ht="12">
      <c r="A6" s="1" t="s">
        <v>29</v>
      </c>
      <c r="D6" s="2">
        <v>14</v>
      </c>
      <c r="H6" s="1" t="s">
        <v>29</v>
      </c>
      <c r="M6" s="2">
        <v>14</v>
      </c>
    </row>
    <row r="7" spans="1:13" ht="12">
      <c r="A7" s="16" t="s">
        <v>95</v>
      </c>
      <c r="D7" s="2">
        <v>4</v>
      </c>
      <c r="H7" s="16" t="s">
        <v>95</v>
      </c>
      <c r="M7" s="2">
        <v>9</v>
      </c>
    </row>
    <row r="8" spans="1:13" ht="12">
      <c r="A8" s="16" t="s">
        <v>96</v>
      </c>
      <c r="D8" s="2">
        <v>8</v>
      </c>
      <c r="H8" s="16" t="s">
        <v>96</v>
      </c>
      <c r="M8" s="2">
        <v>4</v>
      </c>
    </row>
    <row r="9" spans="1:13" ht="12">
      <c r="A9" s="16" t="s">
        <v>97</v>
      </c>
      <c r="D9" s="2">
        <v>2</v>
      </c>
      <c r="H9" s="16" t="s">
        <v>97</v>
      </c>
      <c r="M9" s="2">
        <v>1</v>
      </c>
    </row>
    <row r="10" spans="1:14" ht="12">
      <c r="A10" s="18" t="s">
        <v>108</v>
      </c>
      <c r="C10">
        <v>5</v>
      </c>
      <c r="D10" s="2">
        <v>11</v>
      </c>
      <c r="E10" s="19">
        <f>+C10/D10</f>
        <v>0.45454545454545453</v>
      </c>
      <c r="H10" s="18" t="s">
        <v>108</v>
      </c>
      <c r="L10">
        <v>5</v>
      </c>
      <c r="M10" s="2">
        <v>11</v>
      </c>
      <c r="N10" s="19">
        <f>+L10/M10</f>
        <v>0.45454545454545453</v>
      </c>
    </row>
    <row r="11" spans="1:14" ht="12">
      <c r="A11" s="18" t="s">
        <v>119</v>
      </c>
      <c r="C11">
        <v>1</v>
      </c>
      <c r="D11" s="2">
        <v>1</v>
      </c>
      <c r="E11" s="19"/>
      <c r="H11" s="18" t="s">
        <v>119</v>
      </c>
      <c r="L11">
        <v>0</v>
      </c>
      <c r="M11" s="2">
        <v>1</v>
      </c>
      <c r="N11" s="19"/>
    </row>
    <row r="13" spans="1:23" ht="12">
      <c r="A13" t="s">
        <v>1</v>
      </c>
      <c r="D13" s="2">
        <f>15+9+1+1+1+7</f>
        <v>34</v>
      </c>
      <c r="H13" t="s">
        <v>1</v>
      </c>
      <c r="M13" s="2">
        <f>18+4+7+2</f>
        <v>31</v>
      </c>
      <c r="V13">
        <f>+D13</f>
        <v>34</v>
      </c>
      <c r="W13">
        <f>+M13</f>
        <v>31</v>
      </c>
    </row>
    <row r="14" spans="1:23" ht="12">
      <c r="A14" t="s">
        <v>2</v>
      </c>
      <c r="D14" s="2">
        <f>61+27+1-1+1+23</f>
        <v>112</v>
      </c>
      <c r="H14" t="s">
        <v>2</v>
      </c>
      <c r="M14" s="2">
        <f>87+9+39+17</f>
        <v>152</v>
      </c>
      <c r="P14" s="13"/>
      <c r="U14" s="13"/>
      <c r="V14">
        <f>+D18</f>
        <v>10</v>
      </c>
      <c r="W14">
        <f>+M18</f>
        <v>7</v>
      </c>
    </row>
    <row r="15" spans="1:23" ht="12">
      <c r="A15" s="1" t="s">
        <v>3</v>
      </c>
      <c r="D15" s="8">
        <f>+D14/D13</f>
        <v>3.2941176470588234</v>
      </c>
      <c r="H15" s="1" t="s">
        <v>3</v>
      </c>
      <c r="M15" s="8">
        <f>+M14/M13</f>
        <v>4.903225806451613</v>
      </c>
      <c r="V15">
        <f>+(D17-D18)/2</f>
        <v>7</v>
      </c>
      <c r="W15">
        <f>+(M17-M18)/2</f>
        <v>5.5</v>
      </c>
    </row>
    <row r="16" spans="22:23" ht="12">
      <c r="V16">
        <f>+D40/2</f>
        <v>2</v>
      </c>
      <c r="W16">
        <f>+M40/2</f>
        <v>1</v>
      </c>
    </row>
    <row r="17" spans="1:23" ht="12">
      <c r="A17" t="s">
        <v>4</v>
      </c>
      <c r="D17" s="2">
        <v>24</v>
      </c>
      <c r="H17" t="s">
        <v>4</v>
      </c>
      <c r="M17" s="2">
        <v>18</v>
      </c>
      <c r="V17">
        <f>+D44/2</f>
        <v>0.5</v>
      </c>
      <c r="W17">
        <f>+M44/2</f>
        <v>1</v>
      </c>
    </row>
    <row r="18" spans="1:23" ht="12">
      <c r="A18" t="s">
        <v>5</v>
      </c>
      <c r="D18" s="2">
        <v>10</v>
      </c>
      <c r="H18" t="s">
        <v>5</v>
      </c>
      <c r="M18" s="2">
        <v>7</v>
      </c>
      <c r="V18">
        <f>+D50/2</f>
        <v>2.5</v>
      </c>
      <c r="W18">
        <f>+M50/2</f>
        <v>1.5</v>
      </c>
    </row>
    <row r="19" spans="1:13" ht="12">
      <c r="A19" t="s">
        <v>6</v>
      </c>
      <c r="D19" s="8">
        <f>+D18/D17*100</f>
        <v>41.66666666666667</v>
      </c>
      <c r="H19" t="s">
        <v>6</v>
      </c>
      <c r="M19" s="8">
        <f>+M18/M17*100</f>
        <v>38.88888888888889</v>
      </c>
    </row>
    <row r="20" spans="1:24" ht="12">
      <c r="A20" t="s">
        <v>7</v>
      </c>
      <c r="D20" s="2">
        <v>139</v>
      </c>
      <c r="H20" t="s">
        <v>7</v>
      </c>
      <c r="M20" s="2">
        <v>80</v>
      </c>
      <c r="V20">
        <f>SUM(V13:V18)</f>
        <v>56</v>
      </c>
      <c r="W20">
        <f>SUM(W13:W18)</f>
        <v>47</v>
      </c>
      <c r="X20">
        <f>+W20+V20</f>
        <v>103</v>
      </c>
    </row>
    <row r="21" spans="1:23" ht="12">
      <c r="A21" t="s">
        <v>8</v>
      </c>
      <c r="D21" s="2">
        <v>4</v>
      </c>
      <c r="H21" t="s">
        <v>8</v>
      </c>
      <c r="M21" s="2">
        <v>4</v>
      </c>
      <c r="V21">
        <f>+V20/X20</f>
        <v>0.5436893203883495</v>
      </c>
      <c r="W21">
        <f>+W20/X20</f>
        <v>0.4563106796116505</v>
      </c>
    </row>
    <row r="22" spans="1:23" ht="12">
      <c r="A22" t="s">
        <v>9</v>
      </c>
      <c r="D22" s="2">
        <f>17+13+13+8</f>
        <v>51</v>
      </c>
      <c r="H22" t="s">
        <v>9</v>
      </c>
      <c r="M22" s="2">
        <f>8+9+11+4</f>
        <v>32</v>
      </c>
      <c r="V22">
        <f>+V21*60</f>
        <v>32.62135922330097</v>
      </c>
      <c r="W22">
        <f>+W21*60</f>
        <v>27.37864077669903</v>
      </c>
    </row>
    <row r="23" spans="1:23" ht="12">
      <c r="A23" t="s">
        <v>10</v>
      </c>
      <c r="D23">
        <f>+D20-D22</f>
        <v>88</v>
      </c>
      <c r="H23" t="s">
        <v>10</v>
      </c>
      <c r="M23">
        <f>+M20-M22</f>
        <v>48</v>
      </c>
      <c r="V23">
        <f>+V22-INT(V22)</f>
        <v>0.6213592233009706</v>
      </c>
      <c r="W23">
        <f>+W22-INT(W22)</f>
        <v>0.3786407766990294</v>
      </c>
    </row>
    <row r="24" spans="1:23" ht="12">
      <c r="A24" t="s">
        <v>11</v>
      </c>
      <c r="D24" s="7">
        <f>+D23/(D17+D21)</f>
        <v>3.142857142857143</v>
      </c>
      <c r="H24" t="s">
        <v>11</v>
      </c>
      <c r="M24" s="7">
        <f>+M23/(M17+M21)</f>
        <v>2.1818181818181817</v>
      </c>
      <c r="V24">
        <f>+V23*60</f>
        <v>37.281553398058236</v>
      </c>
      <c r="W24">
        <f>+W23*60</f>
        <v>22.718446601941764</v>
      </c>
    </row>
    <row r="25" spans="1:23" ht="12">
      <c r="A25" t="s">
        <v>12</v>
      </c>
      <c r="D25" s="7">
        <f>+D20/D18</f>
        <v>13.9</v>
      </c>
      <c r="H25" t="s">
        <v>12</v>
      </c>
      <c r="M25" s="7">
        <f>+M20/M18</f>
        <v>11.428571428571429</v>
      </c>
      <c r="Q25" s="11"/>
      <c r="U25">
        <v>0</v>
      </c>
      <c r="V25" s="11">
        <f>ROUND(V24,0)</f>
        <v>37</v>
      </c>
      <c r="W25">
        <f>ROUND(W24,0)</f>
        <v>23</v>
      </c>
    </row>
    <row r="26" spans="22:23" ht="12">
      <c r="V26">
        <f>INT(V22)</f>
        <v>32</v>
      </c>
      <c r="W26">
        <f>INT(W22)</f>
        <v>27</v>
      </c>
    </row>
    <row r="27" spans="1:23" ht="12">
      <c r="A27" t="s">
        <v>13</v>
      </c>
      <c r="H27" t="s">
        <v>13</v>
      </c>
      <c r="V27" t="s">
        <v>91</v>
      </c>
      <c r="W27" t="s">
        <v>91</v>
      </c>
    </row>
    <row r="28" spans="1:23" ht="12">
      <c r="A28" t="s">
        <v>14</v>
      </c>
      <c r="D28">
        <f>+D23+D14</f>
        <v>200</v>
      </c>
      <c r="H28" t="s">
        <v>14</v>
      </c>
      <c r="M28">
        <f>+M23+M14</f>
        <v>200</v>
      </c>
      <c r="Q28" s="14"/>
      <c r="R28" s="9"/>
      <c r="V28" s="14" t="str">
        <f>+V26&amp;V27&amp;V25</f>
        <v>32:37</v>
      </c>
      <c r="W28" s="9" t="str">
        <f>+W26&amp;W27&amp;W25</f>
        <v>27:23</v>
      </c>
    </row>
    <row r="29" spans="1:23" ht="12">
      <c r="A29" t="s">
        <v>15</v>
      </c>
      <c r="D29" s="7">
        <f>+D14/D28*100</f>
        <v>56.00000000000001</v>
      </c>
      <c r="H29" t="s">
        <v>15</v>
      </c>
      <c r="M29" s="7">
        <f>+M14/M28*100</f>
        <v>76</v>
      </c>
      <c r="Q29" s="9"/>
      <c r="R29" s="9"/>
      <c r="V29" s="9" t="str">
        <f>IF(V25&lt;10,+V26&amp;V27&amp;$U$25&amp;V25,+V26&amp;V27&amp;V25)</f>
        <v>32:37</v>
      </c>
      <c r="W29" s="9" t="str">
        <f>IF(W25&lt;10,+W26&amp;W27&amp;$U$25&amp;W25,+W26&amp;W27&amp;W25)</f>
        <v>27:23</v>
      </c>
    </row>
    <row r="30" spans="1:16" ht="12">
      <c r="A30" s="1" t="s">
        <v>90</v>
      </c>
      <c r="D30" s="7">
        <f>+D23/D28*100</f>
        <v>44</v>
      </c>
      <c r="H30" s="1" t="s">
        <v>90</v>
      </c>
      <c r="M30" s="7">
        <f>+M23/M28*100</f>
        <v>24</v>
      </c>
      <c r="P30" s="13"/>
    </row>
    <row r="32" spans="1:13" ht="12">
      <c r="A32" t="s">
        <v>16</v>
      </c>
      <c r="D32">
        <f>+D13+D17+D21</f>
        <v>62</v>
      </c>
      <c r="H32" t="s">
        <v>16</v>
      </c>
      <c r="M32">
        <f>+M13+M17+M21</f>
        <v>53</v>
      </c>
    </row>
    <row r="33" spans="1:13" ht="12">
      <c r="A33" t="s">
        <v>17</v>
      </c>
      <c r="D33" s="8">
        <f>+D28/D32</f>
        <v>3.225806451612903</v>
      </c>
      <c r="E33" s="7"/>
      <c r="F33" s="7"/>
      <c r="G33" s="7"/>
      <c r="H33" s="7" t="s">
        <v>17</v>
      </c>
      <c r="I33" s="7"/>
      <c r="J33" s="7"/>
      <c r="K33" s="7"/>
      <c r="L33" s="7"/>
      <c r="M33" s="8">
        <f>+M28/M32</f>
        <v>3.7735849056603774</v>
      </c>
    </row>
    <row r="35" spans="1:8" ht="12">
      <c r="A35" t="s">
        <v>18</v>
      </c>
      <c r="H35" t="s">
        <v>18</v>
      </c>
    </row>
    <row r="36" spans="1:13" ht="12">
      <c r="A36" t="s">
        <v>19</v>
      </c>
      <c r="D36" s="2">
        <v>2</v>
      </c>
      <c r="H36" t="s">
        <v>19</v>
      </c>
      <c r="M36" s="2">
        <v>1</v>
      </c>
    </row>
    <row r="37" spans="1:13" ht="12">
      <c r="A37" t="s">
        <v>20</v>
      </c>
      <c r="D37" s="2">
        <v>18</v>
      </c>
      <c r="H37" t="s">
        <v>20</v>
      </c>
      <c r="M37" s="2">
        <v>0</v>
      </c>
    </row>
    <row r="38" spans="1:13" ht="12">
      <c r="A38" t="s">
        <v>21</v>
      </c>
      <c r="D38" s="2">
        <v>0</v>
      </c>
      <c r="H38" t="s">
        <v>21</v>
      </c>
      <c r="M38" s="2">
        <v>0</v>
      </c>
    </row>
    <row r="40" spans="1:13" ht="12">
      <c r="A40" t="s">
        <v>22</v>
      </c>
      <c r="D40" s="2">
        <v>4</v>
      </c>
      <c r="H40" t="s">
        <v>22</v>
      </c>
      <c r="M40" s="2">
        <v>2</v>
      </c>
    </row>
    <row r="41" spans="1:13" ht="12">
      <c r="A41" t="s">
        <v>23</v>
      </c>
      <c r="D41" s="2">
        <f>45+55+27+36</f>
        <v>163</v>
      </c>
      <c r="H41" t="s">
        <v>23</v>
      </c>
      <c r="M41" s="2">
        <v>101</v>
      </c>
    </row>
    <row r="42" spans="1:13" ht="12">
      <c r="A42" t="s">
        <v>24</v>
      </c>
      <c r="D42" s="8">
        <f>+D41/D40</f>
        <v>40.75</v>
      </c>
      <c r="E42" s="7"/>
      <c r="F42" s="7"/>
      <c r="G42" s="7"/>
      <c r="H42" s="7" t="s">
        <v>24</v>
      </c>
      <c r="I42" s="7"/>
      <c r="J42" s="7"/>
      <c r="K42" s="7"/>
      <c r="L42" s="7"/>
      <c r="M42" s="8">
        <f>+M41/M40</f>
        <v>50.5</v>
      </c>
    </row>
    <row r="44" spans="1:13" ht="12">
      <c r="A44" t="s">
        <v>25</v>
      </c>
      <c r="D44" s="2">
        <v>1</v>
      </c>
      <c r="H44" t="s">
        <v>25</v>
      </c>
      <c r="M44" s="2">
        <v>2</v>
      </c>
    </row>
    <row r="45" spans="1:13" ht="12">
      <c r="A45" t="s">
        <v>26</v>
      </c>
      <c r="D45" s="2">
        <v>1</v>
      </c>
      <c r="H45" t="s">
        <v>26</v>
      </c>
      <c r="M45" s="2">
        <v>13</v>
      </c>
    </row>
    <row r="46" spans="1:13" ht="12">
      <c r="A46" t="s">
        <v>27</v>
      </c>
      <c r="D46" s="8">
        <f>+D45/D44</f>
        <v>1</v>
      </c>
      <c r="H46" t="s">
        <v>27</v>
      </c>
      <c r="M46" s="8">
        <f>+M45/M44</f>
        <v>6.5</v>
      </c>
    </row>
    <row r="47" spans="1:13" ht="12">
      <c r="A47" s="18" t="s">
        <v>131</v>
      </c>
      <c r="D47" s="2">
        <v>1</v>
      </c>
      <c r="H47" s="18" t="s">
        <v>131</v>
      </c>
      <c r="M47" s="2">
        <v>1</v>
      </c>
    </row>
    <row r="48" spans="1:13" ht="12">
      <c r="A48" t="s">
        <v>28</v>
      </c>
      <c r="D48" s="2">
        <v>0</v>
      </c>
      <c r="H48" t="s">
        <v>28</v>
      </c>
      <c r="M48" s="2">
        <v>0</v>
      </c>
    </row>
    <row r="50" spans="1:13" ht="12">
      <c r="A50" t="s">
        <v>30</v>
      </c>
      <c r="D50" s="2">
        <v>5</v>
      </c>
      <c r="H50" t="s">
        <v>30</v>
      </c>
      <c r="M50" s="2">
        <v>3</v>
      </c>
    </row>
    <row r="51" spans="1:13" ht="12">
      <c r="A51" t="s">
        <v>26</v>
      </c>
      <c r="D51" s="2">
        <f>40+18+31+13+26</f>
        <v>128</v>
      </c>
      <c r="H51" t="s">
        <v>26</v>
      </c>
      <c r="M51" s="2">
        <f>12+45+0</f>
        <v>57</v>
      </c>
    </row>
    <row r="52" spans="1:13" ht="12">
      <c r="A52" t="s">
        <v>27</v>
      </c>
      <c r="D52" s="8">
        <f>+D51/D50</f>
        <v>25.6</v>
      </c>
      <c r="H52" t="s">
        <v>27</v>
      </c>
      <c r="M52" s="8">
        <f>+M51/M50</f>
        <v>19</v>
      </c>
    </row>
    <row r="53" spans="1:13" ht="12">
      <c r="A53" t="s">
        <v>28</v>
      </c>
      <c r="D53" s="2">
        <v>0</v>
      </c>
      <c r="H53" t="s">
        <v>28</v>
      </c>
      <c r="M53" s="2">
        <v>0</v>
      </c>
    </row>
    <row r="55" spans="1:16" ht="12">
      <c r="A55" t="s">
        <v>127</v>
      </c>
      <c r="D55" s="2">
        <v>4</v>
      </c>
      <c r="G55" t="str">
        <f>IF(D55-D56=M50,"ok","err")</f>
        <v>ok</v>
      </c>
      <c r="H55" t="s">
        <v>127</v>
      </c>
      <c r="K55" s="2"/>
      <c r="M55" s="2">
        <v>5</v>
      </c>
      <c r="P55" s="2"/>
    </row>
    <row r="56" spans="1:16" ht="12">
      <c r="A56" t="s">
        <v>128</v>
      </c>
      <c r="D56" s="2">
        <v>1</v>
      </c>
      <c r="H56" t="s">
        <v>128</v>
      </c>
      <c r="K56" s="2"/>
      <c r="M56" s="2">
        <v>0</v>
      </c>
      <c r="P56" s="2"/>
    </row>
    <row r="57" spans="1:13" ht="12">
      <c r="A57" t="s">
        <v>129</v>
      </c>
      <c r="D57">
        <f>+D56/D55</f>
        <v>0.25</v>
      </c>
      <c r="H57" t="s">
        <v>129</v>
      </c>
      <c r="M57">
        <f>+M56/M55</f>
        <v>0</v>
      </c>
    </row>
    <row r="59" spans="1:13" ht="12">
      <c r="A59" t="s">
        <v>31</v>
      </c>
      <c r="D59" s="2">
        <v>6</v>
      </c>
      <c r="H59" t="s">
        <v>31</v>
      </c>
      <c r="M59" s="2">
        <v>3</v>
      </c>
    </row>
    <row r="60" spans="1:13" ht="12">
      <c r="A60" t="s">
        <v>32</v>
      </c>
      <c r="D60" s="2">
        <v>51</v>
      </c>
      <c r="H60" t="s">
        <v>32</v>
      </c>
      <c r="M60" s="2">
        <v>40</v>
      </c>
    </row>
    <row r="62" spans="1:13" ht="12">
      <c r="A62" t="s">
        <v>33</v>
      </c>
      <c r="D62" s="2">
        <v>0</v>
      </c>
      <c r="H62" t="s">
        <v>33</v>
      </c>
      <c r="M62" s="2">
        <v>0</v>
      </c>
    </row>
    <row r="63" spans="1:13" ht="12">
      <c r="A63" t="s">
        <v>34</v>
      </c>
      <c r="D63" s="2">
        <v>0</v>
      </c>
      <c r="H63" t="s">
        <v>34</v>
      </c>
      <c r="M63" s="2">
        <v>0</v>
      </c>
    </row>
    <row r="64" spans="1:13" ht="12">
      <c r="A64" t="s">
        <v>35</v>
      </c>
      <c r="D64" s="2">
        <v>0</v>
      </c>
      <c r="H64" t="s">
        <v>35</v>
      </c>
      <c r="M64" s="2">
        <v>0</v>
      </c>
    </row>
    <row r="65" spans="1:13" ht="12">
      <c r="A65" t="s">
        <v>36</v>
      </c>
      <c r="D65" s="2">
        <v>0</v>
      </c>
      <c r="H65" t="s">
        <v>36</v>
      </c>
      <c r="M65" s="2">
        <v>0</v>
      </c>
    </row>
    <row r="66" spans="1:13" ht="12">
      <c r="A66" s="1" t="s">
        <v>37</v>
      </c>
      <c r="D66" s="2">
        <v>0</v>
      </c>
      <c r="H66" s="1" t="s">
        <v>37</v>
      </c>
      <c r="M66" s="2">
        <v>0</v>
      </c>
    </row>
    <row r="68" spans="1:16" ht="12">
      <c r="A68" t="s">
        <v>38</v>
      </c>
      <c r="D68" s="2">
        <v>13</v>
      </c>
      <c r="H68" t="s">
        <v>38</v>
      </c>
      <c r="M68" s="2">
        <v>20</v>
      </c>
      <c r="N68" t="str">
        <f>IF(K68=K69*6+K75*2+K76*3+K73,"ok","ERR")</f>
        <v>ok</v>
      </c>
      <c r="P68" t="str">
        <f>IF(M68=M69*6+M75*2+M76*3+M73,"ok","ERR")</f>
        <v>ok</v>
      </c>
    </row>
    <row r="69" spans="1:13" ht="12">
      <c r="A69" t="s">
        <v>39</v>
      </c>
      <c r="D69" s="2">
        <v>1</v>
      </c>
      <c r="H69" t="s">
        <v>39</v>
      </c>
      <c r="M69" s="2">
        <v>2</v>
      </c>
    </row>
    <row r="70" spans="1:13" ht="12">
      <c r="A70" t="s">
        <v>40</v>
      </c>
      <c r="D70" s="2">
        <v>1</v>
      </c>
      <c r="H70" t="s">
        <v>40</v>
      </c>
      <c r="M70" s="2">
        <v>1</v>
      </c>
    </row>
    <row r="71" spans="1:13" ht="12">
      <c r="A71" t="s">
        <v>41</v>
      </c>
      <c r="D71" s="2">
        <v>0</v>
      </c>
      <c r="H71" t="s">
        <v>41</v>
      </c>
      <c r="M71" s="2">
        <v>1</v>
      </c>
    </row>
    <row r="72" spans="1:13" ht="12">
      <c r="A72" t="s">
        <v>42</v>
      </c>
      <c r="D72" s="2">
        <v>0</v>
      </c>
      <c r="H72" t="s">
        <v>42</v>
      </c>
      <c r="M72" s="2">
        <v>0</v>
      </c>
    </row>
    <row r="73" spans="1:13" ht="12">
      <c r="A73" t="s">
        <v>43</v>
      </c>
      <c r="D73" s="2">
        <v>1</v>
      </c>
      <c r="H73" t="s">
        <v>43</v>
      </c>
      <c r="M73" s="2">
        <v>2</v>
      </c>
    </row>
    <row r="74" spans="1:13" ht="12">
      <c r="A74" t="s">
        <v>120</v>
      </c>
      <c r="D74" s="2">
        <v>0</v>
      </c>
      <c r="H74" t="s">
        <v>120</v>
      </c>
      <c r="M74" s="2">
        <v>0</v>
      </c>
    </row>
    <row r="75" spans="1:13" ht="12">
      <c r="A75" t="s">
        <v>44</v>
      </c>
      <c r="D75" s="2">
        <v>0</v>
      </c>
      <c r="H75" t="s">
        <v>44</v>
      </c>
      <c r="M75" s="2">
        <v>0</v>
      </c>
    </row>
    <row r="76" spans="1:13" ht="12">
      <c r="A76" t="s">
        <v>45</v>
      </c>
      <c r="D76" s="2">
        <v>2</v>
      </c>
      <c r="H76" t="s">
        <v>45</v>
      </c>
      <c r="M76" s="2">
        <v>2</v>
      </c>
    </row>
    <row r="77" spans="1:13" ht="12">
      <c r="A77" t="s">
        <v>46</v>
      </c>
      <c r="D77" s="2">
        <v>3</v>
      </c>
      <c r="H77" t="s">
        <v>46</v>
      </c>
      <c r="M77" s="2">
        <v>5</v>
      </c>
    </row>
    <row r="78" spans="1:13" ht="12">
      <c r="A78" t="s">
        <v>47</v>
      </c>
      <c r="D78" s="8">
        <f>+D76/D77*100</f>
        <v>66.66666666666666</v>
      </c>
      <c r="E78" s="7"/>
      <c r="F78" s="7"/>
      <c r="G78" s="7"/>
      <c r="H78" s="7" t="s">
        <v>47</v>
      </c>
      <c r="I78" s="7"/>
      <c r="J78" s="7"/>
      <c r="K78" s="7"/>
      <c r="L78" s="7"/>
      <c r="M78" s="8">
        <f>+M76/M77*100</f>
        <v>40</v>
      </c>
    </row>
    <row r="79" spans="1:13" ht="12">
      <c r="A79" t="s">
        <v>93</v>
      </c>
      <c r="D79" s="10" t="str">
        <f>IF(V25&lt;10,V29,V28)</f>
        <v>32:37</v>
      </c>
      <c r="E79" s="8"/>
      <c r="F79" s="8"/>
      <c r="H79" t="s">
        <v>93</v>
      </c>
      <c r="M79" s="10">
        <f>IF(AE25&lt;10,AE29,AE28)</f>
        <v>0</v>
      </c>
    </row>
    <row r="81" ht="12">
      <c r="A81" t="s">
        <v>49</v>
      </c>
    </row>
    <row r="82" spans="1:8" ht="12">
      <c r="A82" s="2" t="s">
        <v>50</v>
      </c>
      <c r="B82" s="2"/>
      <c r="C82" s="3" t="s">
        <v>51</v>
      </c>
      <c r="D82" s="3" t="s">
        <v>52</v>
      </c>
      <c r="E82" s="3" t="s">
        <v>53</v>
      </c>
      <c r="F82" s="3" t="s">
        <v>54</v>
      </c>
      <c r="G82" s="3" t="s">
        <v>55</v>
      </c>
      <c r="H82" s="3" t="s">
        <v>84</v>
      </c>
    </row>
    <row r="83" spans="1:5" ht="12">
      <c r="A83" t="s">
        <v>133</v>
      </c>
      <c r="E83" s="12" t="e">
        <f>+D83/C83</f>
        <v>#DIV/0!</v>
      </c>
    </row>
    <row r="84" spans="1:8" ht="12">
      <c r="A84" t="s">
        <v>134</v>
      </c>
      <c r="C84">
        <v>1</v>
      </c>
      <c r="D84">
        <v>1</v>
      </c>
      <c r="E84" s="12">
        <f>+D84/C84</f>
        <v>1</v>
      </c>
      <c r="F84">
        <v>1</v>
      </c>
      <c r="G84">
        <v>0</v>
      </c>
      <c r="H84">
        <v>0</v>
      </c>
    </row>
    <row r="85" spans="1:8" ht="12">
      <c r="A85" t="s">
        <v>135</v>
      </c>
      <c r="C85">
        <v>7</v>
      </c>
      <c r="D85">
        <v>23</v>
      </c>
      <c r="E85" s="12">
        <f>+D85/C85</f>
        <v>3.2857142857142856</v>
      </c>
      <c r="F85">
        <v>6</v>
      </c>
      <c r="G85">
        <v>0</v>
      </c>
      <c r="H85">
        <v>0</v>
      </c>
    </row>
    <row r="86" spans="1:5" ht="12">
      <c r="A86" t="s">
        <v>136</v>
      </c>
      <c r="E86" s="12" t="e">
        <f aca="true" t="shared" si="0" ref="E86:E92">+D86/C86</f>
        <v>#DIV/0!</v>
      </c>
    </row>
    <row r="87" spans="1:5" ht="12">
      <c r="A87" t="s">
        <v>137</v>
      </c>
      <c r="E87" s="12" t="e">
        <f t="shared" si="0"/>
        <v>#DIV/0!</v>
      </c>
    </row>
    <row r="88" spans="1:8" ht="12">
      <c r="A88" t="s">
        <v>138</v>
      </c>
      <c r="C88">
        <v>1</v>
      </c>
      <c r="D88">
        <v>-1</v>
      </c>
      <c r="E88" s="12">
        <f t="shared" si="0"/>
        <v>-1</v>
      </c>
      <c r="F88">
        <v>-1</v>
      </c>
      <c r="G88">
        <v>0</v>
      </c>
      <c r="H88">
        <v>0</v>
      </c>
    </row>
    <row r="89" spans="1:8" ht="12">
      <c r="A89" t="s">
        <v>139</v>
      </c>
      <c r="C89">
        <v>1</v>
      </c>
      <c r="D89">
        <v>1</v>
      </c>
      <c r="E89" s="12">
        <f t="shared" si="0"/>
        <v>1</v>
      </c>
      <c r="F89">
        <v>1</v>
      </c>
      <c r="G89">
        <v>1</v>
      </c>
      <c r="H89">
        <v>0</v>
      </c>
    </row>
    <row r="90" spans="1:5" ht="12">
      <c r="A90" t="s">
        <v>140</v>
      </c>
      <c r="E90" s="12" t="e">
        <f t="shared" si="0"/>
        <v>#DIV/0!</v>
      </c>
    </row>
    <row r="91" spans="1:8" ht="12">
      <c r="A91" t="s">
        <v>141</v>
      </c>
      <c r="C91">
        <v>9</v>
      </c>
      <c r="D91">
        <v>27</v>
      </c>
      <c r="E91" s="12">
        <f t="shared" si="0"/>
        <v>3</v>
      </c>
      <c r="F91">
        <v>6</v>
      </c>
      <c r="G91">
        <v>0</v>
      </c>
      <c r="H91">
        <v>0</v>
      </c>
    </row>
    <row r="92" spans="1:5" ht="12">
      <c r="A92" t="s">
        <v>142</v>
      </c>
      <c r="E92" s="12" t="e">
        <f t="shared" si="0"/>
        <v>#DIV/0!</v>
      </c>
    </row>
    <row r="93" spans="1:8" ht="12">
      <c r="A93" t="s">
        <v>143</v>
      </c>
      <c r="C93">
        <v>15</v>
      </c>
      <c r="D93">
        <v>61</v>
      </c>
      <c r="E93" s="12">
        <f>+D93/C93</f>
        <v>4.066666666666666</v>
      </c>
      <c r="F93">
        <v>17</v>
      </c>
      <c r="G93">
        <v>0</v>
      </c>
      <c r="H93">
        <v>0</v>
      </c>
    </row>
    <row r="94" ht="12">
      <c r="E94" s="12" t="e">
        <f>+D94/C94</f>
        <v>#DIV/0!</v>
      </c>
    </row>
    <row r="95" ht="12">
      <c r="E95" s="12" t="e">
        <f>+D95/C95</f>
        <v>#DIV/0!</v>
      </c>
    </row>
    <row r="96" ht="12">
      <c r="E96" s="12" t="e">
        <f>+D96/C96</f>
        <v>#DIV/0!</v>
      </c>
    </row>
    <row r="97" ht="12">
      <c r="E97" s="12" t="e">
        <f>+D97/C97</f>
        <v>#DIV/0!</v>
      </c>
    </row>
    <row r="98" ht="12">
      <c r="E98" s="12"/>
    </row>
    <row r="99" ht="12">
      <c r="E99" s="8"/>
    </row>
    <row r="100" spans="1:8" ht="12">
      <c r="A100" s="2" t="s">
        <v>56</v>
      </c>
      <c r="C100" s="3" t="s">
        <v>57</v>
      </c>
      <c r="D100" s="3" t="s">
        <v>52</v>
      </c>
      <c r="E100" s="15" t="s">
        <v>53</v>
      </c>
      <c r="F100" s="3" t="s">
        <v>54</v>
      </c>
      <c r="G100" s="3" t="s">
        <v>55</v>
      </c>
      <c r="H100" s="3" t="s">
        <v>84</v>
      </c>
    </row>
    <row r="101" spans="1:8" ht="12">
      <c r="A101" t="s">
        <v>134</v>
      </c>
      <c r="C101">
        <v>4</v>
      </c>
      <c r="D101">
        <v>64</v>
      </c>
      <c r="E101" s="12">
        <f aca="true" t="shared" si="1" ref="E101:E112">+D101/C101</f>
        <v>16</v>
      </c>
      <c r="F101">
        <v>22</v>
      </c>
      <c r="G101">
        <v>0</v>
      </c>
      <c r="H101">
        <v>0</v>
      </c>
    </row>
    <row r="102" spans="1:8" ht="12">
      <c r="A102" t="s">
        <v>144</v>
      </c>
      <c r="C102">
        <v>1</v>
      </c>
      <c r="D102">
        <v>10</v>
      </c>
      <c r="E102" s="12">
        <f t="shared" si="1"/>
        <v>10</v>
      </c>
      <c r="F102">
        <v>10</v>
      </c>
      <c r="G102">
        <v>0</v>
      </c>
      <c r="H102">
        <v>0</v>
      </c>
    </row>
    <row r="103" spans="1:8" ht="12">
      <c r="A103" t="s">
        <v>136</v>
      </c>
      <c r="C103">
        <v>3</v>
      </c>
      <c r="D103">
        <v>45</v>
      </c>
      <c r="E103" s="12">
        <f t="shared" si="1"/>
        <v>15</v>
      </c>
      <c r="F103">
        <v>30</v>
      </c>
      <c r="G103">
        <v>0</v>
      </c>
      <c r="H103">
        <v>0</v>
      </c>
    </row>
    <row r="104" spans="1:5" ht="12">
      <c r="A104" t="s">
        <v>145</v>
      </c>
      <c r="E104" s="12" t="e">
        <f t="shared" si="1"/>
        <v>#DIV/0!</v>
      </c>
    </row>
    <row r="105" spans="1:5" ht="12">
      <c r="A105" t="s">
        <v>137</v>
      </c>
      <c r="E105" s="12" t="e">
        <f t="shared" si="1"/>
        <v>#DIV/0!</v>
      </c>
    </row>
    <row r="106" spans="1:8" ht="12">
      <c r="A106" t="s">
        <v>138</v>
      </c>
      <c r="C106">
        <v>1</v>
      </c>
      <c r="D106">
        <v>-3</v>
      </c>
      <c r="E106" s="12">
        <f t="shared" si="1"/>
        <v>-3</v>
      </c>
      <c r="F106">
        <v>-3</v>
      </c>
      <c r="G106">
        <v>0</v>
      </c>
      <c r="H106">
        <v>0</v>
      </c>
    </row>
    <row r="107" spans="1:8" ht="12">
      <c r="A107" t="s">
        <v>139</v>
      </c>
      <c r="C107">
        <v>1</v>
      </c>
      <c r="D107">
        <v>23</v>
      </c>
      <c r="E107" s="12">
        <f t="shared" si="1"/>
        <v>23</v>
      </c>
      <c r="F107">
        <v>23</v>
      </c>
      <c r="G107">
        <v>0</v>
      </c>
      <c r="H107">
        <v>0</v>
      </c>
    </row>
    <row r="108" spans="1:5" ht="12">
      <c r="A108" t="s">
        <v>140</v>
      </c>
      <c r="E108" s="12" t="e">
        <f t="shared" si="1"/>
        <v>#DIV/0!</v>
      </c>
    </row>
    <row r="109" spans="1:5" ht="12">
      <c r="A109" t="s">
        <v>141</v>
      </c>
      <c r="E109" s="12" t="e">
        <f t="shared" si="1"/>
        <v>#DIV/0!</v>
      </c>
    </row>
    <row r="110" spans="1:5" ht="12">
      <c r="A110" t="s">
        <v>143</v>
      </c>
      <c r="E110" s="12" t="e">
        <f t="shared" si="1"/>
        <v>#DIV/0!</v>
      </c>
    </row>
    <row r="111" spans="1:5" ht="12">
      <c r="A111" t="s">
        <v>146</v>
      </c>
      <c r="E111" s="12" t="e">
        <f t="shared" si="1"/>
        <v>#DIV/0!</v>
      </c>
    </row>
    <row r="112" ht="12">
      <c r="E112" s="12" t="e">
        <f t="shared" si="1"/>
        <v>#DIV/0!</v>
      </c>
    </row>
    <row r="113" ht="12">
      <c r="E113" s="12" t="e">
        <f>+D113/C113</f>
        <v>#DIV/0!</v>
      </c>
    </row>
    <row r="114" spans="1:5" ht="12">
      <c r="A114" s="1"/>
      <c r="E114" s="12" t="e">
        <f>+D114/C114</f>
        <v>#DIV/0!</v>
      </c>
    </row>
    <row r="115" spans="1:5" ht="12">
      <c r="A115" s="1"/>
      <c r="E115" s="12" t="e">
        <f>+D115/C115</f>
        <v>#DIV/0!</v>
      </c>
    </row>
    <row r="116" spans="1:5" ht="12">
      <c r="A116" s="1"/>
      <c r="E116" s="12" t="e">
        <f>+D116/C116</f>
        <v>#DIV/0!</v>
      </c>
    </row>
    <row r="117" spans="1:5" ht="12">
      <c r="A117" s="1"/>
      <c r="E117" s="12" t="e">
        <f>+D117/C117</f>
        <v>#DIV/0!</v>
      </c>
    </row>
    <row r="118" ht="12">
      <c r="E118" s="8"/>
    </row>
    <row r="119" spans="1:13" ht="12">
      <c r="A119" s="2"/>
      <c r="B119" s="2"/>
      <c r="C119" s="3"/>
      <c r="D119" s="3"/>
      <c r="E119" s="15" t="s">
        <v>61</v>
      </c>
      <c r="F119" s="3" t="s">
        <v>62</v>
      </c>
      <c r="G119" s="3"/>
      <c r="H119" s="3"/>
      <c r="I119" s="3" t="s">
        <v>65</v>
      </c>
      <c r="J119" s="3" t="s">
        <v>67</v>
      </c>
      <c r="K119" s="3" t="s">
        <v>61</v>
      </c>
      <c r="L119" s="3" t="s">
        <v>53</v>
      </c>
      <c r="M119" s="3"/>
    </row>
    <row r="120" spans="1:15" ht="12">
      <c r="A120" s="2" t="s">
        <v>58</v>
      </c>
      <c r="B120" s="2"/>
      <c r="C120" s="3" t="s">
        <v>59</v>
      </c>
      <c r="D120" s="3" t="s">
        <v>60</v>
      </c>
      <c r="E120" s="15" t="s">
        <v>60</v>
      </c>
      <c r="F120" s="3" t="s">
        <v>63</v>
      </c>
      <c r="G120" s="3" t="s">
        <v>55</v>
      </c>
      <c r="H120" s="3" t="s">
        <v>64</v>
      </c>
      <c r="I120" s="5" t="s">
        <v>66</v>
      </c>
      <c r="J120" s="3" t="s">
        <v>55</v>
      </c>
      <c r="K120" s="3" t="s">
        <v>68</v>
      </c>
      <c r="L120" s="3" t="s">
        <v>69</v>
      </c>
      <c r="M120" s="3" t="s">
        <v>70</v>
      </c>
      <c r="N120" s="3" t="s">
        <v>84</v>
      </c>
      <c r="O120" s="3" t="s">
        <v>104</v>
      </c>
    </row>
    <row r="121" spans="1:25" ht="12">
      <c r="A121" t="s">
        <v>133</v>
      </c>
      <c r="E121" s="12" t="e">
        <f aca="true" t="shared" si="2" ref="E121:E126">+D121/C121*100</f>
        <v>#DIV/0!</v>
      </c>
      <c r="J121" s="8" t="e">
        <f aca="true" t="shared" si="3" ref="J121:J126">+G121/C121*100</f>
        <v>#DIV/0!</v>
      </c>
      <c r="K121" s="12" t="e">
        <f aca="true" t="shared" si="4" ref="K121:K126">+I121/C121*100</f>
        <v>#DIV/0!</v>
      </c>
      <c r="L121" s="12" t="e">
        <f aca="true" t="shared" si="5" ref="L121:L126">+F121/C121</f>
        <v>#DIV/0!</v>
      </c>
      <c r="M121" s="12" t="e">
        <f aca="true" t="shared" si="6" ref="M121:M126">100*(S121+U121+W121+Y121)/6</f>
        <v>#DIV/0!</v>
      </c>
      <c r="R121" t="e">
        <f aca="true" t="shared" si="7" ref="R121:R126">+(E121-30)/20</f>
        <v>#DIV/0!</v>
      </c>
      <c r="S121" s="2" t="e">
        <f aca="true" t="shared" si="8" ref="S121:S126">IF(R121&lt;0,0,IF(R121&gt;2.375,2.375,R121))</f>
        <v>#DIV/0!</v>
      </c>
      <c r="T121" s="6" t="e">
        <f aca="true" t="shared" si="9" ref="T121:T126">+(L121-3)/4</f>
        <v>#DIV/0!</v>
      </c>
      <c r="U121" s="2" t="e">
        <f aca="true" t="shared" si="10" ref="U121:U126">IF(T121&lt;0,0,IF(T121&gt;2.375,2.375,T121))</f>
        <v>#DIV/0!</v>
      </c>
      <c r="V121" t="e">
        <f aca="true" t="shared" si="11" ref="V121:V126">+J121/5</f>
        <v>#DIV/0!</v>
      </c>
      <c r="W121" s="2" t="e">
        <f aca="true" t="shared" si="12" ref="W121:W126">IF(V121&lt;0,0,IF(V121&gt;2.375,2.375,V121))</f>
        <v>#DIV/0!</v>
      </c>
      <c r="X121" t="e">
        <f aca="true" t="shared" si="13" ref="X121:X126">(9.5-K121)/4</f>
        <v>#DIV/0!</v>
      </c>
      <c r="Y121" s="2" t="e">
        <f aca="true" t="shared" si="14" ref="Y121:Y126">IF(X121&lt;0,0,X121)</f>
        <v>#DIV/0!</v>
      </c>
    </row>
    <row r="122" spans="1:25" ht="12">
      <c r="A122" t="s">
        <v>135</v>
      </c>
      <c r="C122">
        <v>24</v>
      </c>
      <c r="D122">
        <v>10</v>
      </c>
      <c r="E122" s="12">
        <f t="shared" si="2"/>
        <v>41.66666666666667</v>
      </c>
      <c r="F122">
        <v>139</v>
      </c>
      <c r="G122">
        <v>0</v>
      </c>
      <c r="H122">
        <v>30</v>
      </c>
      <c r="I122">
        <v>2</v>
      </c>
      <c r="J122" s="8">
        <f t="shared" si="3"/>
        <v>0</v>
      </c>
      <c r="K122" s="12">
        <f t="shared" si="4"/>
        <v>8.333333333333332</v>
      </c>
      <c r="L122" s="12">
        <f t="shared" si="5"/>
        <v>5.791666666666667</v>
      </c>
      <c r="M122" s="12">
        <f t="shared" si="6"/>
        <v>26.21527777777779</v>
      </c>
      <c r="N122">
        <v>0</v>
      </c>
      <c r="O122">
        <v>4</v>
      </c>
      <c r="R122">
        <f t="shared" si="7"/>
        <v>0.5833333333333336</v>
      </c>
      <c r="S122" s="2">
        <f t="shared" si="8"/>
        <v>0.5833333333333336</v>
      </c>
      <c r="T122" s="6">
        <f t="shared" si="9"/>
        <v>0.6979166666666667</v>
      </c>
      <c r="U122" s="2">
        <f t="shared" si="10"/>
        <v>0.6979166666666667</v>
      </c>
      <c r="V122">
        <f t="shared" si="11"/>
        <v>0</v>
      </c>
      <c r="W122" s="2">
        <f t="shared" si="12"/>
        <v>0</v>
      </c>
      <c r="X122">
        <f t="shared" si="13"/>
        <v>0.29166666666666696</v>
      </c>
      <c r="Y122" s="2">
        <f t="shared" si="14"/>
        <v>0.29166666666666696</v>
      </c>
    </row>
    <row r="123" spans="1:25" ht="12">
      <c r="A123" t="s">
        <v>147</v>
      </c>
      <c r="E123" s="12" t="e">
        <f t="shared" si="2"/>
        <v>#DIV/0!</v>
      </c>
      <c r="J123" s="8" t="e">
        <f t="shared" si="3"/>
        <v>#DIV/0!</v>
      </c>
      <c r="K123" s="12" t="e">
        <f t="shared" si="4"/>
        <v>#DIV/0!</v>
      </c>
      <c r="L123" s="12" t="e">
        <f t="shared" si="5"/>
        <v>#DIV/0!</v>
      </c>
      <c r="M123" s="12" t="e">
        <f t="shared" si="6"/>
        <v>#DIV/0!</v>
      </c>
      <c r="R123" t="e">
        <f t="shared" si="7"/>
        <v>#DIV/0!</v>
      </c>
      <c r="S123" s="2" t="e">
        <f t="shared" si="8"/>
        <v>#DIV/0!</v>
      </c>
      <c r="T123" s="6" t="e">
        <f t="shared" si="9"/>
        <v>#DIV/0!</v>
      </c>
      <c r="U123" s="2" t="e">
        <f t="shared" si="10"/>
        <v>#DIV/0!</v>
      </c>
      <c r="V123" t="e">
        <f t="shared" si="11"/>
        <v>#DIV/0!</v>
      </c>
      <c r="W123" s="2" t="e">
        <f t="shared" si="12"/>
        <v>#DIV/0!</v>
      </c>
      <c r="X123" t="e">
        <f t="shared" si="13"/>
        <v>#DIV/0!</v>
      </c>
      <c r="Y123" s="2" t="e">
        <f t="shared" si="14"/>
        <v>#DIV/0!</v>
      </c>
    </row>
    <row r="124" spans="1:25" ht="12">
      <c r="A124" t="s">
        <v>142</v>
      </c>
      <c r="E124" s="12" t="e">
        <f t="shared" si="2"/>
        <v>#DIV/0!</v>
      </c>
      <c r="J124" s="8" t="e">
        <f t="shared" si="3"/>
        <v>#DIV/0!</v>
      </c>
      <c r="K124" s="12" t="e">
        <f t="shared" si="4"/>
        <v>#DIV/0!</v>
      </c>
      <c r="L124" s="12" t="e">
        <f t="shared" si="5"/>
        <v>#DIV/0!</v>
      </c>
      <c r="M124" s="12" t="e">
        <f t="shared" si="6"/>
        <v>#DIV/0!</v>
      </c>
      <c r="R124" t="e">
        <f t="shared" si="7"/>
        <v>#DIV/0!</v>
      </c>
      <c r="S124" s="2" t="e">
        <f t="shared" si="8"/>
        <v>#DIV/0!</v>
      </c>
      <c r="T124" s="6" t="e">
        <f t="shared" si="9"/>
        <v>#DIV/0!</v>
      </c>
      <c r="U124" s="2" t="e">
        <f t="shared" si="10"/>
        <v>#DIV/0!</v>
      </c>
      <c r="V124" t="e">
        <f t="shared" si="11"/>
        <v>#DIV/0!</v>
      </c>
      <c r="W124" s="2" t="e">
        <f t="shared" si="12"/>
        <v>#DIV/0!</v>
      </c>
      <c r="X124" t="e">
        <f t="shared" si="13"/>
        <v>#DIV/0!</v>
      </c>
      <c r="Y124" s="2" t="e">
        <f t="shared" si="14"/>
        <v>#DIV/0!</v>
      </c>
    </row>
    <row r="125" spans="1:25" ht="12">
      <c r="A125" t="s">
        <v>143</v>
      </c>
      <c r="E125" s="12" t="e">
        <f t="shared" si="2"/>
        <v>#DIV/0!</v>
      </c>
      <c r="J125" s="8" t="e">
        <f t="shared" si="3"/>
        <v>#DIV/0!</v>
      </c>
      <c r="K125" s="12" t="e">
        <f t="shared" si="4"/>
        <v>#DIV/0!</v>
      </c>
      <c r="L125" s="12" t="e">
        <f t="shared" si="5"/>
        <v>#DIV/0!</v>
      </c>
      <c r="M125" s="12" t="e">
        <f t="shared" si="6"/>
        <v>#DIV/0!</v>
      </c>
      <c r="R125" t="e">
        <f t="shared" si="7"/>
        <v>#DIV/0!</v>
      </c>
      <c r="S125" s="2" t="e">
        <f t="shared" si="8"/>
        <v>#DIV/0!</v>
      </c>
      <c r="T125" s="6" t="e">
        <f t="shared" si="9"/>
        <v>#DIV/0!</v>
      </c>
      <c r="U125" s="2" t="e">
        <f t="shared" si="10"/>
        <v>#DIV/0!</v>
      </c>
      <c r="V125" t="e">
        <f t="shared" si="11"/>
        <v>#DIV/0!</v>
      </c>
      <c r="W125" s="2" t="e">
        <f t="shared" si="12"/>
        <v>#DIV/0!</v>
      </c>
      <c r="X125" t="e">
        <f t="shared" si="13"/>
        <v>#DIV/0!</v>
      </c>
      <c r="Y125" s="2" t="e">
        <f t="shared" si="14"/>
        <v>#DIV/0!</v>
      </c>
    </row>
    <row r="126" spans="5:25" ht="12">
      <c r="E126" s="12" t="e">
        <f t="shared" si="2"/>
        <v>#DIV/0!</v>
      </c>
      <c r="J126" s="8" t="e">
        <f t="shared" si="3"/>
        <v>#DIV/0!</v>
      </c>
      <c r="K126" s="12" t="e">
        <f t="shared" si="4"/>
        <v>#DIV/0!</v>
      </c>
      <c r="L126" s="12" t="e">
        <f t="shared" si="5"/>
        <v>#DIV/0!</v>
      </c>
      <c r="M126" s="12" t="e">
        <f t="shared" si="6"/>
        <v>#DIV/0!</v>
      </c>
      <c r="R126" t="e">
        <f t="shared" si="7"/>
        <v>#DIV/0!</v>
      </c>
      <c r="S126" s="2" t="e">
        <f t="shared" si="8"/>
        <v>#DIV/0!</v>
      </c>
      <c r="T126" s="6" t="e">
        <f t="shared" si="9"/>
        <v>#DIV/0!</v>
      </c>
      <c r="U126" s="2" t="e">
        <f t="shared" si="10"/>
        <v>#DIV/0!</v>
      </c>
      <c r="V126" t="e">
        <f t="shared" si="11"/>
        <v>#DIV/0!</v>
      </c>
      <c r="W126" s="2" t="e">
        <f t="shared" si="12"/>
        <v>#DIV/0!</v>
      </c>
      <c r="X126" t="e">
        <f t="shared" si="13"/>
        <v>#DIV/0!</v>
      </c>
      <c r="Y126" s="2" t="e">
        <f t="shared" si="14"/>
        <v>#DIV/0!</v>
      </c>
    </row>
    <row r="128" spans="1:9" ht="12">
      <c r="A128" s="2" t="s">
        <v>71</v>
      </c>
      <c r="C128" s="3" t="s">
        <v>72</v>
      </c>
      <c r="D128" s="3" t="s">
        <v>73</v>
      </c>
      <c r="E128" s="3" t="s">
        <v>74</v>
      </c>
      <c r="F128" s="3" t="s">
        <v>53</v>
      </c>
      <c r="G128" s="3" t="s">
        <v>64</v>
      </c>
      <c r="H128" s="3" t="s">
        <v>55</v>
      </c>
      <c r="I128" s="3" t="s">
        <v>84</v>
      </c>
    </row>
    <row r="129" spans="1:6" ht="12">
      <c r="A129" t="s">
        <v>148</v>
      </c>
      <c r="F129" s="12" t="e">
        <f aca="true" t="shared" si="15" ref="F129:F134">+E129/C129</f>
        <v>#DIV/0!</v>
      </c>
    </row>
    <row r="130" spans="1:9" ht="12">
      <c r="A130" t="s">
        <v>136</v>
      </c>
      <c r="C130">
        <v>1</v>
      </c>
      <c r="D130">
        <v>1</v>
      </c>
      <c r="E130">
        <v>1</v>
      </c>
      <c r="F130" s="12">
        <f t="shared" si="15"/>
        <v>1</v>
      </c>
      <c r="G130">
        <v>1</v>
      </c>
      <c r="H130">
        <v>0</v>
      </c>
      <c r="I130">
        <v>0</v>
      </c>
    </row>
    <row r="131" spans="1:6" ht="12">
      <c r="A131" t="s">
        <v>140</v>
      </c>
      <c r="F131" s="12" t="e">
        <f t="shared" si="15"/>
        <v>#DIV/0!</v>
      </c>
    </row>
    <row r="132" spans="1:6" ht="12">
      <c r="A132" t="s">
        <v>143</v>
      </c>
      <c r="F132" s="12" t="e">
        <f t="shared" si="15"/>
        <v>#DIV/0!</v>
      </c>
    </row>
    <row r="133" ht="12">
      <c r="F133" s="12" t="e">
        <f t="shared" si="15"/>
        <v>#DIV/0!</v>
      </c>
    </row>
    <row r="134" ht="12">
      <c r="F134" s="12" t="e">
        <f t="shared" si="15"/>
        <v>#DIV/0!</v>
      </c>
    </row>
    <row r="138" spans="1:8" ht="12">
      <c r="A138" s="2" t="s">
        <v>30</v>
      </c>
      <c r="C138" s="3" t="s">
        <v>72</v>
      </c>
      <c r="D138" s="3" t="s">
        <v>74</v>
      </c>
      <c r="E138" s="3" t="s">
        <v>53</v>
      </c>
      <c r="F138" s="3" t="s">
        <v>64</v>
      </c>
      <c r="G138" s="3" t="s">
        <v>55</v>
      </c>
      <c r="H138" s="3" t="s">
        <v>84</v>
      </c>
    </row>
    <row r="139" spans="1:5" ht="12">
      <c r="A139" t="s">
        <v>149</v>
      </c>
      <c r="E139" s="12" t="e">
        <f aca="true" t="shared" si="16" ref="E139:E144">+D139/C139</f>
        <v>#DIV/0!</v>
      </c>
    </row>
    <row r="140" spans="1:5" ht="12">
      <c r="A140" t="s">
        <v>148</v>
      </c>
      <c r="E140" s="12" t="e">
        <f t="shared" si="16"/>
        <v>#DIV/0!</v>
      </c>
    </row>
    <row r="141" spans="1:6" ht="12">
      <c r="A141" t="s">
        <v>136</v>
      </c>
      <c r="C141">
        <v>1</v>
      </c>
      <c r="D141">
        <v>26</v>
      </c>
      <c r="E141" s="12">
        <f t="shared" si="16"/>
        <v>26</v>
      </c>
      <c r="F141">
        <v>26</v>
      </c>
    </row>
    <row r="142" spans="1:5" ht="12">
      <c r="A142" t="s">
        <v>150</v>
      </c>
      <c r="E142" s="12" t="e">
        <f t="shared" si="16"/>
        <v>#DIV/0!</v>
      </c>
    </row>
    <row r="143" spans="1:5" ht="12">
      <c r="A143" t="s">
        <v>151</v>
      </c>
      <c r="E143" s="12" t="e">
        <f t="shared" si="16"/>
        <v>#DIV/0!</v>
      </c>
    </row>
    <row r="144" spans="1:5" ht="12">
      <c r="A144" t="s">
        <v>152</v>
      </c>
      <c r="E144" s="12" t="e">
        <f t="shared" si="16"/>
        <v>#DIV/0!</v>
      </c>
    </row>
    <row r="145" spans="1:6" ht="12">
      <c r="A145" t="s">
        <v>138</v>
      </c>
      <c r="C145">
        <v>1</v>
      </c>
      <c r="D145">
        <v>13</v>
      </c>
      <c r="E145" s="12">
        <f aca="true" t="shared" si="17" ref="E145:E151">+D145/C145</f>
        <v>13</v>
      </c>
      <c r="F145">
        <v>13</v>
      </c>
    </row>
    <row r="146" spans="1:6" ht="12">
      <c r="A146" t="s">
        <v>143</v>
      </c>
      <c r="C146">
        <v>3</v>
      </c>
      <c r="D146">
        <f>40+18+31</f>
        <v>89</v>
      </c>
      <c r="E146" s="12">
        <f t="shared" si="17"/>
        <v>29.666666666666668</v>
      </c>
      <c r="F146">
        <v>40</v>
      </c>
    </row>
    <row r="147" spans="1:5" ht="12">
      <c r="A147" t="s">
        <v>146</v>
      </c>
      <c r="E147" s="12" t="e">
        <f t="shared" si="17"/>
        <v>#DIV/0!</v>
      </c>
    </row>
    <row r="148" spans="1:5" ht="12">
      <c r="A148" t="s">
        <v>153</v>
      </c>
      <c r="E148" s="12" t="e">
        <f t="shared" si="17"/>
        <v>#DIV/0!</v>
      </c>
    </row>
    <row r="149" ht="12">
      <c r="E149" s="12" t="e">
        <f t="shared" si="17"/>
        <v>#DIV/0!</v>
      </c>
    </row>
    <row r="150" ht="12">
      <c r="E150" s="12" t="e">
        <f t="shared" si="17"/>
        <v>#DIV/0!</v>
      </c>
    </row>
    <row r="151" ht="12">
      <c r="E151" s="12" t="e">
        <f t="shared" si="17"/>
        <v>#DIV/0!</v>
      </c>
    </row>
    <row r="153" spans="1:8" ht="12">
      <c r="A153" s="2" t="s">
        <v>75</v>
      </c>
      <c r="C153" s="3" t="s">
        <v>72</v>
      </c>
      <c r="D153" s="3" t="s">
        <v>74</v>
      </c>
      <c r="E153" s="3" t="s">
        <v>53</v>
      </c>
      <c r="F153" s="3" t="s">
        <v>64</v>
      </c>
      <c r="G153" s="3" t="s">
        <v>76</v>
      </c>
      <c r="H153" s="3" t="s">
        <v>84</v>
      </c>
    </row>
    <row r="154" spans="1:6" ht="12">
      <c r="A154" t="s">
        <v>154</v>
      </c>
      <c r="C154">
        <v>4</v>
      </c>
      <c r="D154">
        <f>45+55+27+36</f>
        <v>163</v>
      </c>
      <c r="E154" s="12"/>
      <c r="F154">
        <v>55</v>
      </c>
    </row>
    <row r="160" spans="9:21" ht="12">
      <c r="I160" s="5" t="s">
        <v>67</v>
      </c>
      <c r="L160" s="32" t="s">
        <v>99</v>
      </c>
      <c r="M160" s="32"/>
      <c r="N160" s="32" t="s">
        <v>100</v>
      </c>
      <c r="O160" s="32"/>
      <c r="P160" s="32" t="s">
        <v>101</v>
      </c>
      <c r="Q160" s="32"/>
      <c r="R160" s="32" t="s">
        <v>102</v>
      </c>
      <c r="S160" s="32"/>
      <c r="T160" s="32" t="s">
        <v>103</v>
      </c>
      <c r="U160" s="32"/>
    </row>
    <row r="161" spans="1:21" ht="12">
      <c r="A161" s="4" t="s">
        <v>83</v>
      </c>
      <c r="C161" s="3" t="s">
        <v>77</v>
      </c>
      <c r="D161" s="3" t="s">
        <v>78</v>
      </c>
      <c r="E161" s="3" t="s">
        <v>79</v>
      </c>
      <c r="F161" s="3" t="s">
        <v>80</v>
      </c>
      <c r="G161" s="3" t="s">
        <v>81</v>
      </c>
      <c r="H161" s="3" t="s">
        <v>82</v>
      </c>
      <c r="I161" s="3" t="s">
        <v>86</v>
      </c>
      <c r="J161" s="3" t="s">
        <v>64</v>
      </c>
      <c r="L161" s="3" t="s">
        <v>81</v>
      </c>
      <c r="M161" s="3" t="s">
        <v>82</v>
      </c>
      <c r="N161" s="3" t="s">
        <v>81</v>
      </c>
      <c r="O161" s="3" t="s">
        <v>82</v>
      </c>
      <c r="P161" s="3" t="s">
        <v>81</v>
      </c>
      <c r="Q161" s="3" t="s">
        <v>82</v>
      </c>
      <c r="R161" s="3" t="s">
        <v>81</v>
      </c>
      <c r="S161" s="3" t="s">
        <v>82</v>
      </c>
      <c r="T161" s="3" t="s">
        <v>81</v>
      </c>
      <c r="U161" s="3" t="s">
        <v>82</v>
      </c>
    </row>
    <row r="162" spans="1:18" ht="12">
      <c r="A162" t="s">
        <v>155</v>
      </c>
      <c r="C162">
        <v>4</v>
      </c>
      <c r="D162">
        <v>1</v>
      </c>
      <c r="E162">
        <v>1</v>
      </c>
      <c r="F162">
        <v>1</v>
      </c>
      <c r="G162">
        <v>3</v>
      </c>
      <c r="H162">
        <v>2</v>
      </c>
      <c r="I162" s="12">
        <f aca="true" t="shared" si="18" ref="I162:I169">+H162/G162*100</f>
        <v>66.66666666666666</v>
      </c>
      <c r="J162">
        <v>25</v>
      </c>
      <c r="L162">
        <v>1</v>
      </c>
      <c r="M162">
        <v>1</v>
      </c>
      <c r="N162">
        <v>1</v>
      </c>
      <c r="O162">
        <v>1</v>
      </c>
      <c r="R162">
        <v>1</v>
      </c>
    </row>
    <row r="163" spans="1:9" ht="12">
      <c r="A163" t="s">
        <v>154</v>
      </c>
      <c r="I163" s="12" t="e">
        <f t="shared" si="18"/>
        <v>#DIV/0!</v>
      </c>
    </row>
    <row r="164" ht="12">
      <c r="I164" s="12" t="e">
        <f t="shared" si="18"/>
        <v>#DIV/0!</v>
      </c>
    </row>
    <row r="165" ht="12">
      <c r="I165" s="12" t="e">
        <f t="shared" si="18"/>
        <v>#DIV/0!</v>
      </c>
    </row>
    <row r="166" ht="12">
      <c r="I166" s="12" t="e">
        <f t="shared" si="18"/>
        <v>#DIV/0!</v>
      </c>
    </row>
    <row r="167" ht="12">
      <c r="I167" s="12" t="e">
        <f t="shared" si="18"/>
        <v>#DIV/0!</v>
      </c>
    </row>
    <row r="168" ht="12">
      <c r="I168" s="12" t="e">
        <f t="shared" si="18"/>
        <v>#DIV/0!</v>
      </c>
    </row>
    <row r="169" ht="12">
      <c r="I169" s="12" t="e">
        <f t="shared" si="18"/>
        <v>#DIV/0!</v>
      </c>
    </row>
    <row r="172" spans="1:8" ht="12">
      <c r="A172" s="2" t="s">
        <v>85</v>
      </c>
      <c r="C172" s="3" t="s">
        <v>72</v>
      </c>
      <c r="D172" s="3" t="s">
        <v>74</v>
      </c>
      <c r="E172" s="3" t="s">
        <v>53</v>
      </c>
      <c r="F172" s="3" t="s">
        <v>64</v>
      </c>
      <c r="G172" s="3" t="s">
        <v>55</v>
      </c>
      <c r="H172" s="3" t="s">
        <v>84</v>
      </c>
    </row>
    <row r="173" spans="1:5" ht="12">
      <c r="A173" t="s">
        <v>156</v>
      </c>
      <c r="E173" s="12" t="e">
        <f>+D173/C173</f>
        <v>#DIV/0!</v>
      </c>
    </row>
    <row r="174" spans="1:5" ht="12">
      <c r="A174" t="s">
        <v>149</v>
      </c>
      <c r="E174" s="12" t="e">
        <f aca="true" t="shared" si="19" ref="E174:E180">+D174/C174</f>
        <v>#DIV/0!</v>
      </c>
    </row>
    <row r="175" spans="1:5" ht="12">
      <c r="A175" t="s">
        <v>157</v>
      </c>
      <c r="E175" s="12" t="e">
        <f t="shared" si="19"/>
        <v>#DIV/0!</v>
      </c>
    </row>
    <row r="176" spans="1:5" ht="12">
      <c r="A176" t="s">
        <v>158</v>
      </c>
      <c r="E176" s="12" t="e">
        <f t="shared" si="19"/>
        <v>#DIV/0!</v>
      </c>
    </row>
    <row r="177" spans="1:5" ht="12">
      <c r="A177" t="s">
        <v>159</v>
      </c>
      <c r="E177" s="12" t="e">
        <f t="shared" si="19"/>
        <v>#DIV/0!</v>
      </c>
    </row>
    <row r="178" spans="1:6" ht="12">
      <c r="A178" t="s">
        <v>160</v>
      </c>
      <c r="C178">
        <v>1</v>
      </c>
      <c r="D178">
        <v>0</v>
      </c>
      <c r="E178" s="12">
        <f t="shared" si="19"/>
        <v>0</v>
      </c>
      <c r="F178">
        <v>0</v>
      </c>
    </row>
    <row r="179" spans="1:5" ht="12">
      <c r="A179" t="s">
        <v>161</v>
      </c>
      <c r="E179" s="12" t="e">
        <f t="shared" si="19"/>
        <v>#DIV/0!</v>
      </c>
    </row>
    <row r="180" spans="1:5" ht="12">
      <c r="A180" t="s">
        <v>147</v>
      </c>
      <c r="E180" s="12" t="e">
        <f t="shared" si="19"/>
        <v>#DIV/0!</v>
      </c>
    </row>
    <row r="181" spans="1:5" ht="12">
      <c r="A181" t="s">
        <v>153</v>
      </c>
      <c r="E181" s="12" t="e">
        <f>+D181/C181</f>
        <v>#DIV/0!</v>
      </c>
    </row>
    <row r="182" spans="1:5" ht="12">
      <c r="A182" t="s">
        <v>162</v>
      </c>
      <c r="E182" s="12" t="e">
        <f>+D182/C182</f>
        <v>#DIV/0!</v>
      </c>
    </row>
    <row r="183" spans="1:5" ht="12">
      <c r="A183" s="1"/>
      <c r="E183" s="12" t="e">
        <f>+D183/C183</f>
        <v>#DIV/0!</v>
      </c>
    </row>
    <row r="184" spans="1:5" ht="12">
      <c r="A184" s="1"/>
      <c r="E184" s="12" t="e">
        <f>+D184/C184</f>
        <v>#DIV/0!</v>
      </c>
    </row>
    <row r="185" spans="1:5" ht="12">
      <c r="A185" s="1"/>
      <c r="E185" s="12" t="e">
        <f>+D185/C185</f>
        <v>#DIV/0!</v>
      </c>
    </row>
    <row r="186" spans="1:5" ht="12">
      <c r="A186" s="1"/>
      <c r="E186" s="12"/>
    </row>
    <row r="187" spans="1:4" ht="12">
      <c r="A187" s="2" t="s">
        <v>98</v>
      </c>
      <c r="C187" s="3" t="s">
        <v>72</v>
      </c>
      <c r="D187" s="3" t="s">
        <v>74</v>
      </c>
    </row>
    <row r="188" spans="1:4" ht="12">
      <c r="A188" s="20" t="s">
        <v>156</v>
      </c>
      <c r="C188" s="3">
        <v>0.5</v>
      </c>
      <c r="D188" s="3">
        <v>4.5</v>
      </c>
    </row>
    <row r="189" spans="1:4" ht="12">
      <c r="A189" s="20" t="s">
        <v>157</v>
      </c>
      <c r="C189" s="3">
        <v>1</v>
      </c>
      <c r="D189" s="3">
        <v>8</v>
      </c>
    </row>
    <row r="190" spans="1:4" ht="12">
      <c r="A190" s="20" t="s">
        <v>158</v>
      </c>
      <c r="C190" s="3"/>
      <c r="D190" s="3"/>
    </row>
    <row r="191" spans="1:4" ht="12">
      <c r="A191" s="20" t="s">
        <v>159</v>
      </c>
      <c r="C191" s="3">
        <v>1.5</v>
      </c>
      <c r="D191" s="3">
        <v>15.5</v>
      </c>
    </row>
    <row r="192" spans="1:4" ht="12">
      <c r="A192" s="20" t="s">
        <v>163</v>
      </c>
      <c r="C192" s="3"/>
      <c r="D192" s="3"/>
    </row>
    <row r="193" spans="1:4" ht="12">
      <c r="A193" s="20" t="s">
        <v>164</v>
      </c>
      <c r="C193" s="3">
        <v>1</v>
      </c>
      <c r="D193" s="3">
        <v>4</v>
      </c>
    </row>
    <row r="194" spans="1:4" ht="12">
      <c r="A194" s="20" t="s">
        <v>161</v>
      </c>
      <c r="C194" s="3"/>
      <c r="D194" s="3"/>
    </row>
    <row r="195" spans="1:4" ht="12">
      <c r="A195" s="20" t="s">
        <v>165</v>
      </c>
      <c r="C195" s="3"/>
      <c r="D195" s="3"/>
    </row>
    <row r="196" spans="1:4" ht="12">
      <c r="A196" s="20" t="s">
        <v>147</v>
      </c>
      <c r="C196" s="3"/>
      <c r="D196" s="3"/>
    </row>
    <row r="197" spans="1:4" ht="12">
      <c r="A197" s="20" t="s">
        <v>166</v>
      </c>
      <c r="C197" s="3"/>
      <c r="D197" s="3"/>
    </row>
    <row r="198" spans="1:4" ht="12">
      <c r="A198" s="20"/>
      <c r="C198" s="3"/>
      <c r="D198" s="3"/>
    </row>
    <row r="199" spans="1:4" ht="12">
      <c r="A199" s="20"/>
      <c r="C199" s="3"/>
      <c r="D199" s="3"/>
    </row>
    <row r="200" spans="1:4" ht="12">
      <c r="A200" s="20"/>
      <c r="C200" s="3"/>
      <c r="D200" s="3"/>
    </row>
    <row r="201" spans="1:4" ht="12">
      <c r="A201" s="20"/>
      <c r="C201" s="3"/>
      <c r="D201" s="3"/>
    </row>
    <row r="202" spans="1:4" ht="12">
      <c r="A202" s="2"/>
      <c r="C202" s="3"/>
      <c r="D202" s="3"/>
    </row>
    <row r="203" spans="1:4" ht="12">
      <c r="A203" s="2"/>
      <c r="C203" s="3"/>
      <c r="D203" s="3"/>
    </row>
    <row r="204" spans="1:4" ht="12">
      <c r="A204" s="2"/>
      <c r="C204" s="3"/>
      <c r="D204" s="3"/>
    </row>
    <row r="205" spans="1:7" ht="12">
      <c r="A205" s="2" t="s">
        <v>94</v>
      </c>
      <c r="C205" s="3" t="s">
        <v>72</v>
      </c>
      <c r="D205" s="3" t="s">
        <v>74</v>
      </c>
      <c r="E205" s="3" t="s">
        <v>64</v>
      </c>
      <c r="F205" s="3" t="s">
        <v>55</v>
      </c>
      <c r="G205" s="5" t="s">
        <v>84</v>
      </c>
    </row>
    <row r="206" ht="12">
      <c r="A206" t="s">
        <v>167</v>
      </c>
    </row>
    <row r="207" ht="12">
      <c r="A207" t="s">
        <v>156</v>
      </c>
    </row>
    <row r="208" ht="12">
      <c r="A208" t="s">
        <v>149</v>
      </c>
    </row>
    <row r="209" ht="12">
      <c r="A209" t="s">
        <v>157</v>
      </c>
    </row>
    <row r="210" ht="12">
      <c r="A210" t="s">
        <v>133</v>
      </c>
    </row>
    <row r="211" ht="12">
      <c r="A211" t="s">
        <v>134</v>
      </c>
    </row>
    <row r="212" ht="12">
      <c r="A212" t="s">
        <v>158</v>
      </c>
    </row>
    <row r="213" ht="12">
      <c r="A213" t="s">
        <v>168</v>
      </c>
    </row>
    <row r="214" ht="12">
      <c r="A214" t="s">
        <v>135</v>
      </c>
    </row>
    <row r="215" ht="12">
      <c r="A215" t="s">
        <v>159</v>
      </c>
    </row>
    <row r="216" ht="12">
      <c r="A216" t="s">
        <v>169</v>
      </c>
    </row>
    <row r="217" ht="12">
      <c r="A217" t="s">
        <v>144</v>
      </c>
    </row>
    <row r="218" ht="12">
      <c r="A218" t="s">
        <v>148</v>
      </c>
    </row>
    <row r="219" ht="12">
      <c r="A219" t="s">
        <v>163</v>
      </c>
    </row>
    <row r="220" ht="12">
      <c r="A220" t="s">
        <v>160</v>
      </c>
    </row>
    <row r="221" ht="12">
      <c r="A221" t="s">
        <v>136</v>
      </c>
    </row>
    <row r="222" ht="12">
      <c r="A222" t="s">
        <v>170</v>
      </c>
    </row>
    <row r="223" ht="12">
      <c r="A223" t="s">
        <v>154</v>
      </c>
    </row>
    <row r="224" ht="12">
      <c r="A224" t="s">
        <v>150</v>
      </c>
    </row>
    <row r="225" ht="12">
      <c r="A225" t="s">
        <v>171</v>
      </c>
    </row>
    <row r="226" ht="12">
      <c r="A226" t="s">
        <v>164</v>
      </c>
    </row>
    <row r="227" ht="12">
      <c r="A227" t="s">
        <v>145</v>
      </c>
    </row>
    <row r="228" ht="12">
      <c r="A228" t="s">
        <v>137</v>
      </c>
    </row>
    <row r="229" ht="12">
      <c r="A229" t="s">
        <v>151</v>
      </c>
    </row>
    <row r="230" ht="12">
      <c r="A230" t="s">
        <v>152</v>
      </c>
    </row>
    <row r="231" ht="12">
      <c r="A231" t="s">
        <v>138</v>
      </c>
    </row>
    <row r="232" ht="12">
      <c r="A232" t="s">
        <v>139</v>
      </c>
    </row>
    <row r="233" ht="12">
      <c r="A233" t="s">
        <v>161</v>
      </c>
    </row>
    <row r="234" ht="12">
      <c r="A234" t="s">
        <v>172</v>
      </c>
    </row>
    <row r="235" ht="12">
      <c r="A235" t="s">
        <v>140</v>
      </c>
    </row>
    <row r="236" ht="12">
      <c r="A236" t="s">
        <v>165</v>
      </c>
    </row>
    <row r="237" ht="12">
      <c r="A237" t="s">
        <v>155</v>
      </c>
    </row>
    <row r="238" ht="12">
      <c r="A238" t="s">
        <v>147</v>
      </c>
    </row>
    <row r="239" ht="12">
      <c r="A239" t="s">
        <v>173</v>
      </c>
    </row>
    <row r="240" ht="12">
      <c r="A240" t="s">
        <v>141</v>
      </c>
    </row>
    <row r="241" ht="12">
      <c r="A241" t="s">
        <v>174</v>
      </c>
    </row>
    <row r="242" ht="12">
      <c r="A242" t="s">
        <v>166</v>
      </c>
    </row>
    <row r="243" ht="12">
      <c r="A243" t="s">
        <v>175</v>
      </c>
    </row>
    <row r="244" ht="12">
      <c r="A244" t="s">
        <v>176</v>
      </c>
    </row>
    <row r="245" ht="12">
      <c r="A245" t="s">
        <v>142</v>
      </c>
    </row>
    <row r="246" ht="12">
      <c r="A246" t="s">
        <v>177</v>
      </c>
    </row>
    <row r="247" ht="12">
      <c r="A247" t="s">
        <v>143</v>
      </c>
    </row>
    <row r="248" ht="12">
      <c r="A248" t="s">
        <v>178</v>
      </c>
    </row>
    <row r="249" ht="12">
      <c r="A249" t="s">
        <v>179</v>
      </c>
    </row>
    <row r="250" ht="12">
      <c r="A250" t="s">
        <v>146</v>
      </c>
    </row>
    <row r="251" ht="12">
      <c r="A251" t="s">
        <v>153</v>
      </c>
    </row>
    <row r="252" ht="12">
      <c r="A252" t="s">
        <v>162</v>
      </c>
    </row>
    <row r="253" ht="12">
      <c r="A253" t="s">
        <v>180</v>
      </c>
    </row>
  </sheetData>
  <sheetProtection/>
  <mergeCells count="5">
    <mergeCell ref="L160:M160"/>
    <mergeCell ref="N160:O160"/>
    <mergeCell ref="P160:Q160"/>
    <mergeCell ref="R160:S160"/>
    <mergeCell ref="T160:U160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Zarb</dc:creator>
  <cp:keywords/>
  <dc:description/>
  <cp:lastModifiedBy>Mark Zarb</cp:lastModifiedBy>
  <cp:lastPrinted>2019-08-15T13:21:16Z</cp:lastPrinted>
  <dcterms:created xsi:type="dcterms:W3CDTF">2004-12-04T00:48:17Z</dcterms:created>
  <dcterms:modified xsi:type="dcterms:W3CDTF">2020-07-07T12:31:58Z</dcterms:modified>
  <cp:category/>
  <cp:version/>
  <cp:contentType/>
  <cp:contentStatus/>
</cp:coreProperties>
</file>