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6" windowWidth="38400" windowHeight="18280" tabRatio="827" activeTab="0"/>
  </bookViews>
  <sheets>
    <sheet name="Cumulative Stats" sheetId="1" r:id="rId1"/>
    <sheet name="vs Bos" sheetId="2" r:id="rId2"/>
    <sheet name="vs Hou" sheetId="3" r:id="rId3"/>
    <sheet name="at Buf" sheetId="4" r:id="rId4"/>
    <sheet name="vs Bos(2)" sheetId="5" r:id="rId5"/>
    <sheet name="vs KC" sheetId="6" r:id="rId6"/>
    <sheet name="at Den" sheetId="7" r:id="rId7"/>
    <sheet name="at Oak" sheetId="8" r:id="rId8"/>
    <sheet name="vs Mia" sheetId="9" r:id="rId9"/>
    <sheet name="at KC" sheetId="10" r:id="rId10"/>
    <sheet name="vs Den" sheetId="11" r:id="rId11"/>
    <sheet name="vs Oak" sheetId="12" r:id="rId12"/>
    <sheet name="at Mia" sheetId="13" r:id="rId13"/>
    <sheet name="at Hou" sheetId="14" r:id="rId14"/>
    <sheet name="vs NY" sheetId="15" r:id="rId15"/>
    <sheet name="Gm 15" sheetId="16" r:id="rId16"/>
    <sheet name="Gm 16" sheetId="17" r:id="rId17"/>
    <sheet name="Extra 1" sheetId="18" r:id="rId18"/>
    <sheet name="Extra 2" sheetId="19" r:id="rId19"/>
    <sheet name="extra 3" sheetId="20" r:id="rId20"/>
    <sheet name="Roster" sheetId="21" r:id="rId21"/>
    <sheet name="Summary" sheetId="22" r:id="rId22"/>
  </sheets>
  <definedNames>
    <definedName name="_xlnm.Print_Area" localSheetId="21">'Summary'!$A$2:$O$21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<sst xmlns="http://schemas.openxmlformats.org/spreadsheetml/2006/main" count="7157" uniqueCount="185">
  <si>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</si>
  <si>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</si>
  <si>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</si>
  <si>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</si>
  <si>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</si>
  <si>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</si>
  <si>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</si>
  <si>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</si>
  <si>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</si>
  <si>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</si>
  <si>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</si>
  <si>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</si>
  <si>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</si>
  <si>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</si>
  <si>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</si>
  <si>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</si>
  <si>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</si>
  <si>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</si>
  <si>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</si>
  <si>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</si>
  <si>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</si>
  <si>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</si>
  <si>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</si>
  <si>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</si>
  <si>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</si>
  <si>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</si>
  <si>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</si>
  <si>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</si>
  <si>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</si>
  <si>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</si>
  <si>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</si>
  <si>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</si>
  <si>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</si>
  <si>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</si>
  <si>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</si>
  <si>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</si>
  <si>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</si>
  <si>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</si>
  <si>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</si>
  <si>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</si>
  <si>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</si>
  <si>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</si>
  <si>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</si>
  <si>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</si>
  <si>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</si>
  <si>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</si>
  <si>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</si>
  <si>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</si>
  <si>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</si>
  <si>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</si>
  <si>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</si>
  <si>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</si>
  <si>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</si>
  <si>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</si>
  <si>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</si>
  <si>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</si>
  <si>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</si>
  <si>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</si>
  <si>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</si>
  <si>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</si>
  <si>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</si>
  <si>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</si>
  <si>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</si>
  <si>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</si>
  <si>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</si>
  <si>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</si>
  <si>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</si>
  <si>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</si>
  <si>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</si>
  <si>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</si>
  <si>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</si>
  <si>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</si>
  <si>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</si>
  <si>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</si>
  <si>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</si>
  <si>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</si>
  <si>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</si>
  <si>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</si>
  <si>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</si>
  <si>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</si>
  <si>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</si>
  <si>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</si>
  <si>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</si>
  <si>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</si>
  <si>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</si>
  <si>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</si>
  <si>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</si>
  <si>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</si>
  <si>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</si>
  <si>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</si>
  <si>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</si>
  <si>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</si>
  <si>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</si>
  <si>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</si>
  <si>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Fumble Recoveries:</t>
  </si>
  <si>
    <t>Rushing</t>
  </si>
  <si>
    <t>Passing</t>
  </si>
  <si>
    <t>Penalty</t>
  </si>
  <si>
    <t>Sacks:</t>
  </si>
  <si>
    <t>0-19</t>
  </si>
  <si>
    <t>20-29</t>
  </si>
  <si>
    <t>30-39</t>
  </si>
  <si>
    <t>40-49</t>
  </si>
  <si>
    <t>50+</t>
  </si>
  <si>
    <t>Sacks</t>
  </si>
  <si>
    <t>Actual:</t>
  </si>
  <si>
    <t>YPC</t>
  </si>
  <si>
    <t>Sack</t>
  </si>
  <si>
    <t>3rd Down Made/Att/Pct.</t>
  </si>
  <si>
    <t>Offense</t>
  </si>
  <si>
    <t>Defense</t>
  </si>
  <si>
    <t>TOTAL</t>
  </si>
  <si>
    <t>OT MINS</t>
  </si>
  <si>
    <t>Roster</t>
  </si>
  <si>
    <t>Pos</t>
  </si>
  <si>
    <t>G</t>
  </si>
  <si>
    <t>GS</t>
  </si>
  <si>
    <t>Rec</t>
  </si>
  <si>
    <t>Total Chances</t>
  </si>
  <si>
    <t>4th Down Made/Att/Pct.</t>
  </si>
  <si>
    <t xml:space="preserve"> Two Point Conversions</t>
  </si>
  <si>
    <t>Team:</t>
  </si>
  <si>
    <t>Replay:</t>
  </si>
  <si>
    <t>Expected:</t>
  </si>
  <si>
    <t>Stat Leaders:</t>
  </si>
  <si>
    <t>Rate</t>
  </si>
  <si>
    <t>*Overtime</t>
  </si>
  <si>
    <t>Kickoffs</t>
  </si>
  <si>
    <t>Touchbacks</t>
  </si>
  <si>
    <t>Touchback %</t>
  </si>
  <si>
    <t>-</t>
  </si>
  <si>
    <t xml:space="preserve"> Fair Caught</t>
  </si>
  <si>
    <t>1967 San Diego Chargers</t>
  </si>
  <si>
    <t>Allison</t>
  </si>
  <si>
    <t>Alworth</t>
  </si>
  <si>
    <t>Foster</t>
  </si>
  <si>
    <t>Garrison</t>
  </si>
  <si>
    <t>Hadl</t>
  </si>
  <si>
    <t>Hubbert</t>
  </si>
  <si>
    <t>Lowe</t>
  </si>
  <si>
    <t>Post</t>
  </si>
  <si>
    <t>Redman</t>
  </si>
  <si>
    <t>Smith</t>
  </si>
  <si>
    <t>Stephenson</t>
  </si>
  <si>
    <t>Frazier</t>
  </si>
  <si>
    <t>MacKinnon</t>
  </si>
  <si>
    <t>Newell</t>
  </si>
  <si>
    <t>Whitehead</t>
  </si>
  <si>
    <t>Duncan</t>
  </si>
  <si>
    <t>Graham</t>
  </si>
  <si>
    <t>Erickson</t>
  </si>
  <si>
    <t>Tolbert</t>
  </si>
  <si>
    <t>Cordill</t>
  </si>
  <si>
    <t>Van Raaphorst</t>
  </si>
  <si>
    <t>Allen</t>
  </si>
  <si>
    <t>Beauchamp</t>
  </si>
  <si>
    <t>Appleton</t>
  </si>
  <si>
    <t>Billingsley</t>
  </si>
  <si>
    <t>Buncom</t>
  </si>
  <si>
    <t>Day</t>
  </si>
  <si>
    <t>Delong</t>
  </si>
  <si>
    <t>Griffin</t>
  </si>
  <si>
    <t>Gross</t>
  </si>
  <si>
    <t>Ridge</t>
  </si>
  <si>
    <t>Staggs</t>
  </si>
  <si>
    <t>Akin</t>
  </si>
  <si>
    <t>Baker</t>
  </si>
  <si>
    <t>DeLong</t>
  </si>
  <si>
    <t>Duncan,S</t>
  </si>
  <si>
    <t>Gruneisen</t>
  </si>
  <si>
    <t>Howard</t>
  </si>
  <si>
    <t>Kindig</t>
  </si>
  <si>
    <t>Kirner</t>
  </si>
  <si>
    <t>Latzke</t>
  </si>
  <si>
    <t>Little</t>
  </si>
  <si>
    <t>Marsh</t>
  </si>
  <si>
    <t>McCall</t>
  </si>
  <si>
    <t>Mitchell</t>
  </si>
  <si>
    <t>Mix</t>
  </si>
  <si>
    <t>Owens</t>
  </si>
  <si>
    <t>Post,D</t>
  </si>
  <si>
    <t>Print</t>
  </si>
  <si>
    <t>Sweeney</t>
  </si>
  <si>
    <t>Wright</t>
  </si>
  <si>
    <t>SD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</si>
</sst>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0"/>
    <numFmt numFmtId="175" formatCode="[$-409]h:mm:ss\ AM/PM"/>
    <numFmt numFmtId="176" formatCode="h:mm;@"/>
    <numFmt numFmtId="177" formatCode="mm:ss.0;@"/>
    <numFmt numFmtId="178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.85"/>
      <color indexed="8"/>
      <name val="Verdana"/>
      <family val="0"/>
    </font>
    <font>
      <sz val="9.4"/>
      <color indexed="8"/>
      <name val="Verdana"/>
      <family val="0"/>
    </font>
    <font>
      <b/>
      <sz val="9.4"/>
      <color indexed="8"/>
      <name val="Verdana"/>
      <family val="0"/>
    </font>
    <font>
      <b/>
      <sz val="7.85"/>
      <color indexed="8"/>
      <name val="Verdana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.85"/>
      <color rgb="FF000000"/>
      <name val="Verdana"/>
      <family val="0"/>
    </font>
    <font>
      <sz val="9.4"/>
      <color rgb="FF000000"/>
      <name val="Verdana"/>
      <family val="0"/>
    </font>
    <font>
      <b/>
      <sz val="9.4"/>
      <color rgb="FF000000"/>
      <name val="Verdana"/>
      <family val="0"/>
    </font>
    <font>
      <b/>
      <sz val="7.85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173" fontId="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178" fontId="0" fillId="0" borderId="0" xfId="0" applyNumberFormat="1" applyFont="1" applyAlignment="1">
      <alignment horizontal="center"/>
    </xf>
    <xf numFmtId="173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8"/>
  <sheetViews>
    <sheetView tabSelected="1" zoomScale="125" zoomScaleNormal="125" workbookViewId="0" topLeftCell="A1">
      <selection activeCell="B3" sqref="B3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  <col min="15" max="15" width="7.00390625" style="0" customWidth="1"/>
  </cols>
  <sheetData>
    <row r="1" ht="12">
      <c r="A1" s="2" t="s">
        <v>132</v>
      </c>
    </row>
    <row r="2" spans="1:2" ht="12">
      <c r="A2" t="s">
        <v>87</v>
      </c>
      <c r="B2" s="2">
        <v>14</v>
      </c>
    </row>
    <row r="3" spans="1:8" ht="12">
      <c r="A3" s="2" t="s">
        <v>0</v>
      </c>
      <c r="H3" s="2" t="s">
        <v>48</v>
      </c>
    </row>
    <row r="4" spans="5:15" ht="12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">
      <c r="A6" s="1" t="s">
        <v>29</v>
      </c>
      <c r="D6" s="2">
        <f>+'vs Bos'!D6+'vs Hou'!D6+'at Buf'!D6+'vs Bos(2)'!D6+'vs KC'!D6+'at Den'!D6+'at Oak'!D6+'vs Mia'!D6+'at KC'!D6+'vs Den'!D6+'vs Oak'!D6+'at Mia'!D6+'at Hou'!D6+'vs NY'!D6+'Gm 15'!D6+'Gm 16'!D6</f>
        <v>262</v>
      </c>
      <c r="E6" s="8">
        <f>+D6/$B$2</f>
        <v>18.714285714285715</v>
      </c>
      <c r="F6" s="8">
        <v>18.5</v>
      </c>
      <c r="H6" s="1" t="s">
        <v>29</v>
      </c>
      <c r="M6" s="2">
        <f>+'vs Bos'!M6+'vs Hou'!M6+'at Buf'!M6+'vs Bos(2)'!M6+'vs KC'!M6+'at Den'!M6+'at Oak'!M6+'vs Mia'!M6+'at KC'!M6+'vs Den'!M6+'vs Oak'!M6+'at Mia'!M6+'at Hou'!M6+'vs NY'!M6+'Gm 15'!M6+'Gm 16'!M6</f>
        <v>221</v>
      </c>
      <c r="N6" s="8">
        <f>+M6/$B$2</f>
        <v>15.785714285714286</v>
      </c>
      <c r="O6" s="8">
        <v>17.928571428571427</v>
      </c>
    </row>
    <row r="7" spans="1:15" ht="12">
      <c r="A7" s="9" t="s">
        <v>95</v>
      </c>
      <c r="D7" s="2">
        <f>+'vs Bos'!D7+'vs Hou'!D7+'at Buf'!D7+'vs Bos(2)'!D7+'vs KC'!D7+'at Den'!D7+'at Oak'!D7+'vs Mia'!D7+'at KC'!D7+'vs Den'!D7+'vs Oak'!D7+'at Mia'!D7+'at Hou'!D7+'vs NY'!D7+'Gm 15'!D7+'Gm 16'!D7</f>
        <v>89</v>
      </c>
      <c r="E7" s="8">
        <f>+D7/$B$2</f>
        <v>6.357142857142857</v>
      </c>
      <c r="F7" s="8">
        <v>6.285714285714286</v>
      </c>
      <c r="H7" s="9" t="s">
        <v>95</v>
      </c>
      <c r="M7" s="2">
        <f>+'vs Bos'!M7+'vs Hou'!M7+'at Buf'!M7+'vs Bos(2)'!M7+'vs KC'!M7+'at Den'!M7+'at Oak'!M7+'vs Mia'!M7+'at KC'!M7+'vs Den'!M7+'vs Oak'!M7+'at Mia'!M7+'at Hou'!M7+'vs NY'!M7+'Gm 15'!M7+'Gm 16'!M7</f>
        <v>81</v>
      </c>
      <c r="N7" s="8">
        <f>+M7/$B$2</f>
        <v>5.785714285714286</v>
      </c>
      <c r="O7" s="8">
        <v>6.285714285714286</v>
      </c>
    </row>
    <row r="8" spans="1:15" ht="12">
      <c r="A8" s="9" t="s">
        <v>96</v>
      </c>
      <c r="D8" s="2">
        <f>+'vs Bos'!D8+'vs Hou'!D8+'at Buf'!D8+'vs Bos(2)'!D8+'vs KC'!D8+'at Den'!D8+'at Oak'!D8+'vs Mia'!D8+'at KC'!D8+'vs Den'!D8+'vs Oak'!D8+'at Mia'!D8+'at Hou'!D8+'vs NY'!D8+'Gm 15'!D8+'Gm 16'!D8</f>
        <v>148</v>
      </c>
      <c r="E8" s="8">
        <f>+D8/$B$2</f>
        <v>10.571428571428571</v>
      </c>
      <c r="F8" s="8">
        <v>10.714285714285714</v>
      </c>
      <c r="H8" s="9" t="s">
        <v>96</v>
      </c>
      <c r="M8" s="2">
        <f>+'vs Bos'!M8+'vs Hou'!M8+'at Buf'!M8+'vs Bos(2)'!M8+'vs KC'!M8+'at Den'!M8+'at Oak'!M8+'vs Mia'!M8+'at KC'!M8+'vs Den'!M8+'vs Oak'!M8+'at Mia'!M8+'at Hou'!M8+'vs NY'!M8+'Gm 15'!M8+'Gm 16'!M8</f>
        <v>123</v>
      </c>
      <c r="N8" s="8">
        <f>+M8/$B$2</f>
        <v>8.785714285714286</v>
      </c>
      <c r="O8" s="8">
        <v>10.571428571428571</v>
      </c>
    </row>
    <row r="9" spans="1:19" ht="12">
      <c r="A9" s="9" t="s">
        <v>97</v>
      </c>
      <c r="D9" s="2">
        <f>+'vs Bos'!D9+'vs Hou'!D9+'at Buf'!D9+'vs Bos(2)'!D9+'vs KC'!D9+'at Den'!D9+'at Oak'!D9+'vs Mia'!D9+'at KC'!D9+'vs Den'!D9+'vs Oak'!D9+'at Mia'!D9+'at Hou'!D9+'vs NY'!D9+'Gm 15'!D9+'Gm 16'!D9</f>
        <v>25</v>
      </c>
      <c r="E9" s="8">
        <f>+D9/$B$2</f>
        <v>1.7857142857142858</v>
      </c>
      <c r="F9" s="8">
        <f>+F6-F7-F8</f>
        <v>1.5000000000000018</v>
      </c>
      <c r="H9" s="9" t="s">
        <v>97</v>
      </c>
      <c r="M9" s="2">
        <f>+'vs Bos'!M9+'vs Hou'!M9+'at Buf'!M9+'vs Bos(2)'!M9+'vs KC'!M9+'at Den'!M9+'at Oak'!M9+'vs Mia'!M9+'at KC'!M9+'vs Den'!M9+'vs Oak'!M9+'at Mia'!M9+'at Hou'!M9+'vs NY'!M9+'Gm 15'!M9+'Gm 16'!M9</f>
        <v>17</v>
      </c>
      <c r="N9" s="8">
        <f>+M9/$B$2</f>
        <v>1.2142857142857142</v>
      </c>
      <c r="O9" s="8">
        <f>+O6-O7-O8</f>
        <v>1.0714285714285712</v>
      </c>
      <c r="R9" t="s">
        <v>109</v>
      </c>
      <c r="S9" t="s">
        <v>110</v>
      </c>
    </row>
    <row r="10" spans="1:19" ht="12">
      <c r="A10" s="18" t="s">
        <v>108</v>
      </c>
      <c r="C10" s="2">
        <f>+'vs Bos'!C10+'vs Hou'!C10+'at Buf'!C10+'vs Bos(2)'!C10+'vs KC'!C10+'at Den'!C10+'at Oak'!C10+'vs Mia'!C10+'at KC'!C10+'vs Den'!C10+'vs Oak'!C10+'at Mia'!C10+'at Hou'!C10+'vs NY'!C10+'Gm 15'!C10+'Gm 16'!C10</f>
        <v>49</v>
      </c>
      <c r="D10" s="2">
        <f>+'vs Bos'!D10+'vs Hou'!D10+'at Buf'!D10+'vs Bos(2)'!D10+'vs KC'!D10+'at Den'!D10+'at Oak'!D10+'vs Mia'!D10+'at KC'!D10+'vs Den'!D10+'vs Oak'!D10+'at Mia'!D10+'at Hou'!D10+'vs NY'!D10+'Gm 15'!D10+'Gm 16'!D10</f>
        <v>156</v>
      </c>
      <c r="E10" s="19">
        <f>+C10/D10</f>
        <v>0.3141025641025641</v>
      </c>
      <c r="F10" s="30" t="s">
        <v>130</v>
      </c>
      <c r="H10" s="18" t="s">
        <v>108</v>
      </c>
      <c r="L10" s="2">
        <f>+'vs Bos'!L10+'vs Hou'!L10+'at Buf'!L10+'vs Bos(2)'!L10+'vs KC'!L10+'at Den'!L10+'at Oak'!L10+'vs Mia'!L10+'at KC'!L10+'vs Den'!L10+'vs Oak'!L10+'at Mia'!L10+'at Hou'!L10+'vs NY'!L10+'Gm 15'!L10+'Gm 16'!L10</f>
        <v>44</v>
      </c>
      <c r="M10" s="2">
        <f>+'vs Bos'!M10+'vs Hou'!M10+'at Buf'!M10+'vs Bos(2)'!M10+'vs KC'!M10+'at Den'!M10+'at Oak'!M10+'vs Mia'!M10+'at KC'!M10+'vs Den'!M10+'vs Oak'!M10+'at Mia'!M10+'at Hou'!M10+'vs NY'!M10+'Gm 15'!M10+'Gm 16'!M10</f>
        <v>168</v>
      </c>
      <c r="N10" s="19">
        <f>+L10/M10</f>
        <v>0.2619047619047619</v>
      </c>
      <c r="O10" s="30" t="s">
        <v>130</v>
      </c>
      <c r="R10" s="9" t="str">
        <f>+C10&amp;"/"&amp;D10</f>
        <v>49/156</v>
      </c>
      <c r="S10" s="9" t="str">
        <f>+L10&amp;"/"&amp;M10</f>
        <v>44/168</v>
      </c>
    </row>
    <row r="11" spans="1:19" ht="12">
      <c r="A11" s="18" t="s">
        <v>119</v>
      </c>
      <c r="C11" s="2">
        <f>+'vs Bos'!C11+'vs Hou'!C11+'at Buf'!C11+'vs Bos(2)'!C11+'vs KC'!C11+'at Den'!C11+'at Oak'!C11+'vs Mia'!C11+'at KC'!C11+'vs Den'!C11+'vs Oak'!C11+'at Mia'!C11+'at Hou'!C11+'vs NY'!C11+'Gm 15'!C11+'Gm 16'!C11</f>
        <v>5</v>
      </c>
      <c r="D11" s="2">
        <f>+'vs Bos'!D11+'vs Hou'!D11+'at Buf'!D11+'vs Bos(2)'!D11+'vs KC'!D11+'at Den'!D11+'at Oak'!D11+'vs Mia'!D11+'at KC'!D11+'vs Den'!D11+'vs Oak'!D11+'at Mia'!D11+'at Hou'!D11+'vs NY'!D11+'Gm 15'!D11+'Gm 16'!D11</f>
        <v>10</v>
      </c>
      <c r="E11" s="19">
        <f>IF(D11=0,0,+C11/D11)</f>
        <v>0.5</v>
      </c>
      <c r="F11" s="30" t="s">
        <v>130</v>
      </c>
      <c r="H11" s="18" t="s">
        <v>119</v>
      </c>
      <c r="L11" s="2">
        <f>+'vs Bos'!L11+'vs Hou'!L11+'at Buf'!L11+'vs Bos(2)'!L11+'vs KC'!L11+'at Den'!L11+'at Oak'!L11+'vs Mia'!L11+'at KC'!L11+'vs Den'!L11+'vs Oak'!L11+'at Mia'!L11+'at Hou'!L11+'vs NY'!L11+'Gm 15'!L11+'Gm 16'!L11</f>
        <v>6</v>
      </c>
      <c r="M11" s="2">
        <f>+'vs Bos'!M11+'vs Hou'!M11+'at Buf'!M11+'vs Bos(2)'!M11+'vs KC'!M11+'at Den'!M11+'at Oak'!M11+'vs Mia'!M11+'at KC'!M11+'vs Den'!M11+'vs Oak'!M11+'at Mia'!M11+'at Hou'!M11+'vs NY'!M11+'Gm 15'!M11+'Gm 16'!M11</f>
        <v>11</v>
      </c>
      <c r="N11" s="19">
        <f>IF(M11=0,0,+L11/M11)</f>
        <v>0.5454545454545454</v>
      </c>
      <c r="O11" s="30" t="s">
        <v>130</v>
      </c>
      <c r="R11" s="9" t="str">
        <f>+C11&amp;"/"&amp;D11</f>
        <v>5/10</v>
      </c>
      <c r="S11" s="9" t="str">
        <f>+L11&amp;"/"&amp;M11</f>
        <v>6/11</v>
      </c>
    </row>
    <row r="12" spans="5:15" ht="12">
      <c r="E12" s="8"/>
      <c r="F12" s="8"/>
      <c r="N12" s="8"/>
      <c r="O12" s="8"/>
    </row>
    <row r="13" spans="1:23" ht="12">
      <c r="A13" t="s">
        <v>1</v>
      </c>
      <c r="D13" s="2">
        <f>+'vs Bos'!D13+'vs Hou'!D13+'at Buf'!D13+'vs Bos(2)'!D13+'vs KC'!D13+'at Den'!D13+'at Oak'!D13+'vs Mia'!D13+'at KC'!D13+'vs Den'!D13+'vs Oak'!D13+'at Mia'!D13+'at Hou'!D13+'vs NY'!D13+'Gm 15'!D13+'Gm 16'!D13</f>
        <v>424</v>
      </c>
      <c r="E13" s="8">
        <f>+D13/$B$2</f>
        <v>30.285714285714285</v>
      </c>
      <c r="F13" s="8">
        <v>29.785714285714285</v>
      </c>
      <c r="G13" t="str">
        <f>IF(D13=SUM(C53:C97),"ok","ERR")</f>
        <v>ok</v>
      </c>
      <c r="H13" t="s">
        <v>1</v>
      </c>
      <c r="M13" s="2">
        <f>+'vs Bos'!M13+'vs Hou'!M13+'at Buf'!M13+'vs Bos(2)'!M13+'vs KC'!M13+'at Den'!M13+'at Oak'!M13+'vs Mia'!M13+'at KC'!M13+'vs Den'!M13+'vs Oak'!M13+'at Mia'!M13+'at Hou'!M13+'vs NY'!M13+'Gm 15'!M13+'Gm 16'!M13</f>
        <v>423</v>
      </c>
      <c r="N13" s="8">
        <f>+M13/$B$2</f>
        <v>30.214285714285715</v>
      </c>
      <c r="O13" s="8">
        <v>31.5</v>
      </c>
      <c r="V13">
        <f>+D13</f>
        <v>424</v>
      </c>
      <c r="W13">
        <f>+M13</f>
        <v>423</v>
      </c>
    </row>
    <row r="14" spans="1:23" ht="12">
      <c r="A14" t="s">
        <v>2</v>
      </c>
      <c r="D14" s="2">
        <f>+'vs Bos'!D14+'vs Hou'!D14+'at Buf'!D14+'vs Bos(2)'!D14+'vs KC'!D14+'at Den'!D14+'at Oak'!D14+'vs Mia'!D14+'at KC'!D14+'vs Den'!D14+'vs Oak'!D14+'at Mia'!D14+'at Hou'!D14+'vs NY'!D14+'Gm 15'!D14+'Gm 16'!D14</f>
        <v>1846</v>
      </c>
      <c r="E14" s="8">
        <f>+D14/$B$2</f>
        <v>131.85714285714286</v>
      </c>
      <c r="F14" s="8">
        <v>122.5</v>
      </c>
      <c r="G14" t="str">
        <f>IF(D14=SUM(D83:D97),"ok","ERR")</f>
        <v>ok</v>
      </c>
      <c r="H14" t="s">
        <v>2</v>
      </c>
      <c r="M14" s="2">
        <f>+'vs Bos'!M14+'vs Hou'!M14+'at Buf'!M14+'vs Bos(2)'!M14+'vs KC'!M14+'at Den'!M14+'at Oak'!M14+'vs Mia'!M14+'at KC'!M14+'vs Den'!M14+'vs Oak'!M14+'at Mia'!M14+'at Hou'!M14+'vs NY'!M14+'Gm 15'!M14+'Gm 16'!M14</f>
        <v>1449</v>
      </c>
      <c r="N14" s="8">
        <f>+M14/$B$2</f>
        <v>103.5</v>
      </c>
      <c r="O14" s="8">
        <v>110.92857142857143</v>
      </c>
      <c r="U14" s="13"/>
      <c r="V14">
        <f>+D18</f>
        <v>244</v>
      </c>
      <c r="W14">
        <f>+M18</f>
        <v>219</v>
      </c>
    </row>
    <row r="15" spans="1:23" ht="12">
      <c r="A15" s="1" t="s">
        <v>3</v>
      </c>
      <c r="D15" s="8">
        <f>+D14/D13</f>
        <v>4.35377358490566</v>
      </c>
      <c r="E15" s="8"/>
      <c r="F15" s="8">
        <f>+F14/F13</f>
        <v>4.112709832134293</v>
      </c>
      <c r="H15" s="1" t="s">
        <v>3</v>
      </c>
      <c r="M15" s="8">
        <f>+M14/M13</f>
        <v>3.425531914893617</v>
      </c>
      <c r="N15" s="8"/>
      <c r="O15" s="8">
        <f>+O14/O13</f>
        <v>3.5215419501133787</v>
      </c>
      <c r="V15">
        <f>+(D17-D18)/2</f>
        <v>115.5</v>
      </c>
      <c r="W15">
        <f>+(M17-M18)/2</f>
        <v>116.5</v>
      </c>
    </row>
    <row r="16" spans="5:23" ht="12">
      <c r="E16" s="8"/>
      <c r="F16" s="8"/>
      <c r="N16" s="8"/>
      <c r="O16" s="8"/>
      <c r="V16">
        <f>+D40/2</f>
        <v>30</v>
      </c>
      <c r="W16">
        <f>+M40/2</f>
        <v>37.5</v>
      </c>
    </row>
    <row r="17" spans="1:23" ht="12">
      <c r="A17" t="s">
        <v>4</v>
      </c>
      <c r="D17" s="2">
        <f>+'vs Bos'!D17+'vs Hou'!D17+'at Buf'!D17+'vs Bos(2)'!D17+'vs KC'!D17+'at Den'!D17+'at Oak'!D17+'vs Mia'!D17+'at KC'!D17+'vs Den'!D17+'vs Oak'!D17+'at Mia'!D17+'at Hou'!D17+'vs NY'!D17+'Gm 15'!D17+'Gm 16'!D17</f>
        <v>475</v>
      </c>
      <c r="E17" s="8">
        <f>+D17/$B$2</f>
        <v>33.92857142857143</v>
      </c>
      <c r="F17" s="8">
        <v>33.07142857142857</v>
      </c>
      <c r="G17" t="str">
        <f>IF(D17=SUM(C121:C127),"ok","err")</f>
        <v>ok</v>
      </c>
      <c r="H17" t="s">
        <v>4</v>
      </c>
      <c r="M17" s="2">
        <f>+'vs Bos'!M17+'vs Hou'!M17+'at Buf'!M17+'vs Bos(2)'!M17+'vs KC'!M17+'at Den'!M17+'at Oak'!M17+'vs Mia'!M17+'at KC'!M17+'vs Den'!M17+'vs Oak'!M17+'at Mia'!M17+'at Hou'!M17+'vs NY'!M17+'Gm 15'!M17+'Gm 16'!M17</f>
        <v>452</v>
      </c>
      <c r="N17" s="8">
        <f>+M17/$B$2</f>
        <v>32.285714285714285</v>
      </c>
      <c r="O17" s="8">
        <v>33.142857142857146</v>
      </c>
      <c r="V17">
        <f>+D44/2</f>
        <v>24.5</v>
      </c>
      <c r="W17">
        <f>+M44/2</f>
        <v>15.5</v>
      </c>
    </row>
    <row r="18" spans="1:27" ht="12">
      <c r="A18" t="s">
        <v>5</v>
      </c>
      <c r="C18" t="str">
        <f>IF(D18=SUM(C101:C114),"ok","ERR")</f>
        <v>ok</v>
      </c>
      <c r="D18" s="2">
        <f>+'vs Bos'!D18+'vs Hou'!D18+'at Buf'!D18+'vs Bos(2)'!D18+'vs KC'!D18+'at Den'!D18+'at Oak'!D18+'vs Mia'!D18+'at KC'!D18+'vs Den'!D18+'vs Oak'!D18+'at Mia'!D18+'at Hou'!D18+'vs NY'!D18+'Gm 15'!D18+'Gm 16'!D18</f>
        <v>244</v>
      </c>
      <c r="E18" s="8">
        <f>+D18/$B$2</f>
        <v>17.428571428571427</v>
      </c>
      <c r="F18" s="8">
        <v>16.428571428571427</v>
      </c>
      <c r="G18" t="str">
        <f>IF(D18=SUM(D121:D126),"ok","ERR")</f>
        <v>ok</v>
      </c>
      <c r="H18" t="s">
        <v>5</v>
      </c>
      <c r="M18" s="2">
        <f>+'vs Bos'!M18+'vs Hou'!M18+'at Buf'!M18+'vs Bos(2)'!M18+'vs KC'!M18+'at Den'!M18+'at Oak'!M18+'vs Mia'!M18+'at KC'!M18+'vs Den'!M18+'vs Oak'!M18+'at Mia'!M18+'at Hou'!M18+'vs NY'!M18+'Gm 15'!M18+'Gm 16'!M18</f>
        <v>219</v>
      </c>
      <c r="N18" s="8">
        <f>+M18/$B$2</f>
        <v>15.642857142857142</v>
      </c>
      <c r="O18" s="8">
        <v>16.428571428571427</v>
      </c>
      <c r="V18">
        <f>+D50/2</f>
        <v>31.5</v>
      </c>
      <c r="W18">
        <f>+M50/2</f>
        <v>31.5</v>
      </c>
      <c r="AA18" t="s">
        <v>111</v>
      </c>
    </row>
    <row r="19" spans="1:27" ht="12">
      <c r="A19" t="s">
        <v>6</v>
      </c>
      <c r="D19" s="8">
        <f>+D18/D17*100</f>
        <v>51.368421052631575</v>
      </c>
      <c r="E19" s="8">
        <f>+E18/E17*100</f>
        <v>51.368421052631575</v>
      </c>
      <c r="F19" s="8">
        <f>+F18/F17*100</f>
        <v>49.676025917926566</v>
      </c>
      <c r="H19" t="s">
        <v>6</v>
      </c>
      <c r="M19" s="8">
        <f>+M18/M17*100</f>
        <v>48.451327433628315</v>
      </c>
      <c r="N19" s="8">
        <f>+N18/N17*100</f>
        <v>48.451327433628315</v>
      </c>
      <c r="O19" s="8">
        <f>+O18/O17*100</f>
        <v>49.56896551724137</v>
      </c>
      <c r="AA19" t="s">
        <v>112</v>
      </c>
    </row>
    <row r="20" spans="1:28" ht="12">
      <c r="A20" t="s">
        <v>7</v>
      </c>
      <c r="C20" t="str">
        <f>IF(D20=SUM(D101:D114),"ok","ERR")</f>
        <v>ok</v>
      </c>
      <c r="D20" s="2">
        <f>+'vs Bos'!D20+'vs Hou'!D20+'at Buf'!D20+'vs Bos(2)'!D20+'vs KC'!D20+'at Den'!D20+'at Oak'!D20+'vs Mia'!D20+'at KC'!D20+'vs Den'!D20+'vs Oak'!D20+'at Mia'!D20+'at Hou'!D20+'vs NY'!D20+'Gm 15'!D20+'Gm 16'!D20</f>
        <v>3544</v>
      </c>
      <c r="E20" s="8">
        <f>+D20/$B$2</f>
        <v>253.14285714285714</v>
      </c>
      <c r="F20" s="8">
        <v>251.21428571428572</v>
      </c>
      <c r="G20" t="str">
        <f>IF(D20=SUM(F121:F126),"ok","ERR")</f>
        <v>ok</v>
      </c>
      <c r="H20" t="s">
        <v>7</v>
      </c>
      <c r="M20" s="2">
        <f>+'vs Bos'!M20+'vs Hou'!M20+'at Buf'!M20+'vs Bos(2)'!M20+'vs KC'!M20+'at Den'!M20+'at Oak'!M20+'vs Mia'!M20+'at KC'!M20+'vs Den'!M20+'vs Oak'!M20+'at Mia'!M20+'at Hou'!M20+'vs NY'!M20+'Gm 15'!M20+'Gm 16'!M20</f>
        <v>2975</v>
      </c>
      <c r="N20" s="8">
        <f>+M20/$B$2</f>
        <v>212.5</v>
      </c>
      <c r="O20" s="8">
        <v>246.78571428571428</v>
      </c>
      <c r="V20">
        <f>SUM(V13:V18)</f>
        <v>869.5</v>
      </c>
      <c r="W20">
        <f>SUM(W13:W18)</f>
        <v>843</v>
      </c>
      <c r="X20">
        <f>+W20+V20</f>
        <v>1712.5</v>
      </c>
      <c r="Z20">
        <f>60*B2</f>
        <v>840</v>
      </c>
      <c r="AA20">
        <v>0</v>
      </c>
      <c r="AB20">
        <f>+(Z20+AA20)/B2</f>
        <v>60</v>
      </c>
    </row>
    <row r="21" spans="1:23" ht="12">
      <c r="A21" t="s">
        <v>8</v>
      </c>
      <c r="D21" s="2">
        <f>+'vs Bos'!D21+'vs Hou'!D21+'at Buf'!D21+'vs Bos(2)'!D21+'vs KC'!D21+'at Den'!D21+'at Oak'!D21+'vs Mia'!D21+'at KC'!D21+'vs Den'!D21+'vs Oak'!D21+'at Mia'!D21+'at Hou'!D21+'vs NY'!D21+'Gm 15'!D21+'Gm 16'!D21</f>
        <v>18</v>
      </c>
      <c r="E21" s="8">
        <f>+D21/$B$2</f>
        <v>1.2857142857142858</v>
      </c>
      <c r="F21" s="8">
        <v>0.7857142857142857</v>
      </c>
      <c r="G21" t="str">
        <f>IF(D21=SUM(O121:O126),"ok","ERR")</f>
        <v>ok</v>
      </c>
      <c r="H21" t="s">
        <v>8</v>
      </c>
      <c r="M21" s="2">
        <f>+'vs Bos'!M21+'vs Hou'!M21+'at Buf'!M21+'vs Bos(2)'!M21+'vs KC'!M21+'at Den'!M21+'at Oak'!M21+'vs Mia'!M21+'at KC'!M21+'vs Den'!M21+'vs Oak'!M21+'at Mia'!M21+'at Hou'!M21+'vs NY'!M21+'Gm 15'!M21+'Gm 16'!M21</f>
        <v>20</v>
      </c>
      <c r="N21" s="8">
        <f>+M21/$B$2</f>
        <v>1.4285714285714286</v>
      </c>
      <c r="O21" s="8">
        <v>2.2142857142857144</v>
      </c>
      <c r="P21" t="str">
        <f>IF(M21=SUM(C188:C203),"ok","ERR")</f>
        <v>ok</v>
      </c>
      <c r="Q21">
        <f>+N21/(N21+N17)</f>
        <v>0.0423728813559322</v>
      </c>
      <c r="R21">
        <f>+O21/(O21+O17)</f>
        <v>0.06262626262626263</v>
      </c>
      <c r="V21">
        <f>+V20/X20</f>
        <v>0.5077372262773723</v>
      </c>
      <c r="W21">
        <f>+W20/X20</f>
        <v>0.4922627737226277</v>
      </c>
    </row>
    <row r="22" spans="1:27" ht="12">
      <c r="A22" t="s">
        <v>9</v>
      </c>
      <c r="C22" s="8">
        <f>+E21+E17</f>
        <v>35.214285714285715</v>
      </c>
      <c r="D22" s="2">
        <f>+'vs Bos'!D22+'vs Hou'!D22+'at Buf'!D22+'vs Bos(2)'!D22+'vs KC'!D22+'at Den'!D22+'at Oak'!D22+'vs Mia'!D22+'at KC'!D22+'vs Den'!D22+'vs Oak'!D22+'at Mia'!D22+'at Hou'!D22+'vs NY'!D22+'Gm 15'!D22+'Gm 16'!D22</f>
        <v>98</v>
      </c>
      <c r="E22" s="8">
        <f>+D22/$B$2</f>
        <v>7</v>
      </c>
      <c r="F22" s="8">
        <v>7.642857142857143</v>
      </c>
      <c r="G22" s="8">
        <f>+F21+F17</f>
        <v>33.857142857142854</v>
      </c>
      <c r="H22" t="s">
        <v>9</v>
      </c>
      <c r="M22" s="2">
        <f>+'vs Bos'!M22+'vs Hou'!M22+'at Buf'!M22+'vs Bos(2)'!M22+'vs KC'!M22+'at Den'!M22+'at Oak'!M22+'vs Mia'!M22+'at KC'!M22+'vs Den'!M22+'vs Oak'!M22+'at Mia'!M22+'at Hou'!M22+'vs NY'!M22+'Gm 15'!M22+'Gm 16'!M22</f>
        <v>144</v>
      </c>
      <c r="N22" s="8">
        <f>+M22/$B$2</f>
        <v>10.285714285714286</v>
      </c>
      <c r="O22" s="8">
        <v>21.642857142857142</v>
      </c>
      <c r="P22" t="str">
        <f>IF(M22=SUM(D188:D203),"ok","ERR")</f>
        <v>ok</v>
      </c>
      <c r="V22">
        <f>+V21*Z22</f>
        <v>30.464233576642336</v>
      </c>
      <c r="W22">
        <f>+W21*AA22</f>
        <v>29.535766423357664</v>
      </c>
      <c r="Z22">
        <f>+AB20</f>
        <v>60</v>
      </c>
      <c r="AA22">
        <f>+AB20</f>
        <v>60</v>
      </c>
    </row>
    <row r="23" spans="1:23" ht="12">
      <c r="A23" t="s">
        <v>10</v>
      </c>
      <c r="D23">
        <f>+D20-D22</f>
        <v>3446</v>
      </c>
      <c r="E23" s="8">
        <f>+D23/B2</f>
        <v>246.14285714285714</v>
      </c>
      <c r="F23" s="8">
        <f>+F20-F22</f>
        <v>243.57142857142858</v>
      </c>
      <c r="H23" t="s">
        <v>10</v>
      </c>
      <c r="M23">
        <f>+M20-M22</f>
        <v>2831</v>
      </c>
      <c r="N23" s="8">
        <f>+M23/B2</f>
        <v>202.21428571428572</v>
      </c>
      <c r="O23" s="8">
        <f>+O20-O22</f>
        <v>225.14285714285714</v>
      </c>
      <c r="V23">
        <f>+V22-INT(V22)</f>
        <v>0.4642335766423358</v>
      </c>
      <c r="W23">
        <f>+W22-INT(W22)</f>
        <v>0.5357664233576642</v>
      </c>
    </row>
    <row r="24" spans="1:23" ht="12">
      <c r="A24" t="s">
        <v>11</v>
      </c>
      <c r="D24" s="7">
        <f>+D23/(D17+D21)</f>
        <v>6.9898580121703855</v>
      </c>
      <c r="E24" s="8"/>
      <c r="F24" s="7">
        <f>+F23/(F17+F21)</f>
        <v>7.19409282700422</v>
      </c>
      <c r="H24" t="s">
        <v>11</v>
      </c>
      <c r="M24" s="7">
        <f>+M23/(M17+M21)</f>
        <v>5.997881355932203</v>
      </c>
      <c r="N24" s="8"/>
      <c r="O24" s="7">
        <f>+O23/(O17+O21)</f>
        <v>6.367676767676767</v>
      </c>
      <c r="V24">
        <f>+V23*60</f>
        <v>27.854014598540147</v>
      </c>
      <c r="W24">
        <f>+W23*60</f>
        <v>32.14598540145985</v>
      </c>
    </row>
    <row r="25" spans="1:23" ht="12">
      <c r="A25" t="s">
        <v>12</v>
      </c>
      <c r="D25" s="7">
        <f>+D20/D18</f>
        <v>14.524590163934427</v>
      </c>
      <c r="E25" s="8"/>
      <c r="F25" s="7">
        <f>+F20/F18</f>
        <v>15.291304347826088</v>
      </c>
      <c r="H25" t="s">
        <v>12</v>
      </c>
      <c r="M25" s="7">
        <f>+M20/M18</f>
        <v>13.584474885844749</v>
      </c>
      <c r="N25" s="8"/>
      <c r="O25" s="7">
        <f>+O20/O18</f>
        <v>15.021739130434783</v>
      </c>
      <c r="U25">
        <v>0</v>
      </c>
      <c r="V25" s="11">
        <f>ROUND(V24,0)</f>
        <v>28</v>
      </c>
      <c r="W25">
        <f>ROUND(W24,0)</f>
        <v>32</v>
      </c>
    </row>
    <row r="26" spans="5:23" ht="12">
      <c r="E26" s="8"/>
      <c r="F26" s="8"/>
      <c r="N26" s="8"/>
      <c r="O26" s="8"/>
      <c r="V26">
        <f>INT(V22)</f>
        <v>30</v>
      </c>
      <c r="W26">
        <f>INT(W22)</f>
        <v>29</v>
      </c>
    </row>
    <row r="27" spans="1:23" ht="12">
      <c r="A27" t="s">
        <v>13</v>
      </c>
      <c r="E27" s="8"/>
      <c r="F27" s="8"/>
      <c r="H27" t="s">
        <v>13</v>
      </c>
      <c r="N27" s="8"/>
      <c r="O27" s="8"/>
      <c r="V27" t="s">
        <v>91</v>
      </c>
      <c r="W27" t="s">
        <v>91</v>
      </c>
    </row>
    <row r="28" spans="1:23" ht="12">
      <c r="A28" t="s">
        <v>14</v>
      </c>
      <c r="D28">
        <f>+D23+D14</f>
        <v>5292</v>
      </c>
      <c r="E28" s="8">
        <f>+D28/B2</f>
        <v>378</v>
      </c>
      <c r="F28">
        <f>+F23+F14</f>
        <v>366.07142857142856</v>
      </c>
      <c r="H28" t="s">
        <v>14</v>
      </c>
      <c r="M28">
        <f>+M23+M14</f>
        <v>4280</v>
      </c>
      <c r="N28" s="8">
        <f>+M28/B2</f>
        <v>305.7142857142857</v>
      </c>
      <c r="O28">
        <f>+O23+O14</f>
        <v>336.07142857142856</v>
      </c>
      <c r="V28" s="14" t="str">
        <f>+V26&amp;V27&amp;V25</f>
        <v>30:28</v>
      </c>
      <c r="W28" s="9" t="str">
        <f>+W26&amp;W27&amp;W25</f>
        <v>29:32</v>
      </c>
    </row>
    <row r="29" spans="1:23" ht="12">
      <c r="A29" t="s">
        <v>15</v>
      </c>
      <c r="D29" s="7">
        <f>+D14/D28*100</f>
        <v>34.88284202569917</v>
      </c>
      <c r="E29" s="8"/>
      <c r="F29" s="7">
        <f>+F14/F28*100</f>
        <v>33.463414634146346</v>
      </c>
      <c r="H29" t="s">
        <v>15</v>
      </c>
      <c r="M29" s="7">
        <f>+M14/M28*100</f>
        <v>33.85514018691589</v>
      </c>
      <c r="N29" s="8"/>
      <c r="O29" s="7">
        <f>+O14/O28*100</f>
        <v>33.00743889479277</v>
      </c>
      <c r="V29" s="9" t="str">
        <f>IF(V25&lt;10,+V26&amp;V27&amp;$U$25&amp;V25,+V26&amp;V27&amp;V25)</f>
        <v>30:28</v>
      </c>
      <c r="W29" s="9" t="str">
        <f>IF(W25&lt;10,+W26&amp;W27&amp;$U$25&amp;W25,+W26&amp;W27&amp;W25)</f>
        <v>29:32</v>
      </c>
    </row>
    <row r="30" spans="1:15" ht="12">
      <c r="A30" s="1" t="s">
        <v>90</v>
      </c>
      <c r="D30" s="7">
        <f>+D23/D28*100</f>
        <v>65.11715797430084</v>
      </c>
      <c r="E30" s="8"/>
      <c r="F30" s="7">
        <f>+F23/F28*100</f>
        <v>66.53658536585367</v>
      </c>
      <c r="H30" s="1" t="s">
        <v>90</v>
      </c>
      <c r="M30" s="7">
        <f>+M23/M28*100</f>
        <v>66.14485981308411</v>
      </c>
      <c r="N30" s="8"/>
      <c r="O30" s="7">
        <f>+O23/O28*100</f>
        <v>66.99256110520723</v>
      </c>
    </row>
    <row r="31" spans="5:15" ht="12">
      <c r="E31" s="8"/>
      <c r="F31" s="8"/>
      <c r="N31" s="8"/>
      <c r="O31" s="8"/>
    </row>
    <row r="32" spans="1:18" ht="12">
      <c r="A32" t="s">
        <v>16</v>
      </c>
      <c r="D32">
        <f>+D13+D17+D21</f>
        <v>917</v>
      </c>
      <c r="E32" s="8">
        <f>+D32/$B$2</f>
        <v>65.5</v>
      </c>
      <c r="F32">
        <f>+F13+F17+F21</f>
        <v>63.64285714285714</v>
      </c>
      <c r="H32" t="s">
        <v>16</v>
      </c>
      <c r="M32">
        <f>+M13+M17+M21</f>
        <v>895</v>
      </c>
      <c r="N32" s="8">
        <f>+M32/$B$2</f>
        <v>63.92857142857143</v>
      </c>
      <c r="O32">
        <f>+O13+O17+O21</f>
        <v>66.85714285714285</v>
      </c>
      <c r="R32">
        <f>+O32+F32</f>
        <v>130.5</v>
      </c>
    </row>
    <row r="33" spans="1:15" ht="12">
      <c r="A33" t="s">
        <v>17</v>
      </c>
      <c r="D33" s="8">
        <f>+D28/D32</f>
        <v>5.770992366412214</v>
      </c>
      <c r="E33" s="8"/>
      <c r="F33" s="8">
        <f>+F28/F32</f>
        <v>5.751964085297419</v>
      </c>
      <c r="G33" s="7"/>
      <c r="H33" s="7" t="s">
        <v>17</v>
      </c>
      <c r="I33" s="7"/>
      <c r="J33" s="7"/>
      <c r="K33" s="7"/>
      <c r="L33" s="7"/>
      <c r="M33" s="8">
        <f>+M28/M32</f>
        <v>4.782122905027933</v>
      </c>
      <c r="N33" s="8"/>
      <c r="O33" s="8">
        <f>+O28/O32</f>
        <v>5.026709401709402</v>
      </c>
    </row>
    <row r="34" spans="5:15" ht="12">
      <c r="E34" s="8"/>
      <c r="F34" s="8"/>
      <c r="N34" s="8"/>
      <c r="O34" s="8"/>
    </row>
    <row r="35" spans="1:15" ht="12">
      <c r="A35" t="s">
        <v>18</v>
      </c>
      <c r="E35" s="8"/>
      <c r="F35" s="8"/>
      <c r="H35" t="s">
        <v>18</v>
      </c>
      <c r="N35" s="8"/>
      <c r="O35" s="8"/>
    </row>
    <row r="36" spans="1:16" ht="12">
      <c r="A36" t="s">
        <v>19</v>
      </c>
      <c r="D36" s="2">
        <f>+'vs Bos'!D36+'vs Hou'!D36+'at Buf'!D36+'vs Bos(2)'!D36+'vs KC'!D36+'at Den'!D36+'at Oak'!D36+'vs Mia'!D36+'at KC'!D36+'vs Den'!D36+'vs Oak'!D36+'at Mia'!D36+'at Hou'!D36+'vs NY'!D36+'Gm 15'!D36+'Gm 16'!D36</f>
        <v>26</v>
      </c>
      <c r="E36" s="8">
        <f>+D36/$B$2</f>
        <v>1.8571428571428572</v>
      </c>
      <c r="F36" s="8">
        <v>1.7142857142857142</v>
      </c>
      <c r="G36" t="str">
        <f>IF(D36=SUM(I121:I126),"ok","ERR")</f>
        <v>ok</v>
      </c>
      <c r="H36" t="s">
        <v>19</v>
      </c>
      <c r="M36" s="2">
        <f>+'vs Bos'!M36+'vs Hou'!M36+'at Buf'!M36+'vs Bos(2)'!M36+'vs KC'!M36+'at Den'!M36+'at Oak'!M36+'vs Mia'!M36+'at KC'!M36+'vs Den'!M36+'vs Oak'!M36+'at Mia'!M36+'at Hou'!M36+'vs NY'!M36+'Gm 15'!M36+'Gm 16'!M36</f>
        <v>22</v>
      </c>
      <c r="N36" s="8">
        <f>+M36/$B$2</f>
        <v>1.5714285714285714</v>
      </c>
      <c r="O36" s="8">
        <v>0.9285714285714286</v>
      </c>
      <c r="P36" t="str">
        <f>IF(M36=SUM(C173:C185),"ok","ERR")</f>
        <v>ok</v>
      </c>
    </row>
    <row r="37" spans="1:16" ht="12">
      <c r="A37" t="s">
        <v>20</v>
      </c>
      <c r="D37" s="2">
        <f>+'vs Bos'!D37+'vs Hou'!D37+'at Buf'!D37+'vs Bos(2)'!D37+'vs KC'!D37+'at Den'!D37+'at Oak'!D37+'vs Mia'!D37+'at KC'!D37+'vs Den'!D37+'vs Oak'!D37+'at Mia'!D37+'at Hou'!D37+'vs NY'!D37+'Gm 15'!D37+'Gm 16'!D37</f>
        <v>467</v>
      </c>
      <c r="E37" s="8"/>
      <c r="F37" s="8"/>
      <c r="H37" t="s">
        <v>20</v>
      </c>
      <c r="M37" s="2">
        <f>+'vs Bos'!M37+'vs Hou'!M37+'at Buf'!M37+'vs Bos(2)'!M37+'vs KC'!M37+'at Den'!M37+'at Oak'!M37+'vs Mia'!M37+'at KC'!M37+'vs Den'!M37+'vs Oak'!M37+'at Mia'!M37+'at Hou'!M37+'vs NY'!M37+'Gm 15'!M37+'Gm 16'!M37</f>
        <v>361</v>
      </c>
      <c r="N37" s="8"/>
      <c r="O37" s="8"/>
      <c r="P37" t="str">
        <f>IF(M37=SUM(D173:D185),"ok","ERR")</f>
        <v>ok</v>
      </c>
    </row>
    <row r="38" spans="1:15" ht="12">
      <c r="A38" t="s">
        <v>21</v>
      </c>
      <c r="D38" s="2">
        <f>+'vs Bos'!D38+'vs Hou'!D38+'at Buf'!D38+'vs Bos(2)'!D38+'vs KC'!D38+'at Den'!D38+'at Oak'!D38+'vs Mia'!D38+'at KC'!D38+'vs Den'!D38+'vs Oak'!D38+'at Mia'!D38+'at Hou'!D38+'vs NY'!D38+'Gm 15'!D38+'Gm 16'!D38</f>
        <v>2</v>
      </c>
      <c r="E38" s="8"/>
      <c r="F38" s="8"/>
      <c r="H38" t="s">
        <v>21</v>
      </c>
      <c r="M38" s="2">
        <f>+'vs Bos'!M38+'vs Hou'!M38+'at Buf'!M38+'vs Bos(2)'!M38+'vs KC'!M38+'at Den'!M38+'at Oak'!M38+'vs Mia'!M38+'at KC'!M38+'vs Den'!M38+'vs Oak'!M38+'at Mia'!M38+'at Hou'!M38+'vs NY'!M38+'Gm 15'!M38+'Gm 16'!M38</f>
        <v>2</v>
      </c>
      <c r="N38" s="8"/>
      <c r="O38" s="8"/>
    </row>
    <row r="39" spans="5:15" ht="12">
      <c r="E39" s="8"/>
      <c r="F39" s="8"/>
      <c r="N39" s="8"/>
      <c r="O39" s="8"/>
    </row>
    <row r="40" spans="1:15" ht="12">
      <c r="A40" t="s">
        <v>22</v>
      </c>
      <c r="D40" s="2">
        <f>+'vs Bos'!D40+'vs Hou'!D40+'at Buf'!D40+'vs Bos(2)'!D40+'vs KC'!D40+'at Den'!D40+'at Oak'!D40+'vs Mia'!D40+'at KC'!D40+'vs Den'!D40+'vs Oak'!D40+'at Mia'!D40+'at Hou'!D40+'vs NY'!D40+'Gm 15'!D40+'Gm 16'!D40</f>
        <v>60</v>
      </c>
      <c r="E40" s="8">
        <f>+D40/$B$2</f>
        <v>4.285714285714286</v>
      </c>
      <c r="F40" s="8">
        <v>4.5</v>
      </c>
      <c r="G40" t="str">
        <f>IF(D40=SUM(C156:C160),"ok","ERR")</f>
        <v>ok</v>
      </c>
      <c r="H40" t="s">
        <v>22</v>
      </c>
      <c r="M40" s="2">
        <f>+'vs Bos'!M40+'vs Hou'!M40+'at Buf'!M40+'vs Bos(2)'!M40+'vs KC'!M40+'at Den'!M40+'at Oak'!M40+'vs Mia'!M40+'at KC'!M40+'vs Den'!M40+'vs Oak'!M40+'at Mia'!M40+'at Hou'!M40+'vs NY'!M40+'Gm 15'!M40+'Gm 16'!M40</f>
        <v>75</v>
      </c>
      <c r="N40" s="8">
        <f>+M40/$B$2</f>
        <v>5.357142857142857</v>
      </c>
      <c r="O40" s="8">
        <v>5.142857142857143</v>
      </c>
    </row>
    <row r="41" spans="1:15" ht="12">
      <c r="A41" t="s">
        <v>23</v>
      </c>
      <c r="D41" s="2">
        <f>+'vs Bos'!D41+'vs Hou'!D41+'at Buf'!D41+'vs Bos(2)'!D41+'vs KC'!D41+'at Den'!D41+'at Oak'!D41+'vs Mia'!D41+'at KC'!D41+'vs Den'!D41+'vs Oak'!D41+'at Mia'!D41+'at Hou'!D41+'vs NY'!D41+'Gm 15'!D41+'Gm 16'!D41</f>
        <v>2172</v>
      </c>
      <c r="E41" s="8">
        <f>+D41/$B$2</f>
        <v>155.14285714285714</v>
      </c>
      <c r="F41" s="8">
        <v>168.71428571428572</v>
      </c>
      <c r="G41" t="str">
        <f>IF(D41=SUM(D156:D160),"ok","ERR")</f>
        <v>ok</v>
      </c>
      <c r="H41" t="s">
        <v>23</v>
      </c>
      <c r="M41" s="2">
        <f>+'vs Bos'!M41+'vs Hou'!M41+'at Buf'!M41+'vs Bos(2)'!M41+'vs KC'!M41+'at Den'!M41+'at Oak'!M41+'vs Mia'!M41+'at KC'!M41+'vs Den'!M41+'vs Oak'!M41+'at Mia'!M41+'at Hou'!M41+'vs NY'!M41+'Gm 15'!M41+'Gm 16'!M41</f>
        <v>3094</v>
      </c>
      <c r="N41" s="8">
        <f>+M41/$B$2</f>
        <v>221</v>
      </c>
      <c r="O41" s="8">
        <v>232.42857142857142</v>
      </c>
    </row>
    <row r="42" spans="1:15" ht="12">
      <c r="A42" t="s">
        <v>24</v>
      </c>
      <c r="D42" s="8">
        <f>+D41/D40</f>
        <v>36.2</v>
      </c>
      <c r="E42" s="8"/>
      <c r="F42" s="8">
        <f>+F41/F40</f>
        <v>37.492063492063494</v>
      </c>
      <c r="G42" s="7"/>
      <c r="H42" s="7" t="s">
        <v>24</v>
      </c>
      <c r="I42" s="7"/>
      <c r="J42" s="7"/>
      <c r="K42" s="7"/>
      <c r="L42" s="7"/>
      <c r="M42" s="8">
        <f>+M41/M40</f>
        <v>41.25333333333333</v>
      </c>
      <c r="N42" s="8"/>
      <c r="O42" s="8">
        <f>+O41/O40</f>
        <v>45.194444444444436</v>
      </c>
    </row>
    <row r="43" spans="5:15" ht="12">
      <c r="E43" s="8"/>
      <c r="F43" s="8"/>
      <c r="N43" s="8"/>
      <c r="O43" s="8"/>
    </row>
    <row r="44" spans="1:15" ht="12">
      <c r="A44" t="s">
        <v>25</v>
      </c>
      <c r="D44" s="2">
        <f>+'vs Bos'!D44+'vs Hou'!D44+'at Buf'!D44+'vs Bos(2)'!D44+'vs KC'!D44+'at Den'!D44+'at Oak'!D44+'vs Mia'!D44+'at KC'!D44+'vs Den'!D44+'vs Oak'!D44+'at Mia'!D44+'at Hou'!D44+'vs NY'!D44+'Gm 15'!D44+'Gm 16'!D44</f>
        <v>49</v>
      </c>
      <c r="E44" s="8">
        <f>+D44/$B$2</f>
        <v>3.5</v>
      </c>
      <c r="F44" s="8">
        <v>2.7857142857142856</v>
      </c>
      <c r="G44" t="str">
        <f>IF(D44=SUM(C131:C137),"ok","ERR")</f>
        <v>ok</v>
      </c>
      <c r="H44" t="s">
        <v>25</v>
      </c>
      <c r="M44" s="2">
        <f>+'vs Bos'!M44+'vs Hou'!M44+'at Buf'!M44+'vs Bos(2)'!M44+'vs KC'!M44+'at Den'!M44+'at Oak'!M44+'vs Mia'!M44+'at KC'!M44+'vs Den'!M44+'vs Oak'!M44+'at Mia'!M44+'at Hou'!M44+'vs NY'!M44+'Gm 15'!M44+'Gm 16'!M44</f>
        <v>31</v>
      </c>
      <c r="N44" s="8">
        <f>+M44/$B$2</f>
        <v>2.2142857142857144</v>
      </c>
      <c r="O44" s="8">
        <v>1.5</v>
      </c>
    </row>
    <row r="45" spans="1:15" ht="12">
      <c r="A45" t="s">
        <v>26</v>
      </c>
      <c r="D45" s="2">
        <f>+'vs Bos'!D45+'vs Hou'!D45+'at Buf'!D45+'vs Bos(2)'!D45+'vs KC'!D45+'at Den'!D45+'at Oak'!D45+'vs Mia'!D45+'at KC'!D45+'vs Den'!D45+'vs Oak'!D45+'at Mia'!D45+'at Hou'!D45+'vs NY'!D45+'Gm 15'!D45+'Gm 16'!D45</f>
        <v>768</v>
      </c>
      <c r="E45" s="8">
        <f>+D45/$B$2</f>
        <v>54.857142857142854</v>
      </c>
      <c r="F45" s="8">
        <v>34.285714285714285</v>
      </c>
      <c r="G45" t="str">
        <f>IF(D45=SUM(E131:E137),"ok","ERR")</f>
        <v>ok</v>
      </c>
      <c r="H45" t="s">
        <v>26</v>
      </c>
      <c r="M45" s="2">
        <f>+'vs Bos'!M45+'vs Hou'!M45+'at Buf'!M45+'vs Bos(2)'!M45+'vs KC'!M45+'at Den'!M45+'at Oak'!M45+'vs Mia'!M45+'at KC'!M45+'vs Den'!M45+'vs Oak'!M45+'at Mia'!M45+'at Hou'!M45+'vs NY'!M45+'Gm 15'!M45+'Gm 16'!M45</f>
        <v>461</v>
      </c>
      <c r="N45" s="8">
        <f>+M45/$B$2</f>
        <v>32.92857142857143</v>
      </c>
      <c r="O45" s="8">
        <v>16</v>
      </c>
    </row>
    <row r="46" spans="1:15" ht="12">
      <c r="A46" t="s">
        <v>27</v>
      </c>
      <c r="D46" s="8">
        <f>+D45/D44</f>
        <v>15.673469387755102</v>
      </c>
      <c r="E46" s="8"/>
      <c r="F46" s="8">
        <f>+F45/F44</f>
        <v>12.307692307692308</v>
      </c>
      <c r="H46" t="s">
        <v>27</v>
      </c>
      <c r="M46" s="8">
        <f>+M45/M44</f>
        <v>14.870967741935484</v>
      </c>
      <c r="N46" s="8"/>
      <c r="O46" s="8">
        <f>+O45/O44</f>
        <v>10.666666666666666</v>
      </c>
    </row>
    <row r="47" spans="1:15" ht="12">
      <c r="A47" s="18" t="s">
        <v>131</v>
      </c>
      <c r="D47" s="2">
        <f>+'vs Bos'!D47+'vs Hou'!D47+'at Buf'!D47+'vs Bos(2)'!D47+'vs KC'!D47+'at Den'!D47+'at Oak'!D47+'vs Mia'!D47+'at KC'!D47+'vs Den'!D47+'vs Oak'!D47+'at Mia'!D47+'at Hou'!D47+'vs NY'!D47+'Gm 15'!D47+'Gm 16'!D47</f>
        <v>12</v>
      </c>
      <c r="E47" s="8">
        <f>+D47/$B$2</f>
        <v>0.8571428571428571</v>
      </c>
      <c r="F47" s="8">
        <v>0.8571428571428571</v>
      </c>
      <c r="G47" t="str">
        <f>IF(D47=SUM(D131:D137),"ok","ERR")</f>
        <v>ok</v>
      </c>
      <c r="H47" s="18" t="s">
        <v>131</v>
      </c>
      <c r="M47" s="2">
        <f>+'vs Bos'!M47+'vs Hou'!M47+'at Buf'!M47+'vs Bos(2)'!M47+'vs KC'!M47+'at Den'!M47+'at Oak'!M47+'vs Mia'!M47+'at KC'!M47+'vs Den'!M47+'vs Oak'!M47+'at Mia'!M47+'at Hou'!M47+'vs NY'!M47+'Gm 15'!M47+'Gm 16'!M47</f>
        <v>16</v>
      </c>
      <c r="N47" s="8">
        <f>+M47/$B$2</f>
        <v>1.1428571428571428</v>
      </c>
      <c r="O47" s="24" t="s">
        <v>130</v>
      </c>
    </row>
    <row r="48" spans="1:15" ht="12">
      <c r="A48" t="s">
        <v>28</v>
      </c>
      <c r="D48" s="2">
        <f>+'vs Bos'!D48+'vs Hou'!D48+'at Buf'!D48+'vs Bos(2)'!D48+'vs KC'!D48+'at Den'!D48+'at Oak'!D48+'vs Mia'!D48+'at KC'!D48+'vs Den'!D48+'vs Oak'!D48+'at Mia'!D48+'at Hou'!D48+'vs NY'!D48+'Gm 15'!D48+'Gm 16'!D48</f>
        <v>0</v>
      </c>
      <c r="E48" s="8"/>
      <c r="F48" s="8"/>
      <c r="H48" t="s">
        <v>28</v>
      </c>
      <c r="M48" s="2">
        <f>+'vs Bos'!M48+'vs Hou'!M48+'at Buf'!M48+'vs Bos(2)'!M48+'vs KC'!M48+'at Den'!M48+'at Oak'!M48+'vs Mia'!M48+'at KC'!M48+'vs Den'!M48+'vs Oak'!M48+'at Mia'!M48+'at Hou'!M48+'vs NY'!M48+'Gm 15'!M48+'Gm 16'!M48</f>
        <v>2</v>
      </c>
      <c r="N48" s="8"/>
      <c r="O48" s="8"/>
    </row>
    <row r="49" spans="5:15" ht="12">
      <c r="E49" s="8"/>
      <c r="F49" s="8"/>
      <c r="N49" s="8"/>
      <c r="O49" s="8"/>
    </row>
    <row r="50" spans="1:15" ht="12">
      <c r="A50" t="s">
        <v>30</v>
      </c>
      <c r="D50" s="2">
        <f>+'vs Bos'!D50+'vs Hou'!D50+'at Buf'!D50+'vs Bos(2)'!D50+'vs KC'!D50+'at Den'!D50+'at Oak'!D50+'vs Mia'!D50+'at KC'!D50+'vs Den'!D50+'vs Oak'!D50+'at Mia'!D50+'at Hou'!D50+'vs NY'!D50+'Gm 15'!D50+'Gm 16'!D50</f>
        <v>63</v>
      </c>
      <c r="E50" s="8">
        <f>+D50/$B$2</f>
        <v>4.5</v>
      </c>
      <c r="F50" s="8">
        <v>3.857142857142857</v>
      </c>
      <c r="G50" t="str">
        <f>IF(D50=SUM(C141:C149),"ok","ERR")</f>
        <v>ok</v>
      </c>
      <c r="H50" t="s">
        <v>30</v>
      </c>
      <c r="M50" s="2">
        <f>+'vs Bos'!M50+'vs Hou'!M50+'at Buf'!M50+'vs Bos(2)'!M50+'vs KC'!M50+'at Den'!M50+'at Oak'!M50+'vs Mia'!M50+'at KC'!M50+'vs Den'!M50+'vs Oak'!M50+'at Mia'!M50+'at Hou'!M50+'vs NY'!M50+'Gm 15'!M50+'Gm 16'!M50</f>
        <v>63</v>
      </c>
      <c r="N50" s="8">
        <f>+M50/$B$2</f>
        <v>4.5</v>
      </c>
      <c r="O50" s="8">
        <v>4.5</v>
      </c>
    </row>
    <row r="51" spans="1:15" ht="12">
      <c r="A51" t="s">
        <v>26</v>
      </c>
      <c r="D51" s="2">
        <f>+'vs Bos'!D51+'vs Hou'!D51+'at Buf'!D51+'vs Bos(2)'!D51+'vs KC'!D51+'at Den'!D51+'at Oak'!D51+'vs Mia'!D51+'at KC'!D51+'vs Den'!D51+'vs Oak'!D51+'at Mia'!D51+'at Hou'!D51+'vs NY'!D51+'Gm 15'!D51+'Gm 16'!D51</f>
        <v>1420</v>
      </c>
      <c r="E51" s="8">
        <f>+D51/$B$2</f>
        <v>101.42857142857143</v>
      </c>
      <c r="F51" s="8">
        <v>88.5</v>
      </c>
      <c r="G51" t="str">
        <f>IF(D51=SUM(D141:D149),"ok","ERR")</f>
        <v>ok</v>
      </c>
      <c r="H51" t="s">
        <v>26</v>
      </c>
      <c r="M51" s="2">
        <f>+'vs Bos'!M51+'vs Hou'!M51+'at Buf'!M51+'vs Bos(2)'!M51+'vs KC'!M51+'at Den'!M51+'at Oak'!M51+'vs Mia'!M51+'at KC'!M51+'vs Den'!M51+'vs Oak'!M51+'at Mia'!M51+'at Hou'!M51+'vs NY'!M51+'Gm 15'!M51+'Gm 16'!M51</f>
        <v>1685</v>
      </c>
      <c r="N51" s="8">
        <f>+M51/$B$2</f>
        <v>120.35714285714286</v>
      </c>
      <c r="O51" s="8">
        <v>107.57142857142857</v>
      </c>
    </row>
    <row r="52" spans="1:15" ht="12">
      <c r="A52" t="s">
        <v>27</v>
      </c>
      <c r="D52" s="8">
        <f>+D51/D50</f>
        <v>22.53968253968254</v>
      </c>
      <c r="E52" s="8"/>
      <c r="F52" s="8">
        <f>+F51/F50</f>
        <v>22.944444444444443</v>
      </c>
      <c r="H52" t="s">
        <v>27</v>
      </c>
      <c r="M52" s="8">
        <f>+M51/M50</f>
        <v>26.746031746031747</v>
      </c>
      <c r="N52" s="8"/>
      <c r="O52" s="8">
        <f>+O51/O50</f>
        <v>23.904761904761905</v>
      </c>
    </row>
    <row r="53" spans="1:15" ht="12">
      <c r="A53" t="s">
        <v>28</v>
      </c>
      <c r="D53" s="2">
        <f>+'vs Bos'!D53+'vs Hou'!D53+'at Buf'!D53+'vs Bos(2)'!D53+'vs KC'!D53+'at Den'!D53+'at Oak'!D53+'vs Mia'!D53+'at KC'!D53+'vs Den'!D53+'vs Oak'!D53+'at Mia'!D53+'at Hou'!D53+'vs NY'!D53+'Gm 15'!D53+'Gm 16'!D53</f>
        <v>0</v>
      </c>
      <c r="E53" s="8"/>
      <c r="F53" s="8"/>
      <c r="H53" t="s">
        <v>28</v>
      </c>
      <c r="M53" s="2">
        <f>+'vs Bos'!M53+'vs Hou'!M53+'at Buf'!M53+'vs Bos(2)'!M53+'vs KC'!M53+'at Den'!M53+'at Oak'!M53+'vs Mia'!M53+'at KC'!M53+'vs Den'!M53+'vs Oak'!M53+'at Mia'!M53+'at Hou'!M53+'vs NY'!M53+'Gm 15'!M53+'Gm 16'!M53</f>
        <v>1</v>
      </c>
      <c r="N53" s="8"/>
      <c r="O53" s="8"/>
    </row>
    <row r="54" spans="5:15" ht="12">
      <c r="E54" s="8"/>
      <c r="F54" s="8"/>
      <c r="N54" s="8"/>
      <c r="O54" s="8"/>
    </row>
    <row r="55" spans="1:18" ht="12">
      <c r="A55" t="s">
        <v>127</v>
      </c>
      <c r="D55" s="2">
        <f>+'vs Bos'!D55+'vs Hou'!D55+'at Buf'!D55+'vs Bos(2)'!D55+'vs KC'!D55+'at Den'!D55+'at Oak'!D55+'vs Mia'!D55+'at KC'!D55+'vs Den'!D55+'vs Oak'!D55+'at Mia'!D55+'at Hou'!D55+'vs NY'!D55+'Gm 15'!D55+'Gm 16'!D55</f>
        <v>78</v>
      </c>
      <c r="E55" s="8">
        <f>+D55/$B$2</f>
        <v>5.571428571428571</v>
      </c>
      <c r="F55" s="8">
        <v>5.285714285714286</v>
      </c>
      <c r="G55" t="str">
        <f>IF(D55=SUM(C164:C171),"ok","ERR")</f>
        <v>ok</v>
      </c>
      <c r="H55" t="s">
        <v>127</v>
      </c>
      <c r="K55" s="2"/>
      <c r="L55" s="8"/>
      <c r="M55" s="2">
        <f>+'vs Bos'!M55+'vs Hou'!M55+'at Buf'!M55+'vs Bos(2)'!M55+'vs KC'!M55+'at Den'!M55+'at Oak'!M55+'vs Mia'!M55+'at KC'!M55+'vs Den'!M55+'vs Oak'!M55+'at Mia'!M55+'at Hou'!M55+'vs NY'!M55+'Gm 15'!M55+'Gm 16'!M55</f>
        <v>75</v>
      </c>
      <c r="N55" s="8">
        <f>+M55/$B$2</f>
        <v>5.357142857142857</v>
      </c>
      <c r="O55" s="8">
        <v>5.142857142857143</v>
      </c>
      <c r="P55" s="2"/>
      <c r="Q55" s="8"/>
      <c r="R55" s="8"/>
    </row>
    <row r="56" spans="1:18" ht="12">
      <c r="A56" t="s">
        <v>128</v>
      </c>
      <c r="D56" s="2">
        <f>+'vs Bos'!D56+'vs Hou'!D56+'at Buf'!D56+'vs Bos(2)'!D56+'vs KC'!D56+'at Den'!D56+'at Oak'!D56+'vs Mia'!D56+'at KC'!D56+'vs Den'!D56+'vs Oak'!D56+'at Mia'!D56+'at Hou'!D56+'vs NY'!D56+'Gm 15'!D56+'Gm 16'!D56</f>
        <v>15</v>
      </c>
      <c r="E56" s="8">
        <f>+D56/$B$2</f>
        <v>1.0714285714285714</v>
      </c>
      <c r="F56" s="8">
        <v>0.8571428571428571</v>
      </c>
      <c r="G56" t="str">
        <f>IF(D56=SUM(D164:D171),"ok","ERR")</f>
        <v>ok</v>
      </c>
      <c r="H56" t="s">
        <v>128</v>
      </c>
      <c r="K56" s="2"/>
      <c r="L56" s="8"/>
      <c r="M56" s="2">
        <f>+'vs Bos'!M56+'vs Hou'!M56+'at Buf'!M56+'vs Bos(2)'!M56+'vs KC'!M56+'at Den'!M56+'at Oak'!M56+'vs Mia'!M56+'at KC'!M56+'vs Den'!M56+'vs Oak'!M56+'at Mia'!M56+'at Hou'!M56+'vs NY'!M56+'Gm 15'!M56+'Gm 16'!M56</f>
        <v>12</v>
      </c>
      <c r="N56" s="8">
        <f>+M56/$B$2</f>
        <v>0.8571428571428571</v>
      </c>
      <c r="O56" s="8">
        <v>1.2857142857142858</v>
      </c>
      <c r="P56" s="2"/>
      <c r="Q56" s="8"/>
      <c r="R56" s="8"/>
    </row>
    <row r="57" spans="1:18" ht="12">
      <c r="A57" t="s">
        <v>129</v>
      </c>
      <c r="D57" s="8">
        <f>+D56/D55*100</f>
        <v>19.230769230769234</v>
      </c>
      <c r="E57" s="8"/>
      <c r="F57" s="8">
        <f>+F56/F55*100</f>
        <v>16.216216216216214</v>
      </c>
      <c r="G57" t="str">
        <f>IF(D55-D56=M50,"ok","err")</f>
        <v>ok</v>
      </c>
      <c r="H57" t="s">
        <v>129</v>
      </c>
      <c r="L57" s="8"/>
      <c r="M57" s="8">
        <f>+M56/M55*100</f>
        <v>16</v>
      </c>
      <c r="N57" s="8"/>
      <c r="O57" s="8">
        <f>+O56/O55*100</f>
        <v>25</v>
      </c>
      <c r="Q57" s="8"/>
      <c r="R57" s="8"/>
    </row>
    <row r="58" spans="5:15" ht="12">
      <c r="E58" s="8"/>
      <c r="F58" s="8"/>
      <c r="N58" s="8"/>
      <c r="O58" s="8"/>
    </row>
    <row r="59" spans="1:15" ht="12">
      <c r="A59" t="s">
        <v>31</v>
      </c>
      <c r="D59" s="2">
        <f>+'vs Bos'!D59+'vs Hou'!D59+'at Buf'!D59+'vs Bos(2)'!D59+'vs KC'!D59+'at Den'!D59+'at Oak'!D59+'vs Mia'!D59+'at KC'!D59+'vs Den'!D59+'vs Oak'!D59+'at Mia'!D59+'at Hou'!D59+'vs NY'!D59+'Gm 15'!D59+'Gm 16'!D59</f>
        <v>75</v>
      </c>
      <c r="E59" s="8">
        <f>+D59/$B$2</f>
        <v>5.357142857142857</v>
      </c>
      <c r="F59" s="8">
        <v>5.142857142857143</v>
      </c>
      <c r="H59" t="s">
        <v>31</v>
      </c>
      <c r="M59" s="2">
        <f>+'vs Bos'!M59+'vs Hou'!M59+'at Buf'!M59+'vs Bos(2)'!M59+'vs KC'!M59+'at Den'!M59+'at Oak'!M59+'vs Mia'!M59+'at KC'!M59+'vs Den'!M59+'vs Oak'!M59+'at Mia'!M59+'at Hou'!M59+'vs NY'!M59+'Gm 15'!M59+'Gm 16'!M59</f>
        <v>79</v>
      </c>
      <c r="N59" s="8">
        <f>+M59/$B$2</f>
        <v>5.642857142857143</v>
      </c>
      <c r="O59" s="8">
        <v>4.357142857142857</v>
      </c>
    </row>
    <row r="60" spans="1:15" ht="12">
      <c r="A60" t="s">
        <v>32</v>
      </c>
      <c r="D60" s="2">
        <f>+'vs Bos'!D60+'vs Hou'!D60+'at Buf'!D60+'vs Bos(2)'!D60+'vs KC'!D60+'at Den'!D60+'at Oak'!D60+'vs Mia'!D60+'at KC'!D60+'vs Den'!D60+'vs Oak'!D60+'at Mia'!D60+'at Hou'!D60+'vs NY'!D60+'Gm 15'!D60+'Gm 16'!D60</f>
        <v>854</v>
      </c>
      <c r="E60" s="8">
        <f>+D60/$B$2</f>
        <v>61</v>
      </c>
      <c r="F60" s="8">
        <v>58.357142857142854</v>
      </c>
      <c r="H60" t="s">
        <v>32</v>
      </c>
      <c r="M60" s="2">
        <f>+'vs Bos'!M60+'vs Hou'!M60+'at Buf'!M60+'vs Bos(2)'!M60+'vs KC'!M60+'at Den'!M60+'at Oak'!M60+'vs Mia'!M60+'at KC'!M60+'vs Den'!M60+'vs Oak'!M60+'at Mia'!M60+'at Hou'!M60+'vs NY'!M60+'Gm 15'!M60+'Gm 16'!M60</f>
        <v>825</v>
      </c>
      <c r="N60" s="8">
        <f>+M60/$B$2</f>
        <v>58.92857142857143</v>
      </c>
      <c r="O60" s="8">
        <v>47.57142857142857</v>
      </c>
    </row>
    <row r="61" spans="5:15" ht="12">
      <c r="E61" s="8"/>
      <c r="F61" s="8"/>
      <c r="N61" s="8"/>
      <c r="O61" s="8"/>
    </row>
    <row r="62" spans="1:15" ht="12">
      <c r="A62" t="s">
        <v>33</v>
      </c>
      <c r="D62" s="2">
        <f>+'vs Bos'!D62+'vs Hou'!D62+'at Buf'!D62+'vs Bos(2)'!D62+'vs KC'!D62+'at Den'!D62+'at Oak'!D62+'vs Mia'!D62+'at KC'!D62+'vs Den'!D62+'vs Oak'!D62+'at Mia'!D62+'at Hou'!D62+'vs NY'!D62+'Gm 15'!D62+'Gm 16'!D62</f>
        <v>21</v>
      </c>
      <c r="E62" s="8">
        <f>+D62/$B$2</f>
        <v>1.5</v>
      </c>
      <c r="F62" s="8">
        <v>1.2857142857142858</v>
      </c>
      <c r="G62" t="str">
        <f>IF(D62=SUM(H83:H117)+SUM(N121:N126)+SUM(I131:I137)+SUM(H141:H153)+SUM(H156:H160)+SUM(H175:H187)+SUM(G208:G272),"ok","ERR")</f>
        <v>ok</v>
      </c>
      <c r="H62" t="s">
        <v>33</v>
      </c>
      <c r="M62" s="2">
        <f>+'vs Bos'!M62+'vs Hou'!M62+'at Buf'!M62+'vs Bos(2)'!M62+'vs KC'!M62+'at Den'!M62+'at Oak'!M62+'vs Mia'!M62+'at KC'!M62+'vs Den'!M62+'vs Oak'!M62+'at Mia'!M62+'at Hou'!M62+'vs NY'!M62+'Gm 15'!M62+'Gm 16'!M62</f>
        <v>16</v>
      </c>
      <c r="N62" s="8">
        <f>+M62/$B$2</f>
        <v>1.1428571428571428</v>
      </c>
      <c r="O62" s="8">
        <v>1.5714285714285714</v>
      </c>
    </row>
    <row r="63" spans="1:15" ht="12">
      <c r="A63" t="s">
        <v>34</v>
      </c>
      <c r="D63" s="2">
        <f>+'vs Bos'!D63+'vs Hou'!D63+'at Buf'!D63+'vs Bos(2)'!D63+'vs KC'!D63+'at Den'!D63+'at Oak'!D63+'vs Mia'!D63+'at KC'!D63+'vs Den'!D63+'vs Oak'!D63+'at Mia'!D63+'at Hou'!D63+'vs NY'!D63+'Gm 15'!D63+'Gm 16'!D63</f>
        <v>5</v>
      </c>
      <c r="E63" s="8"/>
      <c r="F63" s="8"/>
      <c r="H63" t="s">
        <v>34</v>
      </c>
      <c r="M63" s="2">
        <f>+'vs Bos'!M63+'vs Hou'!M63+'at Buf'!M63+'vs Bos(2)'!M63+'vs KC'!M63+'at Den'!M63+'at Oak'!M63+'vs Mia'!M63+'at KC'!M63+'vs Den'!M63+'vs Oak'!M63+'at Mia'!M63+'at Hou'!M63+'vs NY'!M63+'Gm 15'!M63+'Gm 16'!M63</f>
        <v>10</v>
      </c>
      <c r="N63" s="8"/>
      <c r="O63" s="8"/>
    </row>
    <row r="64" spans="1:15" ht="12">
      <c r="A64" t="s">
        <v>35</v>
      </c>
      <c r="D64" s="2">
        <f>+'vs Bos'!D64+'vs Hou'!D64+'at Buf'!D64+'vs Bos(2)'!D64+'vs KC'!D64+'at Den'!D64+'at Oak'!D64+'vs Mia'!D64+'at KC'!D64+'vs Den'!D64+'vs Oak'!D64+'at Mia'!D64+'at Hou'!D64+'vs NY'!D64+'Gm 15'!D64+'Gm 16'!D64</f>
        <v>0</v>
      </c>
      <c r="E64" s="8"/>
      <c r="F64" s="8"/>
      <c r="H64" t="s">
        <v>35</v>
      </c>
      <c r="M64" s="2">
        <f>+'vs Bos'!M64+'vs Hou'!M64+'at Buf'!M64+'vs Bos(2)'!M64+'vs KC'!M64+'at Den'!M64+'at Oak'!M64+'vs Mia'!M64+'at KC'!M64+'vs Den'!M64+'vs Oak'!M64+'at Mia'!M64+'at Hou'!M64+'vs NY'!M64+'Gm 15'!M64+'Gm 16'!M64</f>
        <v>0</v>
      </c>
      <c r="N64" s="8"/>
      <c r="O64" s="8"/>
    </row>
    <row r="65" spans="1:15" ht="12">
      <c r="A65" t="s">
        <v>36</v>
      </c>
      <c r="D65" s="2">
        <f>+'vs Bos'!D65+'vs Hou'!D65+'at Buf'!D65+'vs Bos(2)'!D65+'vs KC'!D65+'at Den'!D65+'at Oak'!D65+'vs Mia'!D65+'at KC'!D65+'vs Den'!D65+'vs Oak'!D65+'at Mia'!D65+'at Hou'!D65+'vs NY'!D65+'Gm 15'!D65+'Gm 16'!D65</f>
        <v>6</v>
      </c>
      <c r="E65" s="8"/>
      <c r="F65" s="8"/>
      <c r="H65" t="s">
        <v>36</v>
      </c>
      <c r="M65" s="2">
        <f>+'vs Bos'!M65+'vs Hou'!M65+'at Buf'!M65+'vs Bos(2)'!M65+'vs KC'!M65+'at Den'!M65+'at Oak'!M65+'vs Mia'!M65+'at KC'!M65+'vs Den'!M65+'vs Oak'!M65+'at Mia'!M65+'at Hou'!M65+'vs NY'!M65+'Gm 15'!M65+'Gm 16'!M65</f>
        <v>16</v>
      </c>
      <c r="N65" s="8"/>
      <c r="O65" s="8"/>
    </row>
    <row r="66" spans="1:15" ht="12">
      <c r="A66" s="1" t="s">
        <v>37</v>
      </c>
      <c r="D66" s="2">
        <f>+'vs Bos'!D66+'vs Hou'!D66+'at Buf'!D66+'vs Bos(2)'!D66+'vs KC'!D66+'at Den'!D66+'at Oak'!D66+'vs Mia'!D66+'at KC'!D66+'vs Den'!D66+'vs Oak'!D66+'at Mia'!D66+'at Hou'!D66+'vs NY'!D66+'Gm 15'!D66+'Gm 16'!D66</f>
        <v>0</v>
      </c>
      <c r="E66" s="8"/>
      <c r="F66" s="8"/>
      <c r="H66" s="1" t="s">
        <v>37</v>
      </c>
      <c r="M66" s="2">
        <f>+'vs Bos'!M66+'vs Hou'!M66+'at Buf'!M66+'vs Bos(2)'!M66+'vs KC'!M66+'at Den'!M66+'at Oak'!M66+'vs Mia'!M66+'at KC'!M66+'vs Den'!M66+'vs Oak'!M66+'at Mia'!M66+'at Hou'!M66+'vs NY'!M66+'Gm 15'!M66+'Gm 16'!M66</f>
        <v>0</v>
      </c>
      <c r="N66" s="8"/>
      <c r="O66" s="8"/>
    </row>
    <row r="67" spans="5:15" ht="12">
      <c r="E67" s="8"/>
      <c r="F67" s="8"/>
      <c r="N67" s="8"/>
      <c r="O67" s="8"/>
    </row>
    <row r="68" spans="1:16" ht="12">
      <c r="A68" t="s">
        <v>38</v>
      </c>
      <c r="D68" s="2">
        <f>+'vs Bos'!D68+'vs Hou'!D68+'at Buf'!D68+'vs Bos(2)'!D68+'vs KC'!D68+'at Den'!D68+'at Oak'!D68+'vs Mia'!D68+'at KC'!D68+'vs Den'!D68+'vs Oak'!D68+'at Mia'!D68+'at Hou'!D68+'vs NY'!D68+'Gm 15'!D68+'Gm 16'!D68</f>
        <v>373</v>
      </c>
      <c r="E68" s="8">
        <f aca="true" t="shared" si="0" ref="E68:E77">+D68/$B$2</f>
        <v>26.642857142857142</v>
      </c>
      <c r="F68" s="8">
        <v>25.714285714285715</v>
      </c>
      <c r="G68" t="str">
        <f>IF(D68=D69*6+D75*2+D76*3+D73+D74*2,"ok","ERR")</f>
        <v>ok</v>
      </c>
      <c r="H68" t="s">
        <v>38</v>
      </c>
      <c r="M68" s="2">
        <f>+'vs Bos'!M68+'vs Hou'!M68+'at Buf'!M68+'vs Bos(2)'!M68+'vs KC'!M68+'at Den'!M68+'at Oak'!M68+'vs Mia'!M68+'at KC'!M68+'vs Den'!M68+'vs Oak'!M68+'at Mia'!M68+'at Hou'!M68+'vs NY'!M68+'Gm 15'!M68+'Gm 16'!M68</f>
        <v>337</v>
      </c>
      <c r="N68" s="8">
        <f aca="true" t="shared" si="1" ref="N68:N77">+M68/$B$2</f>
        <v>24.071428571428573</v>
      </c>
      <c r="O68" s="8">
        <v>25.142857142857142</v>
      </c>
      <c r="P68" t="str">
        <f>IF(M68=M69*6+M75*2+M76*3+M73+M74*2,"ok","ERR")</f>
        <v>ok</v>
      </c>
    </row>
    <row r="69" spans="1:15" ht="12">
      <c r="A69" t="s">
        <v>39</v>
      </c>
      <c r="D69" s="2">
        <f>+'vs Bos'!D69+'vs Hou'!D69+'at Buf'!D69+'vs Bos(2)'!D69+'vs KC'!D69+'at Den'!D69+'at Oak'!D69+'vs Mia'!D69+'at KC'!D69+'vs Den'!D69+'vs Oak'!D69+'at Mia'!D69+'at Hou'!D69+'vs NY'!D69+'Gm 15'!D69+'Gm 16'!D69</f>
        <v>45</v>
      </c>
      <c r="E69" s="8">
        <f t="shared" si="0"/>
        <v>3.2142857142857144</v>
      </c>
      <c r="F69" s="8">
        <v>3.2142857142857144</v>
      </c>
      <c r="G69" t="str">
        <f>IF(D69=SUM(D70:D72),"ok","ERR")</f>
        <v>ok</v>
      </c>
      <c r="H69" t="s">
        <v>39</v>
      </c>
      <c r="M69" s="2">
        <f>+'vs Bos'!M69+'vs Hou'!M69+'at Buf'!M69+'vs Bos(2)'!M69+'vs KC'!M69+'at Den'!M69+'at Oak'!M69+'vs Mia'!M69+'at KC'!M69+'vs Den'!M69+'vs Oak'!M69+'at Mia'!M69+'at Hou'!M69+'vs NY'!M69+'Gm 15'!M69+'Gm 16'!M69</f>
        <v>38</v>
      </c>
      <c r="N69" s="8">
        <f t="shared" si="1"/>
        <v>2.7142857142857144</v>
      </c>
      <c r="O69" s="8">
        <v>3.142857142857143</v>
      </c>
    </row>
    <row r="70" spans="1:15" ht="12">
      <c r="A70" t="s">
        <v>40</v>
      </c>
      <c r="D70" s="2">
        <f>+'vs Bos'!D70+'vs Hou'!D70+'at Buf'!D70+'vs Bos(2)'!D70+'vs KC'!D70+'at Den'!D70+'at Oak'!D70+'vs Mia'!D70+'at KC'!D70+'vs Den'!D70+'vs Oak'!D70+'at Mia'!D70+'at Hou'!D70+'vs NY'!D70+'Gm 15'!D70+'Gm 16'!D70</f>
        <v>14</v>
      </c>
      <c r="E70" s="8">
        <f t="shared" si="0"/>
        <v>1</v>
      </c>
      <c r="F70" s="8">
        <v>1</v>
      </c>
      <c r="G70" t="str">
        <f>IF(D70=SUM(G83:G97),"ok","ERR")</f>
        <v>ok</v>
      </c>
      <c r="H70" t="s">
        <v>40</v>
      </c>
      <c r="M70" s="2">
        <f>+'vs Bos'!M70+'vs Hou'!M70+'at Buf'!M70+'vs Bos(2)'!M70+'vs KC'!M70+'at Den'!M70+'at Oak'!M70+'vs Mia'!M70+'at KC'!M70+'vs Den'!M70+'vs Oak'!M70+'at Mia'!M70+'at Hou'!M70+'vs NY'!M70+'Gm 15'!M70+'Gm 16'!M70</f>
        <v>12</v>
      </c>
      <c r="N70" s="8">
        <f t="shared" si="1"/>
        <v>0.8571428571428571</v>
      </c>
      <c r="O70" s="8">
        <v>1.2142857142857142</v>
      </c>
    </row>
    <row r="71" spans="1:15" ht="12">
      <c r="A71" t="s">
        <v>41</v>
      </c>
      <c r="C71" t="str">
        <f>IF(D71=SUM(G101:G114),"ok","ERR")</f>
        <v>ok</v>
      </c>
      <c r="D71" s="2">
        <f>+'vs Bos'!D71+'vs Hou'!D71+'at Buf'!D71+'vs Bos(2)'!D71+'vs KC'!D71+'at Den'!D71+'at Oak'!D71+'vs Mia'!D71+'at KC'!D71+'vs Den'!D71+'vs Oak'!D71+'at Mia'!D71+'at Hou'!D71+'vs NY'!D71+'Gm 15'!D71+'Gm 16'!D71</f>
        <v>29</v>
      </c>
      <c r="E71" s="8">
        <f t="shared" si="0"/>
        <v>2.0714285714285716</v>
      </c>
      <c r="F71" s="8">
        <v>1.8571428571428572</v>
      </c>
      <c r="G71" t="str">
        <f>IF(D71=SUM(G121:G126),"ok","ERR")</f>
        <v>ok</v>
      </c>
      <c r="H71" t="s">
        <v>41</v>
      </c>
      <c r="M71" s="2">
        <f>+'vs Bos'!M71+'vs Hou'!M71+'at Buf'!M71+'vs Bos(2)'!M71+'vs KC'!M71+'at Den'!M71+'at Oak'!M71+'vs Mia'!M71+'at KC'!M71+'vs Den'!M71+'vs Oak'!M71+'at Mia'!M71+'at Hou'!M71+'vs NY'!M71+'Gm 15'!M71+'Gm 16'!M71</f>
        <v>21</v>
      </c>
      <c r="N71" s="8">
        <f t="shared" si="1"/>
        <v>1.5</v>
      </c>
      <c r="O71" s="8">
        <v>1.8571428571428572</v>
      </c>
    </row>
    <row r="72" spans="1:15" ht="12">
      <c r="A72" t="s">
        <v>42</v>
      </c>
      <c r="D72" s="2">
        <f>+'vs Bos'!D72+'vs Hou'!D72+'at Buf'!D72+'vs Bos(2)'!D72+'vs KC'!D72+'at Den'!D72+'at Oak'!D72+'vs Mia'!D72+'at KC'!D72+'vs Den'!D72+'vs Oak'!D72+'at Mia'!D72+'at Hou'!D72+'vs NY'!D72+'Gm 15'!D72+'Gm 16'!D72</f>
        <v>2</v>
      </c>
      <c r="E72" s="8">
        <f t="shared" si="0"/>
        <v>0.14285714285714285</v>
      </c>
      <c r="F72" s="8">
        <v>0.35714285714285715</v>
      </c>
      <c r="G72" t="str">
        <f>IF(D72=SUM(H131:H137)+SUM(G141:G153)+SUM(G175:G187)+SUM(F208:F272),"ok","ERR")</f>
        <v>ok</v>
      </c>
      <c r="H72" t="s">
        <v>42</v>
      </c>
      <c r="M72" s="2">
        <f>+'vs Bos'!M72+'vs Hou'!M72+'at Buf'!M72+'vs Bos(2)'!M72+'vs KC'!M72+'at Den'!M72+'at Oak'!M72+'vs Mia'!M72+'at KC'!M72+'vs Den'!M72+'vs Oak'!M72+'at Mia'!M72+'at Hou'!M72+'vs NY'!M72+'Gm 15'!M72+'Gm 16'!M72</f>
        <v>5</v>
      </c>
      <c r="N72" s="8">
        <f t="shared" si="1"/>
        <v>0.35714285714285715</v>
      </c>
      <c r="O72" s="8">
        <v>0.07142857142857142</v>
      </c>
    </row>
    <row r="73" spans="1:15" ht="12">
      <c r="A73" t="s">
        <v>43</v>
      </c>
      <c r="D73" s="2">
        <f>+'vs Bos'!D73+'vs Hou'!D73+'at Buf'!D73+'vs Bos(2)'!D73+'vs KC'!D73+'at Den'!D73+'at Oak'!D73+'vs Mia'!D73+'at KC'!D73+'vs Den'!D73+'vs Oak'!D73+'at Mia'!D73+'at Hou'!D73+'vs NY'!D73+'Gm 15'!D73+'Gm 16'!D73</f>
        <v>44</v>
      </c>
      <c r="E73" s="8">
        <f t="shared" si="0"/>
        <v>3.142857142857143</v>
      </c>
      <c r="F73" s="8">
        <v>3.2142857142857144</v>
      </c>
      <c r="H73" t="s">
        <v>43</v>
      </c>
      <c r="M73" s="2">
        <f>+'vs Bos'!M73+'vs Hou'!M73+'at Buf'!M73+'vs Bos(2)'!M73+'vs KC'!M73+'at Den'!M73+'at Oak'!M73+'vs Mia'!M73+'at KC'!M73+'vs Den'!M73+'vs Oak'!M73+'at Mia'!M73+'at Hou'!M73+'vs NY'!M73+'Gm 15'!M73+'Gm 16'!M73</f>
        <v>35</v>
      </c>
      <c r="N73" s="8">
        <f t="shared" si="1"/>
        <v>2.5</v>
      </c>
      <c r="O73" s="8">
        <v>3.142857142857143</v>
      </c>
    </row>
    <row r="74" spans="1:15" ht="12">
      <c r="A74" t="s">
        <v>120</v>
      </c>
      <c r="D74" s="2">
        <f>+'vs Bos'!D74+'vs Hou'!D74+'at Buf'!D74+'vs Bos(2)'!D74+'vs KC'!D74+'at Den'!D74+'at Oak'!D74+'vs Mia'!D74+'at KC'!D74+'vs Den'!D74+'vs Oak'!D74+'at Mia'!D74+'at Hou'!D74+'vs NY'!D74+'Gm 15'!D74+'Gm 16'!D74</f>
        <v>1</v>
      </c>
      <c r="E74" s="8">
        <f t="shared" si="0"/>
        <v>0.07142857142857142</v>
      </c>
      <c r="F74" s="8">
        <v>0</v>
      </c>
      <c r="H74" t="s">
        <v>120</v>
      </c>
      <c r="M74" s="2">
        <f>+'vs Bos'!M74+'vs Hou'!M74+'at Buf'!M74+'vs Bos(2)'!M74+'vs KC'!M74+'at Den'!M74+'at Oak'!M74+'vs Mia'!M74+'at KC'!M74+'vs Den'!M74+'vs Oak'!M74+'at Mia'!M74+'at Hou'!M74+'vs NY'!M74+'Gm 15'!M74+'Gm 16'!M74</f>
        <v>1</v>
      </c>
      <c r="N74" s="8">
        <f t="shared" si="1"/>
        <v>0.07142857142857142</v>
      </c>
      <c r="O74" s="8">
        <v>0</v>
      </c>
    </row>
    <row r="75" spans="1:15" ht="12">
      <c r="A75" t="s">
        <v>44</v>
      </c>
      <c r="D75" s="2">
        <f>+'vs Bos'!D75+'vs Hou'!D75+'at Buf'!D75+'vs Bos(2)'!D75+'vs KC'!D75+'at Den'!D75+'at Oak'!D75+'vs Mia'!D75+'at KC'!D75+'vs Den'!D75+'vs Oak'!D75+'at Mia'!D75+'at Hou'!D75+'vs NY'!D75+'Gm 15'!D75+'Gm 16'!D75</f>
        <v>0</v>
      </c>
      <c r="E75" s="8">
        <f t="shared" si="0"/>
        <v>0</v>
      </c>
      <c r="F75" s="8">
        <v>0</v>
      </c>
      <c r="H75" t="s">
        <v>44</v>
      </c>
      <c r="M75" s="2">
        <f>+'vs Bos'!M75+'vs Hou'!M75+'at Buf'!M75+'vs Bos(2)'!M75+'vs KC'!M75+'at Den'!M75+'at Oak'!M75+'vs Mia'!M75+'at KC'!M75+'vs Den'!M75+'vs Oak'!M75+'at Mia'!M75+'at Hou'!M75+'vs NY'!M75+'Gm 15'!M75+'Gm 16'!M75</f>
        <v>0</v>
      </c>
      <c r="N75" s="8">
        <f t="shared" si="1"/>
        <v>0</v>
      </c>
      <c r="O75" s="8">
        <v>0.07142857142857142</v>
      </c>
    </row>
    <row r="76" spans="1:15" ht="12">
      <c r="A76" t="s">
        <v>45</v>
      </c>
      <c r="D76" s="2">
        <f>+'vs Bos'!D76+'vs Hou'!D76+'at Buf'!D76+'vs Bos(2)'!D76+'vs KC'!D76+'at Den'!D76+'at Oak'!D76+'vs Mia'!D76+'at KC'!D76+'vs Den'!D76+'vs Oak'!D76+'at Mia'!D76+'at Hou'!D76+'vs NY'!D76+'Gm 15'!D76+'Gm 16'!D76</f>
        <v>19</v>
      </c>
      <c r="E76" s="8">
        <f t="shared" si="0"/>
        <v>1.3571428571428572</v>
      </c>
      <c r="F76" s="8">
        <v>1.0714285714285714</v>
      </c>
      <c r="G76" t="str">
        <f>IF(D76=SUM(H164:H171),"ok","ERR")</f>
        <v>ok</v>
      </c>
      <c r="H76" t="s">
        <v>45</v>
      </c>
      <c r="M76" s="2">
        <f>+'vs Bos'!M76+'vs Hou'!M76+'at Buf'!M76+'vs Bos(2)'!M76+'vs KC'!M76+'at Den'!M76+'at Oak'!M76+'vs Mia'!M76+'at KC'!M76+'vs Den'!M76+'vs Oak'!M76+'at Mia'!M76+'at Hou'!M76+'vs NY'!M76+'Gm 15'!M76+'Gm 16'!M76</f>
        <v>24</v>
      </c>
      <c r="N76" s="8">
        <f t="shared" si="1"/>
        <v>1.7142857142857142</v>
      </c>
      <c r="O76" s="8">
        <v>1</v>
      </c>
    </row>
    <row r="77" spans="1:15" ht="12">
      <c r="A77" t="s">
        <v>46</v>
      </c>
      <c r="D77" s="2">
        <f>+'vs Bos'!D77+'vs Hou'!D77+'at Buf'!D77+'vs Bos(2)'!D77+'vs KC'!D77+'at Den'!D77+'at Oak'!D77+'vs Mia'!D77+'at KC'!D77+'vs Den'!D77+'vs Oak'!D77+'at Mia'!D77+'at Hou'!D77+'vs NY'!D77+'Gm 15'!D77+'Gm 16'!D77</f>
        <v>38</v>
      </c>
      <c r="E77" s="8">
        <f t="shared" si="0"/>
        <v>2.7142857142857144</v>
      </c>
      <c r="F77" s="8">
        <v>2.142857142857143</v>
      </c>
      <c r="G77" t="str">
        <f>IF(D77=SUM(G164:G171),"ok","ERR")</f>
        <v>ok</v>
      </c>
      <c r="H77" t="s">
        <v>46</v>
      </c>
      <c r="M77" s="2">
        <f>+'vs Bos'!M77+'vs Hou'!M77+'at Buf'!M77+'vs Bos(2)'!M77+'vs KC'!M77+'at Den'!M77+'at Oak'!M77+'vs Mia'!M77+'at KC'!M77+'vs Den'!M77+'vs Oak'!M77+'at Mia'!M77+'at Hou'!M77+'vs NY'!M77+'Gm 15'!M77+'Gm 16'!M77</f>
        <v>42</v>
      </c>
      <c r="N77" s="8">
        <f t="shared" si="1"/>
        <v>3</v>
      </c>
      <c r="O77" s="8">
        <v>1.9285714285714286</v>
      </c>
    </row>
    <row r="78" spans="1:15" ht="12">
      <c r="A78" t="s">
        <v>47</v>
      </c>
      <c r="D78" s="8">
        <f>+D76/D77*100</f>
        <v>50</v>
      </c>
      <c r="E78" s="8"/>
      <c r="F78" s="8">
        <f>+F76/F77*100</f>
        <v>50</v>
      </c>
      <c r="G78" s="7"/>
      <c r="H78" s="7" t="s">
        <v>47</v>
      </c>
      <c r="I78" s="7"/>
      <c r="J78" s="7"/>
      <c r="K78" s="7"/>
      <c r="L78" s="7"/>
      <c r="M78" s="8">
        <f>+M76/M77*100</f>
        <v>57.14285714285714</v>
      </c>
      <c r="N78" s="8"/>
      <c r="O78" s="8">
        <f>+O76/O77*100</f>
        <v>51.85185185185185</v>
      </c>
    </row>
    <row r="79" spans="1:15" ht="12">
      <c r="A79" t="s">
        <v>92</v>
      </c>
      <c r="D79" s="10" t="str">
        <f>IF(V25&lt;10,V29,V28)</f>
        <v>30:28</v>
      </c>
      <c r="E79" s="8"/>
      <c r="F79" s="31" t="s">
        <v>130</v>
      </c>
      <c r="H79" t="s">
        <v>92</v>
      </c>
      <c r="M79" s="10" t="str">
        <f>IF(W25&lt;10,W29,W28)</f>
        <v>29:32</v>
      </c>
      <c r="N79" s="8"/>
      <c r="O79" s="31" t="s">
        <v>130</v>
      </c>
    </row>
    <row r="81" spans="1:15" ht="12">
      <c r="A81" t="s">
        <v>49</v>
      </c>
      <c r="O81" s="3"/>
    </row>
    <row r="82" spans="1:1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  <c r="K82" s="3"/>
      <c r="L82" s="3"/>
      <c r="M82" s="3"/>
      <c r="N82" s="3"/>
      <c r="O82" s="3"/>
      <c r="P82" s="3"/>
      <c r="Q82" s="3"/>
      <c r="R82" s="3"/>
    </row>
    <row r="83" spans="1:18" ht="12">
      <c r="A83" t="s">
        <v>133</v>
      </c>
      <c r="B83" t="s">
        <v>184</v>
      </c>
      <c r="C83">
        <f>+'vs Bos'!C83+'vs Hou'!C83+'at Buf'!C83+'vs Bos(2)'!C83+'vs KC'!C83+'at Den'!C83+'at Oak'!C83+'vs Mia'!C83+'at KC'!C83+'vs Den'!C83+'vs Oak'!C83+'at Mia'!C83+'at Hou'!C83+'vs NY'!C83+'Gm 15'!C83+'Gm 16'!C83</f>
        <v>8</v>
      </c>
      <c r="D83">
        <f>+'vs Bos'!D83+'vs Hou'!D83+'at Buf'!D83+'vs Bos(2)'!D83+'vs KC'!D83+'at Den'!D83+'at Oak'!D83+'vs Mia'!D83+'at KC'!D83+'vs Den'!D83+'vs Oak'!D83+'at Mia'!D83+'at Hou'!D83+'vs NY'!D83+'Gm 15'!D83+'Gm 16'!D83</f>
        <v>25</v>
      </c>
      <c r="E83" s="12">
        <f aca="true" t="shared" si="2" ref="E83:E94">IF(C83=0,0,+D83/C83)</f>
        <v>3.125</v>
      </c>
      <c r="F83">
        <f>MAX('vs Bos'!F83,'vs Hou'!F83,'at Buf'!F83,'vs Bos(2)'!F83,'vs KC'!F83,'at Den'!F83,'at Oak'!F83,'vs Mia'!F83,'at KC'!F83,'vs Den'!F83,'vs Oak'!F83,'at Mia'!F83,'at Hou'!F83,'vs NY'!F83,'Gm 15'!F83,'Gm 16'!F83)</f>
        <v>9</v>
      </c>
      <c r="G83">
        <f>+'vs Bos'!G83+'vs Hou'!G83+'at Buf'!G83+'vs Bos(2)'!G83+'vs KC'!G83+'at Den'!G83+'at Oak'!G83+'vs Mia'!G83+'at KC'!G83+'vs Den'!G83+'vs Oak'!G83+'at Mia'!G83+'at Hou'!G83+'vs NY'!G83+'Gm 15'!G83+'Gm 16'!G83</f>
        <v>0</v>
      </c>
      <c r="H83">
        <f>+'vs Bos'!H83+'vs Hou'!H83+'at Buf'!H83+'vs Bos(2)'!H83+'vs KC'!H83+'at Den'!H83+'at Oak'!H83+'vs Mia'!H83+'at KC'!H83+'vs Den'!H83+'vs Oak'!H83+'at Mia'!H83+'at Hou'!H83+'vs NY'!H83+'Gm 15'!H83+'Gm 16'!H83</f>
        <v>0</v>
      </c>
      <c r="M83" s="12"/>
      <c r="P83" s="17"/>
      <c r="Q83" s="17"/>
      <c r="R83" s="17"/>
    </row>
    <row r="84" spans="1:18" ht="12">
      <c r="A84" t="s">
        <v>134</v>
      </c>
      <c r="B84" t="s">
        <v>184</v>
      </c>
      <c r="C84">
        <f>+'vs Bos'!C84+'vs Hou'!C84+'at Buf'!C84+'vs Bos(2)'!C84+'vs KC'!C84+'at Den'!C84+'at Oak'!C84+'vs Mia'!C84+'at KC'!C84+'vs Den'!C84+'vs Oak'!C84+'at Mia'!C84+'at Hou'!C84+'vs NY'!C84+'Gm 15'!C84+'Gm 16'!C84</f>
        <v>2</v>
      </c>
      <c r="D84">
        <f>+'vs Bos'!D84+'vs Hou'!D84+'at Buf'!D84+'vs Bos(2)'!D84+'vs KC'!D84+'at Den'!D84+'at Oak'!D84+'vs Mia'!D84+'at KC'!D84+'vs Den'!D84+'vs Oak'!D84+'at Mia'!D84+'at Hou'!D84+'vs NY'!D84+'Gm 15'!D84+'Gm 16'!D84</f>
        <v>9</v>
      </c>
      <c r="E84" s="12">
        <f t="shared" si="2"/>
        <v>4.5</v>
      </c>
      <c r="F84">
        <f>MAX('vs Bos'!F84,'vs Hou'!F84,'at Buf'!F84,'vs Bos(2)'!F84,'vs KC'!F84,'at Den'!F84,'at Oak'!F84,'vs Mia'!F84,'at KC'!F84,'vs Den'!F84,'vs Oak'!F84,'at Mia'!F84,'at Hou'!F84,'vs NY'!F84,'Gm 15'!F84,'Gm 16'!F84)</f>
        <v>5</v>
      </c>
      <c r="G84">
        <f>+'vs Bos'!G84+'vs Hou'!G84+'at Buf'!G84+'vs Bos(2)'!G84+'vs KC'!G84+'at Den'!G84+'at Oak'!G84+'vs Mia'!G84+'at KC'!G84+'vs Den'!G84+'vs Oak'!G84+'at Mia'!G84+'at Hou'!G84+'vs NY'!G84+'Gm 15'!G84+'Gm 16'!G84</f>
        <v>0</v>
      </c>
      <c r="H84">
        <f>+'vs Bos'!H84+'vs Hou'!H84+'at Buf'!H84+'vs Bos(2)'!H84+'vs KC'!H84+'at Den'!H84+'at Oak'!H84+'vs Mia'!H84+'at KC'!H84+'vs Den'!H84+'vs Oak'!H84+'at Mia'!H84+'at Hou'!H84+'vs NY'!H84+'Gm 15'!H84+'Gm 16'!H84</f>
        <v>0</v>
      </c>
      <c r="M84" s="12"/>
      <c r="P84" s="17"/>
      <c r="Q84" s="17"/>
      <c r="R84" s="17"/>
    </row>
    <row r="85" spans="1:18" ht="12">
      <c r="A85" t="s">
        <v>135</v>
      </c>
      <c r="B85" t="s">
        <v>184</v>
      </c>
      <c r="C85">
        <f>+'vs Bos'!C85+'vs Hou'!C85+'at Buf'!C85+'vs Bos(2)'!C85+'vs KC'!C85+'at Den'!C85+'at Oak'!C85+'vs Mia'!C85+'at KC'!C85+'vs Den'!C85+'vs Oak'!C85+'at Mia'!C85+'at Hou'!C85+'vs NY'!C85+'Gm 15'!C85+'Gm 16'!C85</f>
        <v>35</v>
      </c>
      <c r="D85">
        <f>+'vs Bos'!D85+'vs Hou'!D85+'at Buf'!D85+'vs Bos(2)'!D85+'vs KC'!D85+'at Den'!D85+'at Oak'!D85+'vs Mia'!D85+'at KC'!D85+'vs Den'!D85+'vs Oak'!D85+'at Mia'!D85+'at Hou'!D85+'vs NY'!D85+'Gm 15'!D85+'Gm 16'!D85</f>
        <v>106</v>
      </c>
      <c r="E85" s="12">
        <f t="shared" si="2"/>
        <v>3.0285714285714285</v>
      </c>
      <c r="F85">
        <f>MAX('vs Bos'!F85,'vs Hou'!F85,'at Buf'!F85,'vs Bos(2)'!F85,'vs KC'!F85,'at Den'!F85,'at Oak'!F85,'vs Mia'!F85,'at KC'!F85,'vs Den'!F85,'vs Oak'!F85,'at Mia'!F85,'at Hou'!F85,'vs NY'!F85,'Gm 15'!F85,'Gm 16'!F85)</f>
        <v>15</v>
      </c>
      <c r="G85">
        <f>+'vs Bos'!G85+'vs Hou'!G85+'at Buf'!G85+'vs Bos(2)'!G85+'vs KC'!G85+'at Den'!G85+'at Oak'!G85+'vs Mia'!G85+'at KC'!G85+'vs Den'!G85+'vs Oak'!G85+'at Mia'!G85+'at Hou'!G85+'vs NY'!G85+'Gm 15'!G85+'Gm 16'!G85</f>
        <v>1</v>
      </c>
      <c r="H85">
        <f>+'vs Bos'!H85+'vs Hou'!H85+'at Buf'!H85+'vs Bos(2)'!H85+'vs KC'!H85+'at Den'!H85+'at Oak'!H85+'vs Mia'!H85+'at KC'!H85+'vs Den'!H85+'vs Oak'!H85+'at Mia'!H85+'at Hou'!H85+'vs NY'!H85+'Gm 15'!H85+'Gm 16'!H85</f>
        <v>0</v>
      </c>
      <c r="M85" s="12"/>
      <c r="P85" s="17"/>
      <c r="Q85" s="17"/>
      <c r="R85" s="17"/>
    </row>
    <row r="86" spans="1:18" ht="12">
      <c r="A86" t="s">
        <v>136</v>
      </c>
      <c r="B86" t="s">
        <v>184</v>
      </c>
      <c r="C86">
        <f>+'vs Bos'!C86+'vs Hou'!C86+'at Buf'!C86+'vs Bos(2)'!C86+'vs KC'!C86+'at Den'!C86+'at Oak'!C86+'vs Mia'!C86+'at KC'!C86+'vs Den'!C86+'vs Oak'!C86+'at Mia'!C86+'at Hou'!C86+'vs NY'!C86+'Gm 15'!C86+'Gm 16'!C86</f>
        <v>1</v>
      </c>
      <c r="D86">
        <f>+'vs Bos'!D86+'vs Hou'!D86+'at Buf'!D86+'vs Bos(2)'!D86+'vs KC'!D86+'at Den'!D86+'at Oak'!D86+'vs Mia'!D86+'at KC'!D86+'vs Den'!D86+'vs Oak'!D86+'at Mia'!D86+'at Hou'!D86+'vs NY'!D86+'Gm 15'!D86+'Gm 16'!D86</f>
        <v>0</v>
      </c>
      <c r="E86" s="12">
        <f t="shared" si="2"/>
        <v>0</v>
      </c>
      <c r="F86">
        <f>MAX('vs Bos'!F86,'vs Hou'!F86,'at Buf'!F86,'vs Bos(2)'!F86,'vs KC'!F86,'at Den'!F86,'at Oak'!F86,'vs Mia'!F86,'at KC'!F86,'vs Den'!F86,'vs Oak'!F86,'at Mia'!F86,'at Hou'!F86,'vs NY'!F86,'Gm 15'!F86,'Gm 16'!F86)</f>
        <v>0</v>
      </c>
      <c r="G86">
        <f>+'vs Bos'!G86+'vs Hou'!G86+'at Buf'!G86+'vs Bos(2)'!G86+'vs KC'!G86+'at Den'!G86+'at Oak'!G86+'vs Mia'!G86+'at KC'!G86+'vs Den'!G86+'vs Oak'!G86+'at Mia'!G86+'at Hou'!G86+'vs NY'!G86+'Gm 15'!G86+'Gm 16'!G86</f>
        <v>0</v>
      </c>
      <c r="H86">
        <f>+'vs Bos'!H86+'vs Hou'!H86+'at Buf'!H86+'vs Bos(2)'!H86+'vs KC'!H86+'at Den'!H86+'at Oak'!H86+'vs Mia'!H86+'at KC'!H86+'vs Den'!H86+'vs Oak'!H86+'at Mia'!H86+'at Hou'!H86+'vs NY'!H86+'Gm 15'!H86+'Gm 16'!H86</f>
        <v>0</v>
      </c>
      <c r="M86" s="12"/>
      <c r="P86" s="17"/>
      <c r="Q86" s="17"/>
      <c r="R86" s="17"/>
    </row>
    <row r="87" spans="1:18" ht="12">
      <c r="A87" t="s">
        <v>137</v>
      </c>
      <c r="B87" t="s">
        <v>184</v>
      </c>
      <c r="C87">
        <f>+'vs Bos'!C87+'vs Hou'!C87+'at Buf'!C87+'vs Bos(2)'!C87+'vs KC'!C87+'at Den'!C87+'at Oak'!C87+'vs Mia'!C87+'at KC'!C87+'vs Den'!C87+'vs Oak'!C87+'at Mia'!C87+'at Hou'!C87+'vs NY'!C87+'Gm 15'!C87+'Gm 16'!C87</f>
        <v>50</v>
      </c>
      <c r="D87">
        <f>+'vs Bos'!D87+'vs Hou'!D87+'at Buf'!D87+'vs Bos(2)'!D87+'vs KC'!D87+'at Den'!D87+'at Oak'!D87+'vs Mia'!D87+'at KC'!D87+'vs Den'!D87+'vs Oak'!D87+'at Mia'!D87+'at Hou'!D87+'vs NY'!D87+'Gm 15'!D87+'Gm 16'!D87</f>
        <v>151</v>
      </c>
      <c r="E87" s="12">
        <f t="shared" si="2"/>
        <v>3.02</v>
      </c>
      <c r="F87">
        <f>MAX('vs Bos'!F87,'vs Hou'!F87,'at Buf'!F87,'vs Bos(2)'!F87,'vs KC'!F87,'at Den'!F87,'at Oak'!F87,'vs Mia'!F87,'at KC'!F87,'vs Den'!F87,'vs Oak'!F87,'at Mia'!F87,'at Hou'!F87,'vs NY'!F87,'Gm 15'!F87,'Gm 16'!F87)</f>
        <v>33</v>
      </c>
      <c r="G87">
        <f>+'vs Bos'!G87+'vs Hou'!G87+'at Buf'!G87+'vs Bos(2)'!G87+'vs KC'!G87+'at Den'!G87+'at Oak'!G87+'vs Mia'!G87+'at KC'!G87+'vs Den'!G87+'vs Oak'!G87+'at Mia'!G87+'at Hou'!G87+'vs NY'!G87+'Gm 15'!G87+'Gm 16'!G87</f>
        <v>0</v>
      </c>
      <c r="H87">
        <f>+'vs Bos'!H87+'vs Hou'!H87+'at Buf'!H87+'vs Bos(2)'!H87+'vs KC'!H87+'at Den'!H87+'at Oak'!H87+'vs Mia'!H87+'at KC'!H87+'vs Den'!H87+'vs Oak'!H87+'at Mia'!H87+'at Hou'!H87+'vs NY'!H87+'Gm 15'!H87+'Gm 16'!H87</f>
        <v>3</v>
      </c>
      <c r="M87" s="12"/>
      <c r="P87" s="17"/>
      <c r="Q87" s="17"/>
      <c r="R87" s="17"/>
    </row>
    <row r="88" spans="1:18" ht="12">
      <c r="A88" t="s">
        <v>138</v>
      </c>
      <c r="B88" t="s">
        <v>184</v>
      </c>
      <c r="C88">
        <f>+'vs Bos'!C88+'vs Hou'!C88+'at Buf'!C88+'vs Bos(2)'!C88+'vs KC'!C88+'at Den'!C88+'at Oak'!C88+'vs Mia'!C88+'at KC'!C88+'vs Den'!C88+'vs Oak'!C88+'at Mia'!C88+'at Hou'!C88+'vs NY'!C88+'Gm 15'!C88+'Gm 16'!C88</f>
        <v>116</v>
      </c>
      <c r="D88">
        <f>+'vs Bos'!D88+'vs Hou'!D88+'at Buf'!D88+'vs Bos(2)'!D88+'vs KC'!D88+'at Den'!D88+'at Oak'!D88+'vs Mia'!D88+'at KC'!D88+'vs Den'!D88+'vs Oak'!D88+'at Mia'!D88+'at Hou'!D88+'vs NY'!D88+'Gm 15'!D88+'Gm 16'!D88</f>
        <v>727</v>
      </c>
      <c r="E88" s="12">
        <f t="shared" si="2"/>
        <v>6.267241379310345</v>
      </c>
      <c r="F88">
        <f>MAX('vs Bos'!F88,'vs Hou'!F88,'at Buf'!F88,'vs Bos(2)'!F88,'vs KC'!F88,'at Den'!F88,'at Oak'!F88,'vs Mia'!F88,'at KC'!F88,'vs Den'!F88,'vs Oak'!F88,'at Mia'!F88,'at Hou'!F88,'vs NY'!F88,'Gm 15'!F88,'Gm 16'!F88)</f>
        <v>80</v>
      </c>
      <c r="G88">
        <f>+'vs Bos'!G88+'vs Hou'!G88+'at Buf'!G88+'vs Bos(2)'!G88+'vs KC'!G88+'at Den'!G88+'at Oak'!G88+'vs Mia'!G88+'at KC'!G88+'vs Den'!G88+'vs Oak'!G88+'at Mia'!G88+'at Hou'!G88+'vs NY'!G88+'Gm 15'!G88+'Gm 16'!G88</f>
        <v>7</v>
      </c>
      <c r="H88">
        <f>+'vs Bos'!H88+'vs Hou'!H88+'at Buf'!H88+'vs Bos(2)'!H88+'vs KC'!H88+'at Den'!H88+'at Oak'!H88+'vs Mia'!H88+'at KC'!H88+'vs Den'!H88+'vs Oak'!H88+'at Mia'!H88+'at Hou'!H88+'vs NY'!H88+'Gm 15'!H88+'Gm 16'!H88</f>
        <v>3</v>
      </c>
      <c r="M88" s="12"/>
      <c r="P88" s="17"/>
      <c r="Q88" s="17"/>
      <c r="R88" s="17"/>
    </row>
    <row r="89" spans="1:18" ht="12">
      <c r="A89" t="s">
        <v>139</v>
      </c>
      <c r="B89" t="s">
        <v>184</v>
      </c>
      <c r="C89">
        <f>+'vs Bos'!C89+'vs Hou'!C89+'at Buf'!C89+'vs Bos(2)'!C89+'vs KC'!C89+'at Den'!C89+'at Oak'!C89+'vs Mia'!C89+'at KC'!C89+'vs Den'!C89+'vs Oak'!C89+'at Mia'!C89+'at Hou'!C89+'vs NY'!C89+'Gm 15'!C89+'Gm 16'!C89</f>
        <v>27</v>
      </c>
      <c r="D89">
        <f>+'vs Bos'!D89+'vs Hou'!D89+'at Buf'!D89+'vs Bos(2)'!D89+'vs KC'!D89+'at Den'!D89+'at Oak'!D89+'vs Mia'!D89+'at KC'!D89+'vs Den'!D89+'vs Oak'!D89+'at Mia'!D89+'at Hou'!D89+'vs NY'!D89+'Gm 15'!D89+'Gm 16'!D89</f>
        <v>19</v>
      </c>
      <c r="E89" s="12">
        <f t="shared" si="2"/>
        <v>0.7037037037037037</v>
      </c>
      <c r="F89">
        <f>MAX('vs Bos'!F89,'vs Hou'!F89,'at Buf'!F89,'vs Bos(2)'!F89,'vs KC'!F89,'at Den'!F89,'at Oak'!F89,'vs Mia'!F89,'at KC'!F89,'vs Den'!F89,'vs Oak'!F89,'at Mia'!F89,'at Hou'!F89,'vs NY'!F89,'Gm 15'!F89,'Gm 16'!F89)</f>
        <v>26</v>
      </c>
      <c r="G89">
        <f>+'vs Bos'!G89+'vs Hou'!G89+'at Buf'!G89+'vs Bos(2)'!G89+'vs KC'!G89+'at Den'!G89+'at Oak'!G89+'vs Mia'!G89+'at KC'!G89+'vs Den'!G89+'vs Oak'!G89+'at Mia'!G89+'at Hou'!G89+'vs NY'!G89+'Gm 15'!G89+'Gm 16'!G89</f>
        <v>0</v>
      </c>
      <c r="H89">
        <f>+'vs Bos'!H89+'vs Hou'!H89+'at Buf'!H89+'vs Bos(2)'!H89+'vs KC'!H89+'at Den'!H89+'at Oak'!H89+'vs Mia'!H89+'at KC'!H89+'vs Den'!H89+'vs Oak'!H89+'at Mia'!H89+'at Hou'!H89+'vs NY'!H89+'Gm 15'!H89+'Gm 16'!H89</f>
        <v>0</v>
      </c>
      <c r="M89" s="12"/>
      <c r="P89" s="17"/>
      <c r="Q89" s="17"/>
      <c r="R89" s="17"/>
    </row>
    <row r="90" spans="1:18" ht="12">
      <c r="A90" t="s">
        <v>140</v>
      </c>
      <c r="B90" t="s">
        <v>184</v>
      </c>
      <c r="C90">
        <f>+'vs Bos'!C90+'vs Hou'!C90+'at Buf'!C90+'vs Bos(2)'!C90+'vs KC'!C90+'at Den'!C90+'at Oak'!C90+'vs Mia'!C90+'at KC'!C90+'vs Den'!C90+'vs Oak'!C90+'at Mia'!C90+'at Hou'!C90+'vs NY'!C90+'Gm 15'!C90+'Gm 16'!C90</f>
        <v>156</v>
      </c>
      <c r="D90">
        <f>+'vs Bos'!D90+'vs Hou'!D90+'at Buf'!D90+'vs Bos(2)'!D90+'vs KC'!D90+'at Den'!D90+'at Oak'!D90+'vs Mia'!D90+'at KC'!D90+'vs Den'!D90+'vs Oak'!D90+'at Mia'!D90+'at Hou'!D90+'vs NY'!D90+'Gm 15'!D90+'Gm 16'!D90</f>
        <v>699</v>
      </c>
      <c r="E90" s="12">
        <f t="shared" si="2"/>
        <v>4.480769230769231</v>
      </c>
      <c r="F90">
        <f>MAX('vs Bos'!F90,'vs Hou'!F90,'at Buf'!F90,'vs Bos(2)'!F90,'vs KC'!F90,'at Den'!F90,'at Oak'!F90,'vs Mia'!F90,'at KC'!F90,'vs Den'!F90,'vs Oak'!F90,'at Mia'!F90,'at Hou'!F90,'vs NY'!F90,'Gm 15'!F90,'Gm 16'!F90)</f>
        <v>67</v>
      </c>
      <c r="G90">
        <f>+'vs Bos'!G90+'vs Hou'!G90+'at Buf'!G90+'vs Bos(2)'!G90+'vs KC'!G90+'at Den'!G90+'at Oak'!G90+'vs Mia'!G90+'at KC'!G90+'vs Den'!G90+'vs Oak'!G90+'at Mia'!G90+'at Hou'!G90+'vs NY'!G90+'Gm 15'!G90+'Gm 16'!G90</f>
        <v>6</v>
      </c>
      <c r="H90">
        <f>+'vs Bos'!H90+'vs Hou'!H90+'at Buf'!H90+'vs Bos(2)'!H90+'vs KC'!H90+'at Den'!H90+'at Oak'!H90+'vs Mia'!H90+'at KC'!H90+'vs Den'!H90+'vs Oak'!H90+'at Mia'!H90+'at Hou'!H90+'vs NY'!H90+'Gm 15'!H90+'Gm 16'!H90</f>
        <v>1</v>
      </c>
      <c r="M90" s="12"/>
      <c r="P90" s="17"/>
      <c r="Q90" s="17"/>
      <c r="R90" s="17"/>
    </row>
    <row r="91" spans="1:18" ht="12">
      <c r="A91" t="s">
        <v>141</v>
      </c>
      <c r="B91" t="s">
        <v>184</v>
      </c>
      <c r="C91">
        <f>+'vs Bos'!C91+'vs Hou'!C91+'at Buf'!C91+'vs Bos(2)'!C91+'vs KC'!C91+'at Den'!C91+'at Oak'!C91+'vs Mia'!C91+'at KC'!C91+'vs Den'!C91+'vs Oak'!C91+'at Mia'!C91+'at Hou'!C91+'vs NY'!C91+'Gm 15'!C91+'Gm 16'!C91</f>
        <v>2</v>
      </c>
      <c r="D91">
        <f>+'vs Bos'!D91+'vs Hou'!D91+'at Buf'!D91+'vs Bos(2)'!D91+'vs KC'!D91+'at Den'!D91+'at Oak'!D91+'vs Mia'!D91+'at KC'!D91+'vs Den'!D91+'vs Oak'!D91+'at Mia'!D91+'at Hou'!D91+'vs NY'!D91+'Gm 15'!D91+'Gm 16'!D91</f>
        <v>-5</v>
      </c>
      <c r="E91" s="12">
        <f t="shared" si="2"/>
        <v>-2.5</v>
      </c>
      <c r="F91">
        <f>MAX('vs Bos'!F91,'vs Hou'!F91,'at Buf'!F91,'vs Bos(2)'!F91,'vs KC'!F91,'at Den'!F91,'at Oak'!F91,'vs Mia'!F91,'at KC'!F91,'vs Den'!F91,'vs Oak'!F91,'at Mia'!F91,'at Hou'!F91,'vs NY'!F91,'Gm 15'!F91,'Gm 16'!F91)</f>
        <v>-1</v>
      </c>
      <c r="G91">
        <f>+'vs Bos'!G91+'vs Hou'!G91+'at Buf'!G91+'vs Bos(2)'!G91+'vs KC'!G91+'at Den'!G91+'at Oak'!G91+'vs Mia'!G91+'at KC'!G91+'vs Den'!G91+'vs Oak'!G91+'at Mia'!G91+'at Hou'!G91+'vs NY'!G91+'Gm 15'!G91+'Gm 16'!G91</f>
        <v>0</v>
      </c>
      <c r="H91">
        <f>+'vs Bos'!H91+'vs Hou'!H91+'at Buf'!H91+'vs Bos(2)'!H91+'vs KC'!H91+'at Den'!H91+'at Oak'!H91+'vs Mia'!H91+'at KC'!H91+'vs Den'!H91+'vs Oak'!H91+'at Mia'!H91+'at Hou'!H91+'vs NY'!H91+'Gm 15'!H91+'Gm 16'!H91</f>
        <v>1</v>
      </c>
      <c r="M91" s="12"/>
      <c r="P91" s="17"/>
      <c r="Q91" s="17"/>
      <c r="R91" s="17"/>
    </row>
    <row r="92" spans="1:18" ht="12">
      <c r="A92" t="s">
        <v>142</v>
      </c>
      <c r="B92" t="s">
        <v>184</v>
      </c>
      <c r="C92">
        <f>+'vs Bos'!C92+'vs Hou'!C92+'at Buf'!C92+'vs Bos(2)'!C92+'vs KC'!C92+'at Den'!C92+'at Oak'!C92+'vs Mia'!C92+'at KC'!C92+'vs Den'!C92+'vs Oak'!C92+'at Mia'!C92+'at Hou'!C92+'vs NY'!C92+'Gm 15'!C92+'Gm 16'!C92</f>
        <v>23</v>
      </c>
      <c r="D92">
        <f>+'vs Bos'!D92+'vs Hou'!D92+'at Buf'!D92+'vs Bos(2)'!D92+'vs KC'!D92+'at Den'!D92+'at Oak'!D92+'vs Mia'!D92+'at KC'!D92+'vs Den'!D92+'vs Oak'!D92+'at Mia'!D92+'at Hou'!D92+'vs NY'!D92+'Gm 15'!D92+'Gm 16'!D92</f>
        <v>94</v>
      </c>
      <c r="E92" s="12">
        <f t="shared" si="2"/>
        <v>4.086956521739131</v>
      </c>
      <c r="F92">
        <f>MAX('vs Bos'!F92,'vs Hou'!F92,'at Buf'!F92,'vs Bos(2)'!F92,'vs KC'!F92,'at Den'!F92,'at Oak'!F92,'vs Mia'!F92,'at KC'!F92,'vs Den'!F92,'vs Oak'!F92,'at Mia'!F92,'at Hou'!F92,'vs NY'!F92,'Gm 15'!F92,'Gm 16'!F92)</f>
        <v>20</v>
      </c>
      <c r="G92">
        <f>+'vs Bos'!G92+'vs Hou'!G92+'at Buf'!G92+'vs Bos(2)'!G92+'vs KC'!G92+'at Den'!G92+'at Oak'!G92+'vs Mia'!G92+'at KC'!G92+'vs Den'!G92+'vs Oak'!G92+'at Mia'!G92+'at Hou'!G92+'vs NY'!G92+'Gm 15'!G92+'Gm 16'!G92</f>
        <v>0</v>
      </c>
      <c r="H92">
        <f>+'vs Bos'!H92+'vs Hou'!H92+'at Buf'!H92+'vs Bos(2)'!H92+'vs KC'!H92+'at Den'!H92+'at Oak'!H92+'vs Mia'!H92+'at KC'!H92+'vs Den'!H92+'vs Oak'!H92+'at Mia'!H92+'at Hou'!H92+'vs NY'!H92+'Gm 15'!H92+'Gm 16'!H92</f>
        <v>0</v>
      </c>
      <c r="M92" s="12"/>
      <c r="P92" s="17"/>
      <c r="Q92" s="17"/>
      <c r="R92" s="17"/>
    </row>
    <row r="93" spans="1:13" ht="12">
      <c r="A93" t="s">
        <v>143</v>
      </c>
      <c r="B93" t="s">
        <v>184</v>
      </c>
      <c r="C93">
        <f>+'vs Bos'!C93+'vs Hou'!C93+'at Buf'!C93+'vs Bos(2)'!C93+'vs KC'!C93+'at Den'!C93+'at Oak'!C93+'vs Mia'!C93+'at KC'!C93+'vs Den'!C93+'vs Oak'!C93+'at Mia'!C93+'at Hou'!C93+'vs NY'!C93+'Gm 15'!C93+'Gm 16'!C93</f>
        <v>4</v>
      </c>
      <c r="D93">
        <f>+'vs Bos'!D93+'vs Hou'!D93+'at Buf'!D93+'vs Bos(2)'!D93+'vs KC'!D93+'at Den'!D93+'at Oak'!D93+'vs Mia'!D93+'at KC'!D93+'vs Den'!D93+'vs Oak'!D93+'at Mia'!D93+'at Hou'!D93+'vs NY'!D93+'Gm 15'!D93+'Gm 16'!D93</f>
        <v>21</v>
      </c>
      <c r="E93" s="12">
        <f t="shared" si="2"/>
        <v>5.25</v>
      </c>
      <c r="F93">
        <f>MAX('vs Bos'!F93,'vs Hou'!F93,'at Buf'!F93,'vs Bos(2)'!F93,'vs KC'!F93,'at Den'!F93,'at Oak'!F93,'vs Mia'!F93,'at KC'!F93,'vs Den'!F93,'vs Oak'!F93,'at Mia'!F93,'at Hou'!F93,'vs NY'!F93,'Gm 15'!F93,'Gm 16'!F93)</f>
        <v>9</v>
      </c>
      <c r="G93">
        <f>+'vs Bos'!G93+'vs Hou'!G93+'at Buf'!G93+'vs Bos(2)'!G93+'vs KC'!G93+'at Den'!G93+'at Oak'!G93+'vs Mia'!G93+'at KC'!G93+'vs Den'!G93+'vs Oak'!G93+'at Mia'!G93+'at Hou'!G93+'vs NY'!G93+'Gm 15'!G93+'Gm 16'!G93</f>
        <v>0</v>
      </c>
      <c r="H93">
        <f>+'vs Bos'!H93+'vs Hou'!H93+'at Buf'!H93+'vs Bos(2)'!H93+'vs KC'!H93+'at Den'!H93+'at Oak'!H93+'vs Mia'!H93+'at KC'!H93+'vs Den'!H93+'vs Oak'!H93+'at Mia'!H93+'at Hou'!H93+'vs NY'!H93+'Gm 15'!H93+'Gm 16'!H93</f>
        <v>0</v>
      </c>
      <c r="M93" s="12"/>
    </row>
    <row r="94" spans="3:13" ht="12">
      <c r="C94">
        <f>+'vs Bos'!C94+'vs Hou'!C94+'at Buf'!C94+'vs Bos(2)'!C94+'vs KC'!C94+'at Den'!C94+'at Oak'!C94+'vs Mia'!C94+'at KC'!C94+'vs Den'!C94+'vs Oak'!C94+'at Mia'!C94+'at Hou'!C94+'vs NY'!C94+'Gm 15'!C94+'Gm 16'!C94</f>
        <v>0</v>
      </c>
      <c r="D94">
        <f>+'vs Bos'!D94+'vs Hou'!D94+'at Buf'!D94+'vs Bos(2)'!D94+'vs KC'!D94+'at Den'!D94+'at Oak'!D94+'vs Mia'!D94+'at KC'!D94+'vs Den'!D94+'vs Oak'!D94+'at Mia'!D94+'at Hou'!D94+'vs NY'!D94+'Gm 15'!D94+'Gm 16'!D94</f>
        <v>0</v>
      </c>
      <c r="E94" s="12">
        <f t="shared" si="2"/>
        <v>0</v>
      </c>
      <c r="F94">
        <f>MAX('vs Bos'!F94,'vs Hou'!F94,'at Buf'!F94,'vs Bos(2)'!F94,'vs KC'!F94,'at Den'!F94,'at Oak'!F94,'vs Mia'!F94,'at KC'!F94,'vs Den'!F94,'vs Oak'!F94,'at Mia'!F94,'at Hou'!F94,'vs NY'!F94,'Gm 15'!F94,'Gm 16'!F94)</f>
        <v>0</v>
      </c>
      <c r="G94">
        <f>+'vs Bos'!G94+'vs Hou'!G94+'at Buf'!G94+'vs Bos(2)'!G94+'vs KC'!G94+'at Den'!G94+'at Oak'!G94+'vs Mia'!G94+'at KC'!G94+'vs Den'!G94+'vs Oak'!G94+'at Mia'!G94+'at Hou'!G94+'vs NY'!G94+'Gm 15'!G94+'Gm 16'!G94</f>
        <v>0</v>
      </c>
      <c r="H94">
        <f>+'vs Bos'!H94+'vs Hou'!H94+'at Buf'!H94+'vs Bos(2)'!H94+'vs KC'!H94+'at Den'!H94+'at Oak'!H94+'vs Mia'!H94+'at KC'!H94+'vs Den'!H94+'vs Oak'!H94+'at Mia'!H94+'at Hou'!H94+'vs NY'!H94+'Gm 15'!H94+'Gm 16'!H94</f>
        <v>0</v>
      </c>
      <c r="M94" s="12"/>
    </row>
    <row r="95" spans="3:13" ht="12">
      <c r="C95">
        <f>+'vs Bos'!C95+'vs Hou'!C95+'at Buf'!C95+'vs Bos(2)'!C95+'vs KC'!C95+'at Den'!C95+'at Oak'!C95+'vs Mia'!C95+'at KC'!C95+'vs Den'!C95+'vs Oak'!C95+'at Mia'!C95+'at Hou'!C95+'vs NY'!C95+'Gm 15'!C95+'Gm 16'!C95</f>
        <v>0</v>
      </c>
      <c r="D95">
        <f>+'vs Bos'!D95+'vs Hou'!D95+'at Buf'!D95+'vs Bos(2)'!D95+'vs KC'!D95+'at Den'!D95+'at Oak'!D95+'vs Mia'!D95+'at KC'!D95+'vs Den'!D95+'vs Oak'!D95+'at Mia'!D95+'at Hou'!D95+'vs NY'!D95+'Gm 15'!D95+'Gm 16'!D95</f>
        <v>0</v>
      </c>
      <c r="E95" s="12">
        <f>IF(C95=0,0,+D95/C95)</f>
        <v>0</v>
      </c>
      <c r="F95">
        <f>MAX('vs Bos'!F95,'vs Hou'!F95,'at Buf'!F95,'vs Bos(2)'!F95,'vs KC'!F95,'at Den'!F95,'at Oak'!F95,'vs Mia'!F95,'at KC'!F95,'vs Den'!F95,'vs Oak'!F95,'at Mia'!F95,'at Hou'!F95,'vs NY'!F95,'Gm 15'!F95,'Gm 16'!F95)</f>
        <v>0</v>
      </c>
      <c r="G95">
        <f>+'vs Bos'!G95+'vs Hou'!G95+'at Buf'!G95+'vs Bos(2)'!G95+'vs KC'!G95+'at Den'!G95+'at Oak'!G95+'vs Mia'!G95+'at KC'!G95+'vs Den'!G95+'vs Oak'!G95+'at Mia'!G95+'at Hou'!G95+'vs NY'!G95+'Gm 15'!G95+'Gm 16'!G95</f>
        <v>0</v>
      </c>
      <c r="H95">
        <f>+'vs Bos'!H95+'vs Hou'!H95+'at Buf'!H95+'vs Bos(2)'!H95+'vs KC'!H95+'at Den'!H95+'at Oak'!H95+'vs Mia'!H95+'at KC'!H95+'vs Den'!H95+'vs Oak'!H95+'at Mia'!H95+'at Hou'!H95+'vs NY'!H95+'Gm 15'!H95+'Gm 16'!H95</f>
        <v>0</v>
      </c>
      <c r="M95" s="12"/>
    </row>
    <row r="96" spans="3:13" ht="12">
      <c r="C96">
        <f>+'vs Bos'!C96+'vs Hou'!C96+'at Buf'!C96+'vs Bos(2)'!C96+'vs KC'!C96+'at Den'!C96+'at Oak'!C96+'vs Mia'!C96+'at KC'!C96+'vs Den'!C96+'vs Oak'!C96+'at Mia'!C96+'at Hou'!C96+'vs NY'!C96+'Gm 15'!C96+'Gm 16'!C96</f>
        <v>0</v>
      </c>
      <c r="D96">
        <f>+'vs Bos'!D96+'vs Hou'!D96+'at Buf'!D96+'vs Bos(2)'!D96+'vs KC'!D96+'at Den'!D96+'at Oak'!D96+'vs Mia'!D96+'at KC'!D96+'vs Den'!D96+'vs Oak'!D96+'at Mia'!D96+'at Hou'!D96+'vs NY'!D96+'Gm 15'!D96+'Gm 16'!D96</f>
        <v>0</v>
      </c>
      <c r="E96" s="12">
        <f>IF(C96=0,0,+D96/C96)</f>
        <v>0</v>
      </c>
      <c r="F96">
        <f>MAX('vs Bos'!F96,'vs Hou'!F96,'at Buf'!F96,'vs Bos(2)'!F96,'vs KC'!F96,'at Den'!F96,'at Oak'!F96,'vs Mia'!F96,'at KC'!F96,'vs Den'!F96,'vs Oak'!F96,'at Mia'!F96,'at Hou'!F96,'vs NY'!F96,'Gm 15'!F96,'Gm 16'!F96)</f>
        <v>0</v>
      </c>
      <c r="G96">
        <f>+'vs Bos'!G96+'vs Hou'!G96+'at Buf'!G96+'vs Bos(2)'!G96+'vs KC'!G96+'at Den'!G96+'at Oak'!G96+'vs Mia'!G96+'at KC'!G96+'vs Den'!G96+'vs Oak'!G96+'at Mia'!G96+'at Hou'!G96+'vs NY'!G96+'Gm 15'!G96+'Gm 16'!G96</f>
        <v>0</v>
      </c>
      <c r="H96">
        <f>+'vs Bos'!H96+'vs Hou'!H96+'at Buf'!H96+'vs Bos(2)'!H96+'vs KC'!H96+'at Den'!H96+'at Oak'!H96+'vs Mia'!H96+'at KC'!H96+'vs Den'!H96+'vs Oak'!H96+'at Mia'!H96+'at Hou'!H96+'vs NY'!H96+'Gm 15'!H96+'Gm 16'!H96</f>
        <v>0</v>
      </c>
      <c r="M96" s="12"/>
    </row>
    <row r="97" spans="3:13" ht="12">
      <c r="C97">
        <f>+'vs Bos'!C97+'vs Hou'!C97+'at Buf'!C97+'vs Bos(2)'!C97+'vs KC'!C97+'at Den'!C97+'at Oak'!C97+'vs Mia'!C97+'at KC'!C97+'vs Den'!C97+'vs Oak'!C97+'at Mia'!C97+'at Hou'!C97+'vs NY'!C97+'Gm 15'!C97+'Gm 16'!C97</f>
        <v>0</v>
      </c>
      <c r="D97">
        <f>+'vs Bos'!D97+'vs Hou'!D97+'at Buf'!D97+'vs Bos(2)'!D97+'vs KC'!D97+'at Den'!D97+'at Oak'!D97+'vs Mia'!D97+'at KC'!D97+'vs Den'!D97+'vs Oak'!D97+'at Mia'!D97+'at Hou'!D97+'vs NY'!D97+'Gm 15'!D97+'Gm 16'!D97</f>
        <v>0</v>
      </c>
      <c r="E97" s="12">
        <f>IF(C97=0,0,+D97/C97)</f>
        <v>0</v>
      </c>
      <c r="F97">
        <f>MAX('vs Bos'!F97,'vs Hou'!F97,'at Buf'!F97,'vs Bos(2)'!F97,'vs KC'!F97,'at Den'!F97,'at Oak'!F97,'vs Mia'!F97,'at KC'!F97,'vs Den'!F97,'vs Oak'!F97,'at Mia'!F97,'at Hou'!F97,'vs NY'!F97,'Gm 15'!F97,'Gm 16'!F97)</f>
        <v>0</v>
      </c>
      <c r="G97">
        <f>+'vs Bos'!G97+'vs Hou'!G97+'at Buf'!G97+'vs Bos(2)'!G97+'vs KC'!G97+'at Den'!G97+'at Oak'!G97+'vs Mia'!G97+'at KC'!G97+'vs Den'!G97+'vs Oak'!G97+'at Mia'!G97+'at Hou'!G97+'vs NY'!G97+'Gm 15'!G97+'Gm 16'!G97</f>
        <v>0</v>
      </c>
      <c r="H97">
        <f>+'vs Bos'!H97+'vs Hou'!H97+'at Buf'!H97+'vs Bos(2)'!H97+'vs KC'!H97+'at Den'!H97+'at Oak'!H97+'vs Mia'!H97+'at KC'!H97+'vs Den'!H97+'vs Oak'!H97+'at Mia'!H97+'at Hou'!H97+'vs NY'!H97+'Gm 15'!H97+'Gm 16'!H97</f>
        <v>0</v>
      </c>
      <c r="M97" s="12"/>
    </row>
    <row r="98" spans="5:13" ht="12">
      <c r="E98" s="12"/>
      <c r="M98" s="12"/>
    </row>
    <row r="99" ht="12">
      <c r="E99" s="8"/>
    </row>
    <row r="100" spans="1:1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  <c r="K100" s="3"/>
      <c r="L100" s="3"/>
      <c r="M100" s="15"/>
      <c r="N100" s="3"/>
      <c r="P100" s="3"/>
      <c r="Q100" s="3"/>
      <c r="R100" s="3"/>
    </row>
    <row r="101" spans="1:18" ht="12">
      <c r="A101" t="s">
        <v>134</v>
      </c>
      <c r="B101" t="s">
        <v>184</v>
      </c>
      <c r="C101">
        <f>+'vs Bos'!C101+'vs Hou'!C101+'at Buf'!C101+'vs Bos(2)'!C101+'vs KC'!C101+'at Den'!C101+'at Oak'!C101+'vs Mia'!C101+'at KC'!C101+'vs Den'!C101+'vs Oak'!C101+'at Mia'!C101+'at Hou'!C101+'vs NY'!C101+'Gm 15'!C101+'Gm 16'!C101</f>
        <v>54</v>
      </c>
      <c r="D101">
        <f>+'vs Bos'!D101+'vs Hou'!D101+'at Buf'!D101+'vs Bos(2)'!D101+'vs KC'!D101+'at Den'!D101+'at Oak'!D101+'vs Mia'!D101+'at KC'!D101+'vs Den'!D101+'vs Oak'!D101+'at Mia'!D101+'at Hou'!D101+'vs NY'!D101+'Gm 15'!D101+'Gm 16'!D101</f>
        <v>944</v>
      </c>
      <c r="E101" s="12">
        <f aca="true" t="shared" si="3" ref="E101:E114">IF(C101=0,0,+D101/C101)</f>
        <v>17.48148148148148</v>
      </c>
      <c r="F101">
        <f>MAX('vs Bos'!F101,'vs Hou'!F101,'at Buf'!F101,'vs Bos(2)'!F101,'vs KC'!F101,'at Den'!F101,'at Oak'!F101,'vs Mia'!F101,'at KC'!F101,'vs Den'!F101,'vs Oak'!F101,'at Mia'!F101,'at Hou'!F101,'vs NY'!F101,'Gm 15'!F101,'Gm 16'!F101)</f>
        <v>77</v>
      </c>
      <c r="G101">
        <f>+'vs Bos'!G101+'vs Hou'!G101+'at Buf'!G101+'vs Bos(2)'!G101+'vs KC'!G101+'at Den'!G101+'at Oak'!G101+'vs Mia'!G101+'at KC'!G101+'vs Den'!G101+'vs Oak'!G101+'at Mia'!G101+'at Hou'!G101+'vs NY'!G101+'Gm 15'!G101+'Gm 16'!G101</f>
        <v>5</v>
      </c>
      <c r="H101">
        <f>+'vs Bos'!H101+'vs Hou'!H101+'at Buf'!H101+'vs Bos(2)'!H101+'vs KC'!H101+'at Den'!H101+'at Oak'!H101+'vs Mia'!H101+'at KC'!H101+'vs Den'!H101+'vs Oak'!H101+'at Mia'!H101+'at Hou'!H101+'vs NY'!H101+'Gm 15'!H101+'Gm 16'!H101</f>
        <v>0</v>
      </c>
      <c r="M101" s="12"/>
      <c r="P101" s="17"/>
      <c r="Q101" s="17"/>
      <c r="R101" s="17"/>
    </row>
    <row r="102" spans="1:18" ht="12">
      <c r="A102" t="s">
        <v>135</v>
      </c>
      <c r="B102" t="s">
        <v>184</v>
      </c>
      <c r="C102">
        <f>+'vs Bos'!C102+'vs Hou'!C102+'at Buf'!C102+'vs Bos(2)'!C102+'vs KC'!C102+'at Den'!C102+'at Oak'!C102+'vs Mia'!C102+'at KC'!C102+'vs Den'!C102+'vs Oak'!C102+'at Mia'!C102+'at Hou'!C102+'vs NY'!C102+'Gm 15'!C102+'Gm 16'!C102</f>
        <v>11</v>
      </c>
      <c r="D102">
        <f>+'vs Bos'!D102+'vs Hou'!D102+'at Buf'!D102+'vs Bos(2)'!D102+'vs KC'!D102+'at Den'!D102+'at Oak'!D102+'vs Mia'!D102+'at KC'!D102+'vs Den'!D102+'vs Oak'!D102+'at Mia'!D102+'at Hou'!D102+'vs NY'!D102+'Gm 15'!D102+'Gm 16'!D102</f>
        <v>131</v>
      </c>
      <c r="E102" s="12">
        <f t="shared" si="3"/>
        <v>11.909090909090908</v>
      </c>
      <c r="F102">
        <f>MAX('vs Bos'!F102,'vs Hou'!F102,'at Buf'!F102,'vs Bos(2)'!F102,'vs KC'!F102,'at Den'!F102,'at Oak'!F102,'vs Mia'!F102,'at KC'!F102,'vs Den'!F102,'vs Oak'!F102,'at Mia'!F102,'at Hou'!F102,'vs NY'!F102,'Gm 15'!F102,'Gm 16'!F102)</f>
        <v>33</v>
      </c>
      <c r="G102">
        <f>+'vs Bos'!G102+'vs Hou'!G102+'at Buf'!G102+'vs Bos(2)'!G102+'vs KC'!G102+'at Den'!G102+'at Oak'!G102+'vs Mia'!G102+'at KC'!G102+'vs Den'!G102+'vs Oak'!G102+'at Mia'!G102+'at Hou'!G102+'vs NY'!G102+'Gm 15'!G102+'Gm 16'!G102</f>
        <v>1</v>
      </c>
      <c r="H102">
        <f>+'vs Bos'!H102+'vs Hou'!H102+'at Buf'!H102+'vs Bos(2)'!H102+'vs KC'!H102+'at Den'!H102+'at Oak'!H102+'vs Mia'!H102+'at KC'!H102+'vs Den'!H102+'vs Oak'!H102+'at Mia'!H102+'at Hou'!H102+'vs NY'!H102+'Gm 15'!H102+'Gm 16'!H102</f>
        <v>0</v>
      </c>
      <c r="M102" s="12"/>
      <c r="P102" s="17"/>
      <c r="Q102" s="17"/>
      <c r="R102" s="17"/>
    </row>
    <row r="103" spans="1:18" ht="12">
      <c r="A103" t="s">
        <v>144</v>
      </c>
      <c r="B103" t="s">
        <v>184</v>
      </c>
      <c r="C103">
        <f>+'vs Bos'!C103+'vs Hou'!C103+'at Buf'!C103+'vs Bos(2)'!C103+'vs KC'!C103+'at Den'!C103+'at Oak'!C103+'vs Mia'!C103+'at KC'!C103+'vs Den'!C103+'vs Oak'!C103+'at Mia'!C103+'at Hou'!C103+'vs NY'!C103+'Gm 15'!C103+'Gm 16'!C103</f>
        <v>68</v>
      </c>
      <c r="D103">
        <f>+'vs Bos'!D103+'vs Hou'!D103+'at Buf'!D103+'vs Bos(2)'!D103+'vs KC'!D103+'at Den'!D103+'at Oak'!D103+'vs Mia'!D103+'at KC'!D103+'vs Den'!D103+'vs Oak'!D103+'at Mia'!D103+'at Hou'!D103+'vs NY'!D103+'Gm 15'!D103+'Gm 16'!D103</f>
        <v>919</v>
      </c>
      <c r="E103" s="12">
        <f t="shared" si="3"/>
        <v>13.514705882352942</v>
      </c>
      <c r="F103">
        <f>MAX('vs Bos'!F103,'vs Hou'!F103,'at Buf'!F103,'vs Bos(2)'!F103,'vs KC'!F103,'at Den'!F103,'at Oak'!F103,'vs Mia'!F103,'at KC'!F103,'vs Den'!F103,'vs Oak'!F103,'at Mia'!F103,'at Hou'!F103,'vs NY'!F103,'Gm 15'!F103,'Gm 16'!F103)</f>
        <v>73</v>
      </c>
      <c r="G103">
        <f>+'vs Bos'!G103+'vs Hou'!G103+'at Buf'!G103+'vs Bos(2)'!G103+'vs KC'!G103+'at Den'!G103+'at Oak'!G103+'vs Mia'!G103+'at KC'!G103+'vs Den'!G103+'vs Oak'!G103+'at Mia'!G103+'at Hou'!G103+'vs NY'!G103+'Gm 15'!G103+'Gm 16'!G103</f>
        <v>9</v>
      </c>
      <c r="H103">
        <f>+'vs Bos'!H103+'vs Hou'!H103+'at Buf'!H103+'vs Bos(2)'!H103+'vs KC'!H103+'at Den'!H103+'at Oak'!H103+'vs Mia'!H103+'at KC'!H103+'vs Den'!H103+'vs Oak'!H103+'at Mia'!H103+'at Hou'!H103+'vs NY'!H103+'Gm 15'!H103+'Gm 16'!H103</f>
        <v>3</v>
      </c>
      <c r="M103" s="12"/>
      <c r="P103" s="17"/>
      <c r="Q103" s="17"/>
      <c r="R103" s="17"/>
    </row>
    <row r="104" spans="1:18" ht="12">
      <c r="A104" t="s">
        <v>136</v>
      </c>
      <c r="B104" t="s">
        <v>184</v>
      </c>
      <c r="C104">
        <f>+'vs Bos'!C104+'vs Hou'!C104+'at Buf'!C104+'vs Bos(2)'!C104+'vs KC'!C104+'at Den'!C104+'at Oak'!C104+'vs Mia'!C104+'at KC'!C104+'vs Den'!C104+'vs Oak'!C104+'at Mia'!C104+'at Hou'!C104+'vs NY'!C104+'Gm 15'!C104+'Gm 16'!C104</f>
        <v>42</v>
      </c>
      <c r="D104">
        <f>+'vs Bos'!D104+'vs Hou'!D104+'at Buf'!D104+'vs Bos(2)'!D104+'vs KC'!D104+'at Den'!D104+'at Oak'!D104+'vs Mia'!D104+'at KC'!D104+'vs Den'!D104+'vs Oak'!D104+'at Mia'!D104+'at Hou'!D104+'vs NY'!D104+'Gm 15'!D104+'Gm 16'!D104</f>
        <v>758</v>
      </c>
      <c r="E104" s="12">
        <f t="shared" si="3"/>
        <v>18.047619047619047</v>
      </c>
      <c r="F104">
        <f>MAX('vs Bos'!F104,'vs Hou'!F104,'at Buf'!F104,'vs Bos(2)'!F104,'vs KC'!F104,'at Den'!F104,'at Oak'!F104,'vs Mia'!F104,'at KC'!F104,'vs Den'!F104,'vs Oak'!F104,'at Mia'!F104,'at Hou'!F104,'vs NY'!F104,'Gm 15'!F104,'Gm 16'!F104)</f>
        <v>66</v>
      </c>
      <c r="G104">
        <f>+'vs Bos'!G104+'vs Hou'!G104+'at Buf'!G104+'vs Bos(2)'!G104+'vs KC'!G104+'at Den'!G104+'at Oak'!G104+'vs Mia'!G104+'at KC'!G104+'vs Den'!G104+'vs Oak'!G104+'at Mia'!G104+'at Hou'!G104+'vs NY'!G104+'Gm 15'!G104+'Gm 16'!G104</f>
        <v>7</v>
      </c>
      <c r="H104">
        <f>+'vs Bos'!H104+'vs Hou'!H104+'at Buf'!H104+'vs Bos(2)'!H104+'vs KC'!H104+'at Den'!H104+'at Oak'!H104+'vs Mia'!H104+'at KC'!H104+'vs Den'!H104+'vs Oak'!H104+'at Mia'!H104+'at Hou'!H104+'vs NY'!H104+'Gm 15'!H104+'Gm 16'!H104</f>
        <v>0</v>
      </c>
      <c r="M104" s="12"/>
      <c r="P104" s="17"/>
      <c r="Q104" s="17"/>
      <c r="R104" s="17"/>
    </row>
    <row r="105" spans="1:18" ht="12">
      <c r="A105" t="s">
        <v>138</v>
      </c>
      <c r="B105" t="s">
        <v>184</v>
      </c>
      <c r="C105">
        <f>+'vs Bos'!C105+'vs Hou'!C105+'at Buf'!C105+'vs Bos(2)'!C105+'vs KC'!C105+'at Den'!C105+'at Oak'!C105+'vs Mia'!C105+'at KC'!C105+'vs Den'!C105+'vs Oak'!C105+'at Mia'!C105+'at Hou'!C105+'vs NY'!C105+'Gm 15'!C105+'Gm 16'!C105</f>
        <v>16</v>
      </c>
      <c r="D105">
        <f>+'vs Bos'!D105+'vs Hou'!D105+'at Buf'!D105+'vs Bos(2)'!D105+'vs KC'!D105+'at Den'!D105+'at Oak'!D105+'vs Mia'!D105+'at KC'!D105+'vs Den'!D105+'vs Oak'!D105+'at Mia'!D105+'at Hou'!D105+'vs NY'!D105+'Gm 15'!D105+'Gm 16'!D105</f>
        <v>231</v>
      </c>
      <c r="E105" s="12">
        <f t="shared" si="3"/>
        <v>14.4375</v>
      </c>
      <c r="F105">
        <f>MAX('vs Bos'!F105,'vs Hou'!F105,'at Buf'!F105,'vs Bos(2)'!F105,'vs KC'!F105,'at Den'!F105,'at Oak'!F105,'vs Mia'!F105,'at KC'!F105,'vs Den'!F105,'vs Oak'!F105,'at Mia'!F105,'at Hou'!F105,'vs NY'!F105,'Gm 15'!F105,'Gm 16'!F105)</f>
        <v>41</v>
      </c>
      <c r="G105">
        <f>+'vs Bos'!G105+'vs Hou'!G105+'at Buf'!G105+'vs Bos(2)'!G105+'vs KC'!G105+'at Den'!G105+'at Oak'!G105+'vs Mia'!G105+'at KC'!G105+'vs Den'!G105+'vs Oak'!G105+'at Mia'!G105+'at Hou'!G105+'vs NY'!G105+'Gm 15'!G105+'Gm 16'!G105</f>
        <v>3</v>
      </c>
      <c r="H105">
        <f>+'vs Bos'!H105+'vs Hou'!H105+'at Buf'!H105+'vs Bos(2)'!H105+'vs KC'!H105+'at Den'!H105+'at Oak'!H105+'vs Mia'!H105+'at KC'!H105+'vs Den'!H105+'vs Oak'!H105+'at Mia'!H105+'at Hou'!H105+'vs NY'!H105+'Gm 15'!H105+'Gm 16'!H105</f>
        <v>0</v>
      </c>
      <c r="M105" s="12"/>
      <c r="P105" s="17"/>
      <c r="Q105" s="17"/>
      <c r="R105" s="17"/>
    </row>
    <row r="106" spans="1:18" ht="12">
      <c r="A106" t="s">
        <v>139</v>
      </c>
      <c r="B106" t="s">
        <v>184</v>
      </c>
      <c r="C106">
        <f>+'vs Bos'!C106+'vs Hou'!C106+'at Buf'!C106+'vs Bos(2)'!C106+'vs KC'!C106+'at Den'!C106+'at Oak'!C106+'vs Mia'!C106+'at KC'!C106+'vs Den'!C106+'vs Oak'!C106+'at Mia'!C106+'at Hou'!C106+'vs NY'!C106+'Gm 15'!C106+'Gm 16'!C106</f>
        <v>2</v>
      </c>
      <c r="D106">
        <f>+'vs Bos'!D106+'vs Hou'!D106+'at Buf'!D106+'vs Bos(2)'!D106+'vs KC'!D106+'at Den'!D106+'at Oak'!D106+'vs Mia'!D106+'at KC'!D106+'vs Den'!D106+'vs Oak'!D106+'at Mia'!D106+'at Hou'!D106+'vs NY'!D106+'Gm 15'!D106+'Gm 16'!D106</f>
        <v>19</v>
      </c>
      <c r="E106" s="12">
        <f t="shared" si="3"/>
        <v>9.5</v>
      </c>
      <c r="F106">
        <f>MAX('vs Bos'!F106,'vs Hou'!F106,'at Buf'!F106,'vs Bos(2)'!F106,'vs KC'!F106,'at Den'!F106,'at Oak'!F106,'vs Mia'!F106,'at KC'!F106,'vs Den'!F106,'vs Oak'!F106,'at Mia'!F106,'at Hou'!F106,'vs NY'!F106,'Gm 15'!F106,'Gm 16'!F106)</f>
        <v>13</v>
      </c>
      <c r="G106">
        <f>+'vs Bos'!G106+'vs Hou'!G106+'at Buf'!G106+'vs Bos(2)'!G106+'vs KC'!G106+'at Den'!G106+'at Oak'!G106+'vs Mia'!G106+'at KC'!G106+'vs Den'!G106+'vs Oak'!G106+'at Mia'!G106+'at Hou'!G106+'vs NY'!G106+'Gm 15'!G106+'Gm 16'!G106</f>
        <v>0</v>
      </c>
      <c r="H106">
        <f>+'vs Bos'!H106+'vs Hou'!H106+'at Buf'!H106+'vs Bos(2)'!H106+'vs KC'!H106+'at Den'!H106+'at Oak'!H106+'vs Mia'!H106+'at KC'!H106+'vs Den'!H106+'vs Oak'!H106+'at Mia'!H106+'at Hou'!H106+'vs NY'!H106+'Gm 15'!H106+'Gm 16'!H106</f>
        <v>0</v>
      </c>
      <c r="M106" s="12"/>
      <c r="P106" s="17"/>
      <c r="Q106" s="17"/>
      <c r="R106" s="17"/>
    </row>
    <row r="107" spans="1:18" ht="12">
      <c r="A107" t="s">
        <v>145</v>
      </c>
      <c r="B107" t="s">
        <v>184</v>
      </c>
      <c r="C107">
        <f>+'vs Bos'!C107+'vs Hou'!C107+'at Buf'!C107+'vs Bos(2)'!C107+'vs KC'!C107+'at Den'!C107+'at Oak'!C107+'vs Mia'!C107+'at KC'!C107+'vs Den'!C107+'vs Oak'!C107+'at Mia'!C107+'at Hou'!C107+'vs NY'!C107+'Gm 15'!C107+'Gm 16'!C107</f>
        <v>8</v>
      </c>
      <c r="D107">
        <f>+'vs Bos'!D107+'vs Hou'!D107+'at Buf'!D107+'vs Bos(2)'!D107+'vs KC'!D107+'at Den'!D107+'at Oak'!D107+'vs Mia'!D107+'at KC'!D107+'vs Den'!D107+'vs Oak'!D107+'at Mia'!D107+'at Hou'!D107+'vs NY'!D107+'Gm 15'!D107+'Gm 16'!D107</f>
        <v>165</v>
      </c>
      <c r="E107" s="12">
        <f t="shared" si="3"/>
        <v>20.625</v>
      </c>
      <c r="F107">
        <f>MAX('vs Bos'!F107,'vs Hou'!F107,'at Buf'!F107,'vs Bos(2)'!F107,'vs KC'!F107,'at Den'!F107,'at Oak'!F107,'vs Mia'!F107,'at KC'!F107,'vs Den'!F107,'vs Oak'!F107,'at Mia'!F107,'at Hou'!F107,'vs NY'!F107,'Gm 15'!F107,'Gm 16'!F107)</f>
        <v>38</v>
      </c>
      <c r="G107">
        <f>+'vs Bos'!G107+'vs Hou'!G107+'at Buf'!G107+'vs Bos(2)'!G107+'vs KC'!G107+'at Den'!G107+'at Oak'!G107+'vs Mia'!G107+'at KC'!G107+'vs Den'!G107+'vs Oak'!G107+'at Mia'!G107+'at Hou'!G107+'vs NY'!G107+'Gm 15'!G107+'Gm 16'!G107</f>
        <v>1</v>
      </c>
      <c r="H107">
        <f>+'vs Bos'!H107+'vs Hou'!H107+'at Buf'!H107+'vs Bos(2)'!H107+'vs KC'!H107+'at Den'!H107+'at Oak'!H107+'vs Mia'!H107+'at KC'!H107+'vs Den'!H107+'vs Oak'!H107+'at Mia'!H107+'at Hou'!H107+'vs NY'!H107+'Gm 15'!H107+'Gm 16'!H107</f>
        <v>0</v>
      </c>
      <c r="M107" s="12"/>
      <c r="P107" s="17"/>
      <c r="Q107" s="17"/>
      <c r="R107" s="17"/>
    </row>
    <row r="108" spans="1:18" ht="12">
      <c r="A108" t="s">
        <v>146</v>
      </c>
      <c r="B108" t="s">
        <v>184</v>
      </c>
      <c r="C108">
        <f>+'vs Bos'!C108+'vs Hou'!C108+'at Buf'!C108+'vs Bos(2)'!C108+'vs KC'!C108+'at Den'!C108+'at Oak'!C108+'vs Mia'!C108+'at KC'!C108+'vs Den'!C108+'vs Oak'!C108+'at Mia'!C108+'at Hou'!C108+'vs NY'!C108+'Gm 15'!C108+'Gm 16'!C108</f>
        <v>6</v>
      </c>
      <c r="D108">
        <f>+'vs Bos'!D108+'vs Hou'!D108+'at Buf'!D108+'vs Bos(2)'!D108+'vs KC'!D108+'at Den'!D108+'at Oak'!D108+'vs Mia'!D108+'at KC'!D108+'vs Den'!D108+'vs Oak'!D108+'at Mia'!D108+'at Hou'!D108+'vs NY'!D108+'Gm 15'!D108+'Gm 16'!D108</f>
        <v>57</v>
      </c>
      <c r="E108" s="12">
        <f t="shared" si="3"/>
        <v>9.5</v>
      </c>
      <c r="F108">
        <f>MAX('vs Bos'!F108,'vs Hou'!F108,'at Buf'!F108,'vs Bos(2)'!F108,'vs KC'!F108,'at Den'!F108,'at Oak'!F108,'vs Mia'!F108,'at KC'!F108,'vs Den'!F108,'vs Oak'!F108,'at Mia'!F108,'at Hou'!F108,'vs NY'!F108,'Gm 15'!F108,'Gm 16'!F108)</f>
        <v>15</v>
      </c>
      <c r="G108">
        <f>+'vs Bos'!G108+'vs Hou'!G108+'at Buf'!G108+'vs Bos(2)'!G108+'vs KC'!G108+'at Den'!G108+'at Oak'!G108+'vs Mia'!G108+'at KC'!G108+'vs Den'!G108+'vs Oak'!G108+'at Mia'!G108+'at Hou'!G108+'vs NY'!G108+'Gm 15'!G108+'Gm 16'!G108</f>
        <v>0</v>
      </c>
      <c r="H108">
        <f>+'vs Bos'!H108+'vs Hou'!H108+'at Buf'!H108+'vs Bos(2)'!H108+'vs KC'!H108+'at Den'!H108+'at Oak'!H108+'vs Mia'!H108+'at KC'!H108+'vs Den'!H108+'vs Oak'!H108+'at Mia'!H108+'at Hou'!H108+'vs NY'!H108+'Gm 15'!H108+'Gm 16'!H108</f>
        <v>0</v>
      </c>
      <c r="M108" s="12"/>
      <c r="P108" s="17"/>
      <c r="Q108" s="17"/>
      <c r="R108" s="17"/>
    </row>
    <row r="109" spans="1:18" ht="12">
      <c r="A109" t="s">
        <v>140</v>
      </c>
      <c r="B109" t="s">
        <v>184</v>
      </c>
      <c r="C109">
        <f>+'vs Bos'!C109+'vs Hou'!C109+'at Buf'!C109+'vs Bos(2)'!C109+'vs KC'!C109+'at Den'!C109+'at Oak'!C109+'vs Mia'!C109+'at KC'!C109+'vs Den'!C109+'vs Oak'!C109+'at Mia'!C109+'at Hou'!C109+'vs NY'!C109+'Gm 15'!C109+'Gm 16'!C109</f>
        <v>35</v>
      </c>
      <c r="D109">
        <f>+'vs Bos'!D109+'vs Hou'!D109+'at Buf'!D109+'vs Bos(2)'!D109+'vs KC'!D109+'at Den'!D109+'at Oak'!D109+'vs Mia'!D109+'at KC'!D109+'vs Den'!D109+'vs Oak'!D109+'at Mia'!D109+'at Hou'!D109+'vs NY'!D109+'Gm 15'!D109+'Gm 16'!D109</f>
        <v>314</v>
      </c>
      <c r="E109" s="12">
        <f t="shared" si="3"/>
        <v>8.971428571428572</v>
      </c>
      <c r="F109">
        <f>MAX('vs Bos'!F109,'vs Hou'!F109,'at Buf'!F109,'vs Bos(2)'!F109,'vs KC'!F109,'at Den'!F109,'at Oak'!F109,'vs Mia'!F109,'at KC'!F109,'vs Den'!F109,'vs Oak'!F109,'at Mia'!F109,'at Hou'!F109,'vs NY'!F109,'Gm 15'!F109,'Gm 16'!F109)</f>
        <v>20</v>
      </c>
      <c r="G109">
        <f>+'vs Bos'!G109+'vs Hou'!G109+'at Buf'!G109+'vs Bos(2)'!G109+'vs KC'!G109+'at Den'!G109+'at Oak'!G109+'vs Mia'!G109+'at KC'!G109+'vs Den'!G109+'vs Oak'!G109+'at Mia'!G109+'at Hou'!G109+'vs NY'!G109+'Gm 15'!G109+'Gm 16'!G109</f>
        <v>1</v>
      </c>
      <c r="H109">
        <f>+'vs Bos'!H109+'vs Hou'!H109+'at Buf'!H109+'vs Bos(2)'!H109+'vs KC'!H109+'at Den'!H109+'at Oak'!H109+'vs Mia'!H109+'at KC'!H109+'vs Den'!H109+'vs Oak'!H109+'at Mia'!H109+'at Hou'!H109+'vs NY'!H109+'Gm 15'!H109+'Gm 16'!H109</f>
        <v>0</v>
      </c>
      <c r="M109" s="12"/>
      <c r="P109" s="17"/>
      <c r="Q109" s="17"/>
      <c r="R109" s="17"/>
    </row>
    <row r="110" spans="1:18" ht="12">
      <c r="A110" t="s">
        <v>142</v>
      </c>
      <c r="B110" t="s">
        <v>184</v>
      </c>
      <c r="C110">
        <f>+'vs Bos'!C110+'vs Hou'!C110+'at Buf'!C110+'vs Bos(2)'!C110+'vs KC'!C110+'at Den'!C110+'at Oak'!C110+'vs Mia'!C110+'at KC'!C110+'vs Den'!C110+'vs Oak'!C110+'at Mia'!C110+'at Hou'!C110+'vs NY'!C110+'Gm 15'!C110+'Gm 16'!C110</f>
        <v>2</v>
      </c>
      <c r="D110">
        <f>+'vs Bos'!D110+'vs Hou'!D110+'at Buf'!D110+'vs Bos(2)'!D110+'vs KC'!D110+'at Den'!D110+'at Oak'!D110+'vs Mia'!D110+'at KC'!D110+'vs Den'!D110+'vs Oak'!D110+'at Mia'!D110+'at Hou'!D110+'vs NY'!D110+'Gm 15'!D110+'Gm 16'!D110</f>
        <v>6</v>
      </c>
      <c r="E110" s="12">
        <f t="shared" si="3"/>
        <v>3</v>
      </c>
      <c r="F110">
        <f>MAX('vs Bos'!F110,'vs Hou'!F110,'at Buf'!F110,'vs Bos(2)'!F110,'vs KC'!F110,'at Den'!F110,'at Oak'!F110,'vs Mia'!F110,'at KC'!F110,'vs Den'!F110,'vs Oak'!F110,'at Mia'!F110,'at Hou'!F110,'vs NY'!F110,'Gm 15'!F110,'Gm 16'!F110)</f>
        <v>5</v>
      </c>
      <c r="G110">
        <f>+'vs Bos'!G110+'vs Hou'!G110+'at Buf'!G110+'vs Bos(2)'!G110+'vs KC'!G110+'at Den'!G110+'at Oak'!G110+'vs Mia'!G110+'at KC'!G110+'vs Den'!G110+'vs Oak'!G110+'at Mia'!G110+'at Hou'!G110+'vs NY'!G110+'Gm 15'!G110+'Gm 16'!G110</f>
        <v>2</v>
      </c>
      <c r="H110">
        <f>+'vs Bos'!H110+'vs Hou'!H110+'at Buf'!H110+'vs Bos(2)'!H110+'vs KC'!H110+'at Den'!H110+'at Oak'!H110+'vs Mia'!H110+'at KC'!H110+'vs Den'!H110+'vs Oak'!H110+'at Mia'!H110+'at Hou'!H110+'vs NY'!H110+'Gm 15'!H110+'Gm 16'!H110</f>
        <v>0</v>
      </c>
      <c r="M110" s="12"/>
      <c r="P110" s="17"/>
      <c r="Q110" s="17"/>
      <c r="R110" s="17"/>
    </row>
    <row r="111" spans="3:18" ht="12">
      <c r="C111">
        <f>+'vs Bos'!C111+'vs Hou'!C111+'at Buf'!C111+'vs Bos(2)'!C111+'vs KC'!C111+'at Den'!C111+'at Oak'!C111+'vs Mia'!C111+'at KC'!C111+'vs Den'!C111+'vs Oak'!C111+'at Mia'!C111+'at Hou'!C111+'vs NY'!C111+'Gm 15'!C111+'Gm 16'!C111</f>
        <v>0</v>
      </c>
      <c r="D111">
        <f>+'vs Bos'!D111+'vs Hou'!D111+'at Buf'!D111+'vs Bos(2)'!D111+'vs KC'!D111+'at Den'!D111+'at Oak'!D111+'vs Mia'!D111+'at KC'!D111+'vs Den'!D111+'vs Oak'!D111+'at Mia'!D111+'at Hou'!D111+'vs NY'!D111+'Gm 15'!D111+'Gm 16'!D111</f>
        <v>0</v>
      </c>
      <c r="E111" s="12">
        <f t="shared" si="3"/>
        <v>0</v>
      </c>
      <c r="F111">
        <f>MAX('vs Bos'!F111,'vs Hou'!F111,'at Buf'!F111,'vs Bos(2)'!F111,'vs KC'!F111,'at Den'!F111,'at Oak'!F111,'vs Mia'!F111,'at KC'!F111,'vs Den'!F111,'vs Oak'!F111,'at Mia'!F111,'at Hou'!F111,'vs NY'!F111,'Gm 15'!F111,'Gm 16'!F111)</f>
        <v>0</v>
      </c>
      <c r="G111">
        <f>+'vs Bos'!G111+'vs Hou'!G111+'at Buf'!G111+'vs Bos(2)'!G111+'vs KC'!G111+'at Den'!G111+'at Oak'!G111+'vs Mia'!G111+'at KC'!G111+'vs Den'!G111+'vs Oak'!G111+'at Mia'!G111+'at Hou'!G111+'vs NY'!G111+'Gm 15'!G111+'Gm 16'!G111</f>
        <v>0</v>
      </c>
      <c r="H111">
        <f>+'vs Bos'!H111+'vs Hou'!H111+'at Buf'!H111+'vs Bos(2)'!H111+'vs KC'!H111+'at Den'!H111+'at Oak'!H111+'vs Mia'!H111+'at KC'!H111+'vs Den'!H111+'vs Oak'!H111+'at Mia'!H111+'at Hou'!H111+'vs NY'!H111+'Gm 15'!H111+'Gm 16'!H111</f>
        <v>0</v>
      </c>
      <c r="M111" s="12"/>
      <c r="P111" s="17"/>
      <c r="Q111" s="17"/>
      <c r="R111" s="17"/>
    </row>
    <row r="112" spans="3:18" ht="12">
      <c r="C112">
        <f>+'vs Bos'!C112+'vs Hou'!C112+'at Buf'!C112+'vs Bos(2)'!C112+'vs KC'!C112+'at Den'!C112+'at Oak'!C112+'vs Mia'!C112+'at KC'!C112+'vs Den'!C112+'vs Oak'!C112+'at Mia'!C112+'at Hou'!C112+'vs NY'!C112+'Gm 15'!C112+'Gm 16'!C112</f>
        <v>0</v>
      </c>
      <c r="D112">
        <f>+'vs Bos'!D112+'vs Hou'!D112+'at Buf'!D112+'vs Bos(2)'!D112+'vs KC'!D112+'at Den'!D112+'at Oak'!D112+'vs Mia'!D112+'at KC'!D112+'vs Den'!D112+'vs Oak'!D112+'at Mia'!D112+'at Hou'!D112+'vs NY'!D112+'Gm 15'!D112+'Gm 16'!D112</f>
        <v>0</v>
      </c>
      <c r="E112" s="12">
        <f t="shared" si="3"/>
        <v>0</v>
      </c>
      <c r="F112">
        <f>MAX('vs Bos'!F112,'vs Hou'!F112,'at Buf'!F112,'vs Bos(2)'!F112,'vs KC'!F112,'at Den'!F112,'at Oak'!F112,'vs Mia'!F112,'at KC'!F112,'vs Den'!F112,'vs Oak'!F112,'at Mia'!F112,'at Hou'!F112,'vs NY'!F112,'Gm 15'!F112,'Gm 16'!F112)</f>
        <v>0</v>
      </c>
      <c r="G112">
        <f>+'vs Bos'!G112+'vs Hou'!G112+'at Buf'!G112+'vs Bos(2)'!G112+'vs KC'!G112+'at Den'!G112+'at Oak'!G112+'vs Mia'!G112+'at KC'!G112+'vs Den'!G112+'vs Oak'!G112+'at Mia'!G112+'at Hou'!G112+'vs NY'!G112+'Gm 15'!G112+'Gm 16'!G112</f>
        <v>0</v>
      </c>
      <c r="H112">
        <f>+'vs Bos'!H112+'vs Hou'!H112+'at Buf'!H112+'vs Bos(2)'!H112+'vs KC'!H112+'at Den'!H112+'at Oak'!H112+'vs Mia'!H112+'at KC'!H112+'vs Den'!H112+'vs Oak'!H112+'at Mia'!H112+'at Hou'!H112+'vs NY'!H112+'Gm 15'!H112+'Gm 16'!H112</f>
        <v>0</v>
      </c>
      <c r="M112" s="12"/>
      <c r="P112" s="17"/>
      <c r="Q112" s="17"/>
      <c r="R112" s="17"/>
    </row>
    <row r="113" spans="3:18" ht="12">
      <c r="C113">
        <f>+'vs Bos'!C113+'vs Hou'!C113+'at Buf'!C113+'vs Bos(2)'!C113+'vs KC'!C113+'at Den'!C113+'at Oak'!C113+'vs Mia'!C113+'at KC'!C113+'vs Den'!C113+'vs Oak'!C113+'at Mia'!C113+'at Hou'!C113+'vs NY'!C113+'Gm 15'!C113+'Gm 16'!C113</f>
        <v>0</v>
      </c>
      <c r="D113">
        <f>+'vs Bos'!D113+'vs Hou'!D113+'at Buf'!D113+'vs Bos(2)'!D113+'vs KC'!D113+'at Den'!D113+'at Oak'!D113+'vs Mia'!D113+'at KC'!D113+'vs Den'!D113+'vs Oak'!D113+'at Mia'!D113+'at Hou'!D113+'vs NY'!D113+'Gm 15'!D113+'Gm 16'!D113</f>
        <v>0</v>
      </c>
      <c r="E113" s="12">
        <f t="shared" si="3"/>
        <v>0</v>
      </c>
      <c r="F113">
        <f>MAX('vs Bos'!F113,'vs Hou'!F113,'at Buf'!F113,'vs Bos(2)'!F113,'vs KC'!F113,'at Den'!F113,'at Oak'!F113,'vs Mia'!F113,'at KC'!F113,'vs Den'!F113,'vs Oak'!F113,'at Mia'!F113,'at Hou'!F113,'vs NY'!F113,'Gm 15'!F113,'Gm 16'!F113)</f>
        <v>0</v>
      </c>
      <c r="G113">
        <f>+'vs Bos'!G113+'vs Hou'!G113+'at Buf'!G113+'vs Bos(2)'!G113+'vs KC'!G113+'at Den'!G113+'at Oak'!G113+'vs Mia'!G113+'at KC'!G113+'vs Den'!G113+'vs Oak'!G113+'at Mia'!G113+'at Hou'!G113+'vs NY'!G113+'Gm 15'!G113+'Gm 16'!G113</f>
        <v>0</v>
      </c>
      <c r="H113">
        <f>+'vs Bos'!H113+'vs Hou'!H113+'at Buf'!H113+'vs Bos(2)'!H113+'vs KC'!H113+'at Den'!H113+'at Oak'!H113+'vs Mia'!H113+'at KC'!H113+'vs Den'!H113+'vs Oak'!H113+'at Mia'!H113+'at Hou'!H113+'vs NY'!H113+'Gm 15'!H113+'Gm 16'!H113</f>
        <v>0</v>
      </c>
      <c r="M113" s="12"/>
      <c r="P113" s="17"/>
      <c r="Q113" s="17"/>
      <c r="R113" s="17"/>
    </row>
    <row r="114" spans="3:18" ht="12">
      <c r="C114">
        <f>+'vs Bos'!C114+'vs Hou'!C114+'at Buf'!C114+'vs Bos(2)'!C114+'vs KC'!C114+'at Den'!C114+'at Oak'!C114+'vs Mia'!C114+'at KC'!C114+'vs Den'!C114+'vs Oak'!C114+'at Mia'!C114+'at Hou'!C114+'vs NY'!C114+'Gm 15'!C114+'Gm 16'!C114</f>
        <v>0</v>
      </c>
      <c r="D114">
        <f>+'vs Bos'!D114+'vs Hou'!D114+'at Buf'!D114+'vs Bos(2)'!D114+'vs KC'!D114+'at Den'!D114+'at Oak'!D114+'vs Mia'!D114+'at KC'!D114+'vs Den'!D114+'vs Oak'!D114+'at Mia'!D114+'at Hou'!D114+'vs NY'!D114+'Gm 15'!D114+'Gm 16'!D114</f>
        <v>0</v>
      </c>
      <c r="E114" s="12">
        <f t="shared" si="3"/>
        <v>0</v>
      </c>
      <c r="F114">
        <f>MAX('vs Bos'!F114,'vs Hou'!F114,'at Buf'!F114,'vs Bos(2)'!F114,'vs KC'!F114,'at Den'!F114,'at Oak'!F114,'vs Mia'!F114,'at KC'!F114,'vs Den'!F114,'vs Oak'!F114,'at Mia'!F114,'at Hou'!F114,'vs NY'!F114,'Gm 15'!F114,'Gm 16'!F114)</f>
        <v>0</v>
      </c>
      <c r="G114">
        <f>+'vs Bos'!G114+'vs Hou'!G114+'at Buf'!G114+'vs Bos(2)'!G114+'vs KC'!G114+'at Den'!G114+'at Oak'!G114+'vs Mia'!G114+'at KC'!G114+'vs Den'!G114+'vs Oak'!G114+'at Mia'!G114+'at Hou'!G114+'vs NY'!G114+'Gm 15'!G114+'Gm 16'!G114</f>
        <v>0</v>
      </c>
      <c r="H114">
        <f>+'vs Bos'!H114+'vs Hou'!H114+'at Buf'!H114+'vs Bos(2)'!H114+'vs KC'!H114+'at Den'!H114+'at Oak'!H114+'vs Mia'!H114+'at KC'!H114+'vs Den'!H114+'vs Oak'!H114+'at Mia'!H114+'at Hou'!H114+'vs NY'!H114+'Gm 15'!H114+'Gm 16'!H114</f>
        <v>0</v>
      </c>
      <c r="M114" s="12"/>
      <c r="P114" s="17"/>
      <c r="Q114" s="17"/>
      <c r="R114" s="17"/>
    </row>
    <row r="115" spans="3:18" ht="12">
      <c r="C115">
        <f>+'vs Bos'!C115+'vs Hou'!C115+'at Buf'!C115+'vs Bos(2)'!C115+'vs KC'!C115+'at Den'!C115+'at Oak'!C115+'vs Mia'!C115+'at KC'!C115+'vs Den'!C115+'vs Oak'!C115+'at Mia'!C115+'at Hou'!C115+'vs NY'!C115+'Gm 15'!C115+'Gm 16'!C115</f>
        <v>0</v>
      </c>
      <c r="D115">
        <f>+'vs Bos'!D115+'vs Hou'!D115+'at Buf'!D115+'vs Bos(2)'!D115+'vs KC'!D115+'at Den'!D115+'at Oak'!D115+'vs Mia'!D115+'at KC'!D115+'vs Den'!D115+'vs Oak'!D115+'at Mia'!D115+'at Hou'!D115+'vs NY'!D115+'Gm 15'!D115+'Gm 16'!D115</f>
        <v>0</v>
      </c>
      <c r="E115" s="12">
        <f>IF(C115=0,0,+D115/C115)</f>
        <v>0</v>
      </c>
      <c r="F115">
        <f>MAX('vs Bos'!F115,'vs Hou'!F115,'at Buf'!F115,'vs Bos(2)'!F115,'vs KC'!F115,'at Den'!F115,'at Oak'!F115,'vs Mia'!F115,'at KC'!F115,'vs Den'!F115,'vs Oak'!F115,'at Mia'!F115,'at Hou'!F115,'vs NY'!F115,'Gm 15'!F115,'Gm 16'!F115)</f>
        <v>0</v>
      </c>
      <c r="G115">
        <f>+'vs Bos'!G115+'vs Hou'!G115+'at Buf'!G115+'vs Bos(2)'!G115+'vs KC'!G115+'at Den'!G115+'at Oak'!G115+'vs Mia'!G115+'at KC'!G115+'vs Den'!G115+'vs Oak'!G115+'at Mia'!G115+'at Hou'!G115+'vs NY'!G115+'Gm 15'!G115+'Gm 16'!G115</f>
        <v>0</v>
      </c>
      <c r="H115">
        <f>+'vs Bos'!H115+'vs Hou'!H115+'at Buf'!H115+'vs Bos(2)'!H115+'vs KC'!H115+'at Den'!H115+'at Oak'!H115+'vs Mia'!H115+'at KC'!H115+'vs Den'!H115+'vs Oak'!H115+'at Mia'!H115+'at Hou'!H115+'vs NY'!H115+'Gm 15'!H115+'Gm 16'!H115</f>
        <v>0</v>
      </c>
      <c r="M115" s="12"/>
      <c r="P115" s="17"/>
      <c r="Q115" s="17"/>
      <c r="R115" s="17"/>
    </row>
    <row r="116" spans="3:18" ht="12">
      <c r="C116">
        <f>+'vs Bos'!C116+'vs Hou'!C116+'at Buf'!C116+'vs Bos(2)'!C116+'vs KC'!C116+'at Den'!C116+'at Oak'!C116+'vs Mia'!C116+'at KC'!C116+'vs Den'!C116+'vs Oak'!C116+'at Mia'!C116+'at Hou'!C116+'vs NY'!C116+'Gm 15'!C116+'Gm 16'!C116</f>
        <v>0</v>
      </c>
      <c r="D116">
        <f>+'vs Bos'!D116+'vs Hou'!D116+'at Buf'!D116+'vs Bos(2)'!D116+'vs KC'!D116+'at Den'!D116+'at Oak'!D116+'vs Mia'!D116+'at KC'!D116+'vs Den'!D116+'vs Oak'!D116+'at Mia'!D116+'at Hou'!D116+'vs NY'!D116+'Gm 15'!D116+'Gm 16'!D116</f>
        <v>0</v>
      </c>
      <c r="E116" s="12">
        <f>IF(C116=0,0,+D116/C116)</f>
        <v>0</v>
      </c>
      <c r="F116">
        <f>MAX('vs Bos'!F116,'vs Hou'!F116,'at Buf'!F116,'vs Bos(2)'!F116,'vs KC'!F116,'at Den'!F116,'at Oak'!F116,'vs Mia'!F116,'at KC'!F116,'vs Den'!F116,'vs Oak'!F116,'at Mia'!F116,'at Hou'!F116,'vs NY'!F116,'Gm 15'!F116,'Gm 16'!F116)</f>
        <v>0</v>
      </c>
      <c r="G116">
        <f>+'vs Bos'!G116+'vs Hou'!G116+'at Buf'!G116+'vs Bos(2)'!G116+'vs KC'!G116+'at Den'!G116+'at Oak'!G116+'vs Mia'!G116+'at KC'!G116+'vs Den'!G116+'vs Oak'!G116+'at Mia'!G116+'at Hou'!G116+'vs NY'!G116+'Gm 15'!G116+'Gm 16'!G116</f>
        <v>0</v>
      </c>
      <c r="H116">
        <f>+'vs Bos'!H116+'vs Hou'!H116+'at Buf'!H116+'vs Bos(2)'!H116+'vs KC'!H116+'at Den'!H116+'at Oak'!H116+'vs Mia'!H116+'at KC'!H116+'vs Den'!H116+'vs Oak'!H116+'at Mia'!H116+'at Hou'!H116+'vs NY'!H116+'Gm 15'!H116+'Gm 16'!H116</f>
        <v>0</v>
      </c>
      <c r="M116" s="12"/>
      <c r="P116" s="17"/>
      <c r="Q116" s="17"/>
      <c r="R116" s="17"/>
    </row>
    <row r="117" spans="3:18" ht="12">
      <c r="C117">
        <f>+'vs Bos'!C117+'vs Hou'!C117+'at Buf'!C117+'vs Bos(2)'!C117+'vs KC'!C117+'at Den'!C117+'at Oak'!C117+'vs Mia'!C117+'at KC'!C117+'vs Den'!C117+'vs Oak'!C117+'at Mia'!C117+'at Hou'!C117+'vs NY'!C117+'Gm 15'!C117+'Gm 16'!C117</f>
        <v>0</v>
      </c>
      <c r="D117">
        <f>+'vs Bos'!D117+'vs Hou'!D117+'at Buf'!D117+'vs Bos(2)'!D117+'vs KC'!D117+'at Den'!D117+'at Oak'!D117+'vs Mia'!D117+'at KC'!D117+'vs Den'!D117+'vs Oak'!D117+'at Mia'!D117+'at Hou'!D117+'vs NY'!D117+'Gm 15'!D117+'Gm 16'!D117</f>
        <v>0</v>
      </c>
      <c r="E117" s="12">
        <f>IF(C117=0,0,+D117/C117)</f>
        <v>0</v>
      </c>
      <c r="F117">
        <f>MAX('vs Bos'!F117,'vs Hou'!F117,'at Buf'!F117,'vs Bos(2)'!F117,'vs KC'!F117,'at Den'!F117,'at Oak'!F117,'vs Mia'!F117,'at KC'!F117,'vs Den'!F117,'vs Oak'!F117,'at Mia'!F117,'at Hou'!F117,'vs NY'!F117,'Gm 15'!F117,'Gm 16'!F117)</f>
        <v>0</v>
      </c>
      <c r="G117">
        <f>+'vs Bos'!G117+'vs Hou'!G117+'at Buf'!G117+'vs Bos(2)'!G117+'vs KC'!G117+'at Den'!G117+'at Oak'!G117+'vs Mia'!G117+'at KC'!G117+'vs Den'!G117+'vs Oak'!G117+'at Mia'!G117+'at Hou'!G117+'vs NY'!G117+'Gm 15'!G117+'Gm 16'!G117</f>
        <v>0</v>
      </c>
      <c r="H117">
        <f>+'vs Bos'!H117+'vs Hou'!H117+'at Buf'!H117+'vs Bos(2)'!H117+'vs KC'!H117+'at Den'!H117+'at Oak'!H117+'vs Mia'!H117+'at KC'!H117+'vs Den'!H117+'vs Oak'!H117+'at Mia'!H117+'at Hou'!H117+'vs NY'!H117+'Gm 15'!H117+'Gm 16'!H117</f>
        <v>0</v>
      </c>
      <c r="M117" s="12"/>
      <c r="P117" s="17"/>
      <c r="Q117" s="17"/>
      <c r="R117" s="17"/>
    </row>
    <row r="118" ht="12">
      <c r="E118" s="8"/>
    </row>
    <row r="119" spans="1:17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  <c r="Q119" s="3" t="s">
        <v>107</v>
      </c>
    </row>
    <row r="120" spans="1:17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  <c r="P120" s="3" t="s">
        <v>106</v>
      </c>
      <c r="Q120" s="3" t="s">
        <v>61</v>
      </c>
    </row>
    <row r="121" spans="1:25" ht="12">
      <c r="A121" t="s">
        <v>134</v>
      </c>
      <c r="B121" t="s">
        <v>184</v>
      </c>
      <c r="C121">
        <f>+'vs Bos'!C121+'vs Hou'!C121+'at Buf'!C121+'vs Bos(2)'!C121+'vs KC'!C121+'at Den'!C121+'at Oak'!C121+'vs Mia'!C121+'at KC'!C121+'vs Den'!C121+'vs Oak'!C121+'at Mia'!C121+'at Hou'!C121+'vs NY'!C121+'Gm 15'!C121+'Gm 16'!C121</f>
        <v>0</v>
      </c>
      <c r="D121">
        <f>+'vs Bos'!D121+'vs Hou'!D121+'at Buf'!D121+'vs Bos(2)'!D121+'vs KC'!D121+'at Den'!D121+'at Oak'!D121+'vs Mia'!D121+'at KC'!D121+'vs Den'!D121+'vs Oak'!D121+'at Mia'!D121+'at Hou'!D121+'vs NY'!D121+'Gm 15'!D121+'Gm 16'!D121</f>
        <v>0</v>
      </c>
      <c r="E121" s="12">
        <f aca="true" t="shared" si="4" ref="E121:E126">IF(C121=0,0,+D121/C121*100)</f>
        <v>0</v>
      </c>
      <c r="F121">
        <f>+'vs Bos'!F121+'vs Hou'!F121+'at Buf'!F121+'vs Bos(2)'!F121+'vs KC'!F121+'at Den'!F121+'at Oak'!F121+'vs Mia'!F121+'at KC'!F121+'vs Den'!F121+'vs Oak'!F121+'at Mia'!F121+'at Hou'!F121+'vs NY'!F121+'Gm 15'!F121+'Gm 16'!F121</f>
        <v>0</v>
      </c>
      <c r="G121">
        <f>+'vs Bos'!G121+'vs Hou'!G121+'at Buf'!G121+'vs Bos(2)'!G121+'vs KC'!G121+'at Den'!G121+'at Oak'!G121+'vs Mia'!G121+'at KC'!G121+'vs Den'!G121+'vs Oak'!G121+'at Mia'!G121+'at Hou'!G121+'vs NY'!G121+'Gm 15'!G121+'Gm 16'!G121</f>
        <v>0</v>
      </c>
      <c r="H121">
        <f>MAX('vs Bos'!H121,'vs Hou'!H121,'at Buf'!H121,'vs Bos(2)'!H121,'vs KC'!H121,'at Den'!H121,'at Oak'!H121,'vs Mia'!H121,'at KC'!H121,'vs Den'!H121,'vs Oak'!H121,'at Mia'!H121,'at Hou'!H121,'vs NY'!H121,'Gm 15'!H121,'Gm 16'!H121)</f>
        <v>0</v>
      </c>
      <c r="I121">
        <f>+'vs Bos'!I121+'vs Hou'!I121+'at Buf'!I121+'vs Bos(2)'!I121+'vs KC'!I121+'at Den'!I121+'at Oak'!I121+'vs Mia'!I121+'at KC'!I121+'vs Den'!I121+'vs Oak'!I121+'at Mia'!I121+'at Hou'!I121+'vs NY'!I121+'Gm 15'!I121+'Gm 16'!I121</f>
        <v>0</v>
      </c>
      <c r="J121" s="8">
        <f aca="true" t="shared" si="5" ref="J121:J126">IF($C121=0,0,+G121/C121*100)</f>
        <v>0</v>
      </c>
      <c r="K121" s="12">
        <f aca="true" t="shared" si="6" ref="K121:K126">IF(C121=0,0,+I121/C121*100)</f>
        <v>0</v>
      </c>
      <c r="L121" s="12">
        <f aca="true" t="shared" si="7" ref="L121:L126">IF(C121=0,0,+F121/C121)</f>
        <v>0</v>
      </c>
      <c r="M121" s="12">
        <f aca="true" t="shared" si="8" ref="M121:M126">IF(C121=0,0,100*(S121+U121+W121+Y121)/6)</f>
        <v>0</v>
      </c>
      <c r="N121">
        <f>+'vs Bos'!N121+'vs Hou'!N121+'at Buf'!N121+'vs Bos(2)'!N121+'vs KC'!N121+'at Den'!N121+'at Oak'!N121+'vs Mia'!N121+'at KC'!N121+'vs Den'!N121+'vs Oak'!N121+'at Mia'!N121+'at Hou'!N121+'vs NY'!N121+'Gm 15'!N121+'Gm 16'!N121</f>
        <v>0</v>
      </c>
      <c r="O121">
        <f>+'vs Bos'!O121+'vs Hou'!O121+'at Buf'!O121+'vs Bos(2)'!O121+'vs KC'!O121+'at Den'!O121+'at Oak'!O121+'vs Mia'!O121+'at KC'!O121+'vs Den'!O121+'vs Oak'!O121+'at Mia'!O121+'at Hou'!O121+'vs NY'!O121+'Gm 15'!O121+'Gm 16'!O121</f>
        <v>0</v>
      </c>
      <c r="P121" s="15">
        <f aca="true" t="shared" si="9" ref="P121:P126">IF(D121=0,0,F121/D121)</f>
        <v>0</v>
      </c>
      <c r="Q121" s="15">
        <f aca="true" t="shared" si="10" ref="Q121:Q126">IF(C121=0,0,O121/(C121+O121))*100</f>
        <v>0</v>
      </c>
      <c r="R121">
        <f aca="true" t="shared" si="11" ref="R121:R126">+(E121-30)/20</f>
        <v>-1.5</v>
      </c>
      <c r="S121" s="2">
        <f aca="true" t="shared" si="12" ref="S121:S126">IF(R121&lt;0,0,IF(R121&gt;2.375,2.375,R121))</f>
        <v>0</v>
      </c>
      <c r="T121" s="6">
        <f aca="true" t="shared" si="13" ref="T121:T126">+(L121-3)/4</f>
        <v>-0.75</v>
      </c>
      <c r="U121" s="2">
        <f aca="true" t="shared" si="14" ref="U121:U126">IF(T121&lt;0,0,IF(T121&gt;2.375,2.375,T121))</f>
        <v>0</v>
      </c>
      <c r="V121">
        <f aca="true" t="shared" si="15" ref="V121:V126">+J121/5</f>
        <v>0</v>
      </c>
      <c r="W121" s="2">
        <f aca="true" t="shared" si="16" ref="W121:W126">IF(V121&lt;0,0,IF(V121&gt;2.375,2.375,V121))</f>
        <v>0</v>
      </c>
      <c r="X121">
        <f aca="true" t="shared" si="17" ref="X121:X126">(9.5-K121)/4</f>
        <v>2.375</v>
      </c>
      <c r="Y121" s="2">
        <f aca="true" t="shared" si="18" ref="Y121:Y126">IF(X121&lt;0,0,X121)</f>
        <v>2.375</v>
      </c>
    </row>
    <row r="122" spans="1:25" ht="12">
      <c r="A122" t="s">
        <v>135</v>
      </c>
      <c r="B122" t="s">
        <v>184</v>
      </c>
      <c r="C122">
        <f>+'vs Bos'!C122+'vs Hou'!C122+'at Buf'!C122+'vs Bos(2)'!C122+'vs KC'!C122+'at Den'!C122+'at Oak'!C122+'vs Mia'!C122+'at KC'!C122+'vs Den'!C122+'vs Oak'!C122+'at Mia'!C122+'at Hou'!C122+'vs NY'!C122+'Gm 15'!C122+'Gm 16'!C122</f>
        <v>1</v>
      </c>
      <c r="D122">
        <f>+'vs Bos'!D122+'vs Hou'!D122+'at Buf'!D122+'vs Bos(2)'!D122+'vs KC'!D122+'at Den'!D122+'at Oak'!D122+'vs Mia'!D122+'at KC'!D122+'vs Den'!D122+'vs Oak'!D122+'at Mia'!D122+'at Hou'!D122+'vs NY'!D122+'Gm 15'!D122+'Gm 16'!D122</f>
        <v>0</v>
      </c>
      <c r="E122" s="12">
        <f t="shared" si="4"/>
        <v>0</v>
      </c>
      <c r="F122">
        <f>+'vs Bos'!F122+'vs Hou'!F122+'at Buf'!F122+'vs Bos(2)'!F122+'vs KC'!F122+'at Den'!F122+'at Oak'!F122+'vs Mia'!F122+'at KC'!F122+'vs Den'!F122+'vs Oak'!F122+'at Mia'!F122+'at Hou'!F122+'vs NY'!F122+'Gm 15'!F122+'Gm 16'!F122</f>
        <v>0</v>
      </c>
      <c r="G122">
        <f>+'vs Bos'!G122+'vs Hou'!G122+'at Buf'!G122+'vs Bos(2)'!G122+'vs KC'!G122+'at Den'!G122+'at Oak'!G122+'vs Mia'!G122+'at KC'!G122+'vs Den'!G122+'vs Oak'!G122+'at Mia'!G122+'at Hou'!G122+'vs NY'!G122+'Gm 15'!G122+'Gm 16'!G122</f>
        <v>0</v>
      </c>
      <c r="H122">
        <f>MAX('vs Bos'!H122,'vs Hou'!H122,'at Buf'!H122,'vs Bos(2)'!H122,'vs KC'!H122,'at Den'!H122,'at Oak'!H122,'vs Mia'!H122,'at KC'!H122,'vs Den'!H122,'vs Oak'!H122,'at Mia'!H122,'at Hou'!H122,'vs NY'!H122,'Gm 15'!H122,'Gm 16'!H122)</f>
        <v>0</v>
      </c>
      <c r="I122">
        <f>+'vs Bos'!I122+'vs Hou'!I122+'at Buf'!I122+'vs Bos(2)'!I122+'vs KC'!I122+'at Den'!I122+'at Oak'!I122+'vs Mia'!I122+'at KC'!I122+'vs Den'!I122+'vs Oak'!I122+'at Mia'!I122+'at Hou'!I122+'vs NY'!I122+'Gm 15'!I122+'Gm 16'!I122</f>
        <v>0</v>
      </c>
      <c r="J122" s="8">
        <f t="shared" si="5"/>
        <v>0</v>
      </c>
      <c r="K122" s="12">
        <f t="shared" si="6"/>
        <v>0</v>
      </c>
      <c r="L122" s="12">
        <f t="shared" si="7"/>
        <v>0</v>
      </c>
      <c r="M122" s="12">
        <f t="shared" si="8"/>
        <v>39.583333333333336</v>
      </c>
      <c r="N122">
        <f>+'vs Bos'!N122+'vs Hou'!N122+'at Buf'!N122+'vs Bos(2)'!N122+'vs KC'!N122+'at Den'!N122+'at Oak'!N122+'vs Mia'!N122+'at KC'!N122+'vs Den'!N122+'vs Oak'!N122+'at Mia'!N122+'at Hou'!N122+'vs NY'!N122+'Gm 15'!N122+'Gm 16'!N122</f>
        <v>0</v>
      </c>
      <c r="O122">
        <f>+'vs Bos'!O122+'vs Hou'!O122+'at Buf'!O122+'vs Bos(2)'!O122+'vs KC'!O122+'at Den'!O122+'at Oak'!O122+'vs Mia'!O122+'at KC'!O122+'vs Den'!O122+'vs Oak'!O122+'at Mia'!O122+'at Hou'!O122+'vs NY'!O122+'Gm 15'!O122+'Gm 16'!O122</f>
        <v>0</v>
      </c>
      <c r="P122" s="15">
        <f t="shared" si="9"/>
        <v>0</v>
      </c>
      <c r="Q122" s="15">
        <f t="shared" si="10"/>
        <v>0</v>
      </c>
      <c r="R122">
        <f t="shared" si="11"/>
        <v>-1.5</v>
      </c>
      <c r="S122" s="2">
        <f t="shared" si="12"/>
        <v>0</v>
      </c>
      <c r="T122" s="6">
        <f t="shared" si="13"/>
        <v>-0.75</v>
      </c>
      <c r="U122" s="2">
        <f t="shared" si="14"/>
        <v>0</v>
      </c>
      <c r="V122">
        <f t="shared" si="15"/>
        <v>0</v>
      </c>
      <c r="W122" s="2">
        <f t="shared" si="16"/>
        <v>0</v>
      </c>
      <c r="X122">
        <f t="shared" si="17"/>
        <v>2.375</v>
      </c>
      <c r="Y122" s="2">
        <f t="shared" si="18"/>
        <v>2.375</v>
      </c>
    </row>
    <row r="123" spans="1:25" ht="12">
      <c r="A123" t="s">
        <v>137</v>
      </c>
      <c r="B123" t="s">
        <v>184</v>
      </c>
      <c r="C123">
        <f>+'vs Bos'!C123+'vs Hou'!C123+'at Buf'!C123+'vs Bos(2)'!C123+'vs KC'!C123+'at Den'!C123+'at Oak'!C123+'vs Mia'!C123+'at KC'!C123+'vs Den'!C123+'vs Oak'!C123+'at Mia'!C123+'at Hou'!C123+'vs NY'!C123+'Gm 15'!C123+'Gm 16'!C123</f>
        <v>433</v>
      </c>
      <c r="D123">
        <f>+'vs Bos'!D123+'vs Hou'!D123+'at Buf'!D123+'vs Bos(2)'!D123+'vs KC'!D123+'at Den'!D123+'at Oak'!D123+'vs Mia'!D123+'at KC'!D123+'vs Den'!D123+'vs Oak'!D123+'at Mia'!D123+'at Hou'!D123+'vs NY'!D123+'Gm 15'!D123+'Gm 16'!D123</f>
        <v>229</v>
      </c>
      <c r="E123" s="12">
        <f t="shared" si="4"/>
        <v>52.88683602771363</v>
      </c>
      <c r="F123">
        <f>+'vs Bos'!F123+'vs Hou'!F123+'at Buf'!F123+'vs Bos(2)'!F123+'vs KC'!F123+'at Den'!F123+'at Oak'!F123+'vs Mia'!F123+'at KC'!F123+'vs Den'!F123+'vs Oak'!F123+'at Mia'!F123+'at Hou'!F123+'vs NY'!F123+'Gm 15'!F123+'Gm 16'!F123</f>
        <v>3319</v>
      </c>
      <c r="G123">
        <f>+'vs Bos'!G123+'vs Hou'!G123+'at Buf'!G123+'vs Bos(2)'!G123+'vs KC'!G123+'at Den'!G123+'at Oak'!G123+'vs Mia'!G123+'at KC'!G123+'vs Den'!G123+'vs Oak'!G123+'at Mia'!G123+'at Hou'!G123+'vs NY'!G123+'Gm 15'!G123+'Gm 16'!G123</f>
        <v>29</v>
      </c>
      <c r="H123">
        <f>MAX('vs Bos'!H123,'vs Hou'!H123,'at Buf'!H123,'vs Bos(2)'!H123,'vs KC'!H123,'at Den'!H123,'at Oak'!H123,'vs Mia'!H123,'at KC'!H123,'vs Den'!H123,'vs Oak'!H123,'at Mia'!H123,'at Hou'!H123,'vs NY'!H123,'Gm 15'!H123,'Gm 16'!H123)</f>
        <v>77</v>
      </c>
      <c r="I123">
        <f>+'vs Bos'!I123+'vs Hou'!I123+'at Buf'!I123+'vs Bos(2)'!I123+'vs KC'!I123+'at Den'!I123+'at Oak'!I123+'vs Mia'!I123+'at KC'!I123+'vs Den'!I123+'vs Oak'!I123+'at Mia'!I123+'at Hou'!I123+'vs NY'!I123+'Gm 15'!I123+'Gm 16'!I123</f>
        <v>23</v>
      </c>
      <c r="J123" s="8">
        <f t="shared" si="5"/>
        <v>6.697459584295612</v>
      </c>
      <c r="K123" s="12">
        <f t="shared" si="6"/>
        <v>5.311778290993072</v>
      </c>
      <c r="L123" s="12">
        <f t="shared" si="7"/>
        <v>7.66512702078522</v>
      </c>
      <c r="M123" s="12">
        <f t="shared" si="8"/>
        <v>78.28618167821402</v>
      </c>
      <c r="N123">
        <f>+'vs Bos'!N123+'vs Hou'!N123+'at Buf'!N123+'vs Bos(2)'!N123+'vs KC'!N123+'at Den'!N123+'at Oak'!N123+'vs Mia'!N123+'at KC'!N123+'vs Den'!N123+'vs Oak'!N123+'at Mia'!N123+'at Hou'!N123+'vs NY'!N123+'Gm 15'!N123+'Gm 16'!N123</f>
        <v>4</v>
      </c>
      <c r="O123">
        <f>+'vs Bos'!O123+'vs Hou'!O123+'at Buf'!O123+'vs Bos(2)'!O123+'vs KC'!O123+'at Den'!O123+'at Oak'!O123+'vs Mia'!O123+'at KC'!O123+'vs Den'!O123+'vs Oak'!O123+'at Mia'!O123+'at Hou'!O123+'vs NY'!O123+'Gm 15'!O123+'Gm 16'!O123</f>
        <v>17</v>
      </c>
      <c r="P123" s="15">
        <f t="shared" si="9"/>
        <v>14.493449781659388</v>
      </c>
      <c r="Q123" s="15">
        <f t="shared" si="10"/>
        <v>3.7777777777777777</v>
      </c>
      <c r="R123">
        <f t="shared" si="11"/>
        <v>1.1443418013856814</v>
      </c>
      <c r="S123" s="2">
        <f t="shared" si="12"/>
        <v>1.1443418013856814</v>
      </c>
      <c r="T123" s="6">
        <f t="shared" si="13"/>
        <v>1.166281755196305</v>
      </c>
      <c r="U123" s="2">
        <f t="shared" si="14"/>
        <v>1.166281755196305</v>
      </c>
      <c r="V123">
        <f t="shared" si="15"/>
        <v>1.3394919168591224</v>
      </c>
      <c r="W123" s="2">
        <f t="shared" si="16"/>
        <v>1.3394919168591224</v>
      </c>
      <c r="X123">
        <f t="shared" si="17"/>
        <v>1.047055427251732</v>
      </c>
      <c r="Y123" s="2">
        <f t="shared" si="18"/>
        <v>1.047055427251732</v>
      </c>
    </row>
    <row r="124" spans="1:25" ht="12">
      <c r="A124" t="s">
        <v>139</v>
      </c>
      <c r="B124" t="s">
        <v>184</v>
      </c>
      <c r="C124">
        <f>+'vs Bos'!C124+'vs Hou'!C124+'at Buf'!C124+'vs Bos(2)'!C124+'vs KC'!C124+'at Den'!C124+'at Oak'!C124+'vs Mia'!C124+'at KC'!C124+'vs Den'!C124+'vs Oak'!C124+'at Mia'!C124+'at Hou'!C124+'vs NY'!C124+'Gm 15'!C124+'Gm 16'!C124</f>
        <v>1</v>
      </c>
      <c r="D124">
        <f>+'vs Bos'!D124+'vs Hou'!D124+'at Buf'!D124+'vs Bos(2)'!D124+'vs KC'!D124+'at Den'!D124+'at Oak'!D124+'vs Mia'!D124+'at KC'!D124+'vs Den'!D124+'vs Oak'!D124+'at Mia'!D124+'at Hou'!D124+'vs NY'!D124+'Gm 15'!D124+'Gm 16'!D124</f>
        <v>1</v>
      </c>
      <c r="E124" s="12">
        <f t="shared" si="4"/>
        <v>100</v>
      </c>
      <c r="F124">
        <f>+'vs Bos'!F124+'vs Hou'!F124+'at Buf'!F124+'vs Bos(2)'!F124+'vs KC'!F124+'at Den'!F124+'at Oak'!F124+'vs Mia'!F124+'at KC'!F124+'vs Den'!F124+'vs Oak'!F124+'at Mia'!F124+'at Hou'!F124+'vs NY'!F124+'Gm 15'!F124+'Gm 16'!F124</f>
        <v>25</v>
      </c>
      <c r="G124">
        <f>+'vs Bos'!G124+'vs Hou'!G124+'at Buf'!G124+'vs Bos(2)'!G124+'vs KC'!G124+'at Den'!G124+'at Oak'!G124+'vs Mia'!G124+'at KC'!G124+'vs Den'!G124+'vs Oak'!G124+'at Mia'!G124+'at Hou'!G124+'vs NY'!G124+'Gm 15'!G124+'Gm 16'!G124</f>
        <v>0</v>
      </c>
      <c r="H124">
        <f>MAX('vs Bos'!H124,'vs Hou'!H124,'at Buf'!H124,'vs Bos(2)'!H124,'vs KC'!H124,'at Den'!H124,'at Oak'!H124,'vs Mia'!H124,'at KC'!H124,'vs Den'!H124,'vs Oak'!H124,'at Mia'!H124,'at Hou'!H124,'vs NY'!H124,'Gm 15'!H124,'Gm 16'!H124)</f>
        <v>25</v>
      </c>
      <c r="I124">
        <f>+'vs Bos'!I124+'vs Hou'!I124+'at Buf'!I124+'vs Bos(2)'!I124+'vs KC'!I124+'at Den'!I124+'at Oak'!I124+'vs Mia'!I124+'at KC'!I124+'vs Den'!I124+'vs Oak'!I124+'at Mia'!I124+'at Hou'!I124+'vs NY'!I124+'Gm 15'!I124+'Gm 16'!I124</f>
        <v>0</v>
      </c>
      <c r="J124" s="8">
        <f t="shared" si="5"/>
        <v>0</v>
      </c>
      <c r="K124" s="12">
        <f t="shared" si="6"/>
        <v>0</v>
      </c>
      <c r="L124" s="12">
        <f t="shared" si="7"/>
        <v>25</v>
      </c>
      <c r="M124" s="12">
        <f t="shared" si="8"/>
        <v>118.75</v>
      </c>
      <c r="N124">
        <f>+'vs Bos'!N124+'vs Hou'!N124+'at Buf'!N124+'vs Bos(2)'!N124+'vs KC'!N124+'at Den'!N124+'at Oak'!N124+'vs Mia'!N124+'at KC'!N124+'vs Den'!N124+'vs Oak'!N124+'at Mia'!N124+'at Hou'!N124+'vs NY'!N124+'Gm 15'!N124+'Gm 16'!N124</f>
        <v>0</v>
      </c>
      <c r="O124">
        <f>+'vs Bos'!O124+'vs Hou'!O124+'at Buf'!O124+'vs Bos(2)'!O124+'vs KC'!O124+'at Den'!O124+'at Oak'!O124+'vs Mia'!O124+'at KC'!O124+'vs Den'!O124+'vs Oak'!O124+'at Mia'!O124+'at Hou'!O124+'vs NY'!O124+'Gm 15'!O124+'Gm 16'!O124</f>
        <v>0</v>
      </c>
      <c r="P124" s="15">
        <f t="shared" si="9"/>
        <v>25</v>
      </c>
      <c r="Q124" s="15">
        <f t="shared" si="10"/>
        <v>0</v>
      </c>
      <c r="R124">
        <f t="shared" si="11"/>
        <v>3.5</v>
      </c>
      <c r="S124" s="2">
        <f t="shared" si="12"/>
        <v>2.375</v>
      </c>
      <c r="T124" s="6">
        <f t="shared" si="13"/>
        <v>5.5</v>
      </c>
      <c r="U124" s="2">
        <f t="shared" si="14"/>
        <v>2.375</v>
      </c>
      <c r="V124">
        <f t="shared" si="15"/>
        <v>0</v>
      </c>
      <c r="W124" s="2">
        <f t="shared" si="16"/>
        <v>0</v>
      </c>
      <c r="X124">
        <f t="shared" si="17"/>
        <v>2.375</v>
      </c>
      <c r="Y124" s="2">
        <f t="shared" si="18"/>
        <v>2.375</v>
      </c>
    </row>
    <row r="125" spans="1:25" ht="12">
      <c r="A125" t="s">
        <v>140</v>
      </c>
      <c r="B125" t="s">
        <v>184</v>
      </c>
      <c r="C125">
        <f>+'vs Bos'!C125+'vs Hou'!C125+'at Buf'!C125+'vs Bos(2)'!C125+'vs KC'!C125+'at Den'!C125+'at Oak'!C125+'vs Mia'!C125+'at KC'!C125+'vs Den'!C125+'vs Oak'!C125+'at Mia'!C125+'at Hou'!C125+'vs NY'!C125+'Gm 15'!C125+'Gm 16'!C125</f>
        <v>4</v>
      </c>
      <c r="D125">
        <f>+'vs Bos'!D125+'vs Hou'!D125+'at Buf'!D125+'vs Bos(2)'!D125+'vs KC'!D125+'at Den'!D125+'at Oak'!D125+'vs Mia'!D125+'at KC'!D125+'vs Den'!D125+'vs Oak'!D125+'at Mia'!D125+'at Hou'!D125+'vs NY'!D125+'Gm 15'!D125+'Gm 16'!D125</f>
        <v>1</v>
      </c>
      <c r="E125" s="12">
        <f t="shared" si="4"/>
        <v>25</v>
      </c>
      <c r="F125">
        <f>+'vs Bos'!F125+'vs Hou'!F125+'at Buf'!F125+'vs Bos(2)'!F125+'vs KC'!F125+'at Den'!F125+'at Oak'!F125+'vs Mia'!F125+'at KC'!F125+'vs Den'!F125+'vs Oak'!F125+'at Mia'!F125+'at Hou'!F125+'vs NY'!F125+'Gm 15'!F125+'Gm 16'!F125</f>
        <v>17</v>
      </c>
      <c r="G125">
        <f>+'vs Bos'!G125+'vs Hou'!G125+'at Buf'!G125+'vs Bos(2)'!G125+'vs KC'!G125+'at Den'!G125+'at Oak'!G125+'vs Mia'!G125+'at KC'!G125+'vs Den'!G125+'vs Oak'!G125+'at Mia'!G125+'at Hou'!G125+'vs NY'!G125+'Gm 15'!G125+'Gm 16'!G125</f>
        <v>0</v>
      </c>
      <c r="H125">
        <f>MAX('vs Bos'!H125,'vs Hou'!H125,'at Buf'!H125,'vs Bos(2)'!H125,'vs KC'!H125,'at Den'!H125,'at Oak'!H125,'vs Mia'!H125,'at KC'!H125,'vs Den'!H125,'vs Oak'!H125,'at Mia'!H125,'at Hou'!H125,'vs NY'!H125,'Gm 15'!H125,'Gm 16'!H125)</f>
        <v>17</v>
      </c>
      <c r="I125">
        <f>+'vs Bos'!I125+'vs Hou'!I125+'at Buf'!I125+'vs Bos(2)'!I125+'vs KC'!I125+'at Den'!I125+'at Oak'!I125+'vs Mia'!I125+'at KC'!I125+'vs Den'!I125+'vs Oak'!I125+'at Mia'!I125+'at Hou'!I125+'vs NY'!I125+'Gm 15'!I125+'Gm 16'!I125</f>
        <v>0</v>
      </c>
      <c r="J125" s="8">
        <f t="shared" si="5"/>
        <v>0</v>
      </c>
      <c r="K125" s="12">
        <f t="shared" si="6"/>
        <v>0</v>
      </c>
      <c r="L125" s="12">
        <f t="shared" si="7"/>
        <v>4.25</v>
      </c>
      <c r="M125" s="12">
        <f t="shared" si="8"/>
        <v>44.791666666666664</v>
      </c>
      <c r="N125">
        <f>+'vs Bos'!N125+'vs Hou'!N125+'at Buf'!N125+'vs Bos(2)'!N125+'vs KC'!N125+'at Den'!N125+'at Oak'!N125+'vs Mia'!N125+'at KC'!N125+'vs Den'!N125+'vs Oak'!N125+'at Mia'!N125+'at Hou'!N125+'vs NY'!N125+'Gm 15'!N125+'Gm 16'!N125</f>
        <v>0</v>
      </c>
      <c r="O125">
        <f>+'vs Bos'!O125+'vs Hou'!O125+'at Buf'!O125+'vs Bos(2)'!O125+'vs KC'!O125+'at Den'!O125+'at Oak'!O125+'vs Mia'!O125+'at KC'!O125+'vs Den'!O125+'vs Oak'!O125+'at Mia'!O125+'at Hou'!O125+'vs NY'!O125+'Gm 15'!O125+'Gm 16'!O125</f>
        <v>1</v>
      </c>
      <c r="P125" s="15">
        <f t="shared" si="9"/>
        <v>17</v>
      </c>
      <c r="Q125" s="15">
        <f t="shared" si="10"/>
        <v>20</v>
      </c>
      <c r="R125">
        <f t="shared" si="11"/>
        <v>-0.25</v>
      </c>
      <c r="S125" s="2">
        <f t="shared" si="12"/>
        <v>0</v>
      </c>
      <c r="T125" s="6">
        <f t="shared" si="13"/>
        <v>0.3125</v>
      </c>
      <c r="U125" s="2">
        <f t="shared" si="14"/>
        <v>0.3125</v>
      </c>
      <c r="V125">
        <f t="shared" si="15"/>
        <v>0</v>
      </c>
      <c r="W125" s="2">
        <f t="shared" si="16"/>
        <v>0</v>
      </c>
      <c r="X125">
        <f t="shared" si="17"/>
        <v>2.375</v>
      </c>
      <c r="Y125" s="2">
        <f t="shared" si="18"/>
        <v>2.375</v>
      </c>
    </row>
    <row r="126" spans="1:25" ht="12">
      <c r="A126" t="s">
        <v>143</v>
      </c>
      <c r="B126" t="s">
        <v>184</v>
      </c>
      <c r="C126">
        <f>+'vs Bos'!C126+'vs Hou'!C126+'at Buf'!C126+'vs Bos(2)'!C126+'vs KC'!C126+'at Den'!C126+'at Oak'!C126+'vs Mia'!C126+'at KC'!C126+'vs Den'!C126+'vs Oak'!C126+'at Mia'!C126+'at Hou'!C126+'vs NY'!C126+'Gm 15'!C126+'Gm 16'!C126</f>
        <v>35</v>
      </c>
      <c r="D126">
        <f>+'vs Bos'!D126+'vs Hou'!D126+'at Buf'!D126+'vs Bos(2)'!D126+'vs KC'!D126+'at Den'!D126+'at Oak'!D126+'vs Mia'!D126+'at KC'!D126+'vs Den'!D126+'vs Oak'!D126+'at Mia'!D126+'at Hou'!D126+'vs NY'!D126+'Gm 15'!D126+'Gm 16'!D126</f>
        <v>13</v>
      </c>
      <c r="E126" s="12">
        <f t="shared" si="4"/>
        <v>37.142857142857146</v>
      </c>
      <c r="F126">
        <f>+'vs Bos'!F126+'vs Hou'!F126+'at Buf'!F126+'vs Bos(2)'!F126+'vs KC'!F126+'at Den'!F126+'at Oak'!F126+'vs Mia'!F126+'at KC'!F126+'vs Den'!F126+'vs Oak'!F126+'at Mia'!F126+'at Hou'!F126+'vs NY'!F126+'Gm 15'!F126+'Gm 16'!F126</f>
        <v>183</v>
      </c>
      <c r="G126">
        <f>+'vs Bos'!G126+'vs Hou'!G126+'at Buf'!G126+'vs Bos(2)'!G126+'vs KC'!G126+'at Den'!G126+'at Oak'!G126+'vs Mia'!G126+'at KC'!G126+'vs Den'!G126+'vs Oak'!G126+'at Mia'!G126+'at Hou'!G126+'vs NY'!G126+'Gm 15'!G126+'Gm 16'!G126</f>
        <v>0</v>
      </c>
      <c r="H126">
        <f>MAX('vs Bos'!H126,'vs Hou'!H126,'at Buf'!H126,'vs Bos(2)'!H126,'vs KC'!H126,'at Den'!H126,'at Oak'!H126,'vs Mia'!H126,'at KC'!H126,'vs Den'!H126,'vs Oak'!H126,'at Mia'!H126,'at Hou'!H126,'vs NY'!H126,'Gm 15'!H126,'Gm 16'!H126)</f>
        <v>28</v>
      </c>
      <c r="I126">
        <f>+'vs Bos'!I126+'vs Hou'!I126+'at Buf'!I126+'vs Bos(2)'!I126+'vs KC'!I126+'at Den'!I126+'at Oak'!I126+'vs Mia'!I126+'at KC'!I126+'vs Den'!I126+'vs Oak'!I126+'at Mia'!I126+'at Hou'!I126+'vs NY'!I126+'Gm 15'!I126+'Gm 16'!I126</f>
        <v>3</v>
      </c>
      <c r="J126" s="8">
        <f t="shared" si="5"/>
        <v>0</v>
      </c>
      <c r="K126" s="12">
        <f t="shared" si="6"/>
        <v>8.571428571428571</v>
      </c>
      <c r="L126" s="12">
        <f t="shared" si="7"/>
        <v>5.228571428571429</v>
      </c>
      <c r="M126" s="12">
        <f t="shared" si="8"/>
        <v>19.107142857142865</v>
      </c>
      <c r="N126">
        <f>+'vs Bos'!N126+'vs Hou'!N126+'at Buf'!N126+'vs Bos(2)'!N126+'vs KC'!N126+'at Den'!N126+'at Oak'!N126+'vs Mia'!N126+'at KC'!N126+'vs Den'!N126+'vs Oak'!N126+'at Mia'!N126+'at Hou'!N126+'vs NY'!N126+'Gm 15'!N126+'Gm 16'!N126</f>
        <v>0</v>
      </c>
      <c r="O126">
        <f>+'vs Bos'!O126+'vs Hou'!O126+'at Buf'!O126+'vs Bos(2)'!O126+'vs KC'!O126+'at Den'!O126+'at Oak'!O126+'vs Mia'!O126+'at KC'!O126+'vs Den'!O126+'vs Oak'!O126+'at Mia'!O126+'at Hou'!O126+'vs NY'!O126+'Gm 15'!O126+'Gm 16'!O126</f>
        <v>0</v>
      </c>
      <c r="P126" s="15">
        <f t="shared" si="9"/>
        <v>14.076923076923077</v>
      </c>
      <c r="Q126" s="15">
        <f t="shared" si="10"/>
        <v>0</v>
      </c>
      <c r="R126">
        <f t="shared" si="11"/>
        <v>0.3571428571428573</v>
      </c>
      <c r="S126" s="2">
        <f t="shared" si="12"/>
        <v>0.3571428571428573</v>
      </c>
      <c r="T126" s="6">
        <f t="shared" si="13"/>
        <v>0.5571428571428572</v>
      </c>
      <c r="U126" s="2">
        <f t="shared" si="14"/>
        <v>0.5571428571428572</v>
      </c>
      <c r="V126">
        <f t="shared" si="15"/>
        <v>0</v>
      </c>
      <c r="W126" s="2">
        <f t="shared" si="16"/>
        <v>0</v>
      </c>
      <c r="X126">
        <f t="shared" si="17"/>
        <v>0.2321428571428572</v>
      </c>
      <c r="Y126" s="2">
        <f t="shared" si="18"/>
        <v>0.2321428571428572</v>
      </c>
    </row>
    <row r="127" spans="1:25" ht="12">
      <c r="A127" t="s">
        <v>147</v>
      </c>
      <c r="B127" t="s">
        <v>184</v>
      </c>
      <c r="C127">
        <f>+'vs Bos'!C127+'vs Hou'!C127+'at Buf'!C127+'vs Bos(2)'!C127+'vs KC'!C127+'at Den'!C127+'at Oak'!C127+'vs Mia'!C127+'at KC'!C127+'vs Den'!C127+'vs Oak'!C127+'at Mia'!C127+'at Hou'!C127+'vs NY'!C127+'Gm 15'!C127+'Gm 16'!C127</f>
        <v>1</v>
      </c>
      <c r="D127">
        <f>+'vs Bos'!D127+'vs Hou'!D127+'at Buf'!D127+'vs Bos(2)'!D127+'vs KC'!D127+'at Den'!D127+'at Oak'!D127+'vs Mia'!D127+'at KC'!D127+'vs Den'!D127+'vs Oak'!D127+'at Mia'!D127+'at Hou'!D127+'vs NY'!D127+'Gm 15'!D127+'Gm 16'!D127</f>
        <v>0</v>
      </c>
      <c r="E127" s="12">
        <f>IF(C127=0,0,+D127/C127*100)</f>
        <v>0</v>
      </c>
      <c r="F127">
        <f>+'vs Bos'!F127+'vs Hou'!F127+'at Buf'!F127+'vs Bos(2)'!F127+'vs KC'!F127+'at Den'!F127+'at Oak'!F127+'vs Mia'!F127+'at KC'!F127+'vs Den'!F127+'vs Oak'!F127+'at Mia'!F127+'at Hou'!F127+'vs NY'!F127+'Gm 15'!F127+'Gm 16'!F127</f>
        <v>0</v>
      </c>
      <c r="G127">
        <f>+'vs Bos'!G127+'vs Hou'!G127+'at Buf'!G127+'vs Bos(2)'!G127+'vs KC'!G127+'at Den'!G127+'at Oak'!G127+'vs Mia'!G127+'at KC'!G127+'vs Den'!G127+'vs Oak'!G127+'at Mia'!G127+'at Hou'!G127+'vs NY'!G127+'Gm 15'!G127+'Gm 16'!G127</f>
        <v>0</v>
      </c>
      <c r="H127">
        <f>MAX('vs Bos'!H127,'vs Hou'!H127,'at Buf'!H127,'vs Bos(2)'!H127,'vs KC'!H127,'at Den'!H127,'at Oak'!H127,'vs Mia'!H127,'at KC'!H127,'vs Den'!H127,'vs Oak'!H127,'at Mia'!H127,'at Hou'!H127,'vs NY'!H127,'Gm 15'!H127,'Gm 16'!H127)</f>
        <v>0</v>
      </c>
      <c r="I127">
        <f>+'vs Bos'!I127+'vs Hou'!I127+'at Buf'!I127+'vs Bos(2)'!I127+'vs KC'!I127+'at Den'!I127+'at Oak'!I127+'vs Mia'!I127+'at KC'!I127+'vs Den'!I127+'vs Oak'!I127+'at Mia'!I127+'at Hou'!I127+'vs NY'!I127+'Gm 15'!I127+'Gm 16'!I127</f>
        <v>0</v>
      </c>
      <c r="J127" s="8">
        <f>IF($C127=0,0,+G127/C127*100)</f>
        <v>0</v>
      </c>
      <c r="K127" s="12">
        <f>IF(C127=0,0,+I127/C127*100)</f>
        <v>0</v>
      </c>
      <c r="L127" s="12">
        <f>IF(C127=0,0,+F127/C127)</f>
        <v>0</v>
      </c>
      <c r="M127" s="12">
        <f>IF(C127=0,0,100*(S127+U127+W127+Y127)/6)</f>
        <v>39.583333333333336</v>
      </c>
      <c r="N127">
        <f>+'vs Bos'!N127+'vs Hou'!N127+'at Buf'!N127+'vs Bos(2)'!N127+'vs KC'!N127+'at Den'!N127+'at Oak'!N127+'vs Mia'!N127+'at KC'!N127+'vs Den'!N127+'vs Oak'!N127+'at Mia'!N127+'at Hou'!N127+'vs NY'!N127+'Gm 15'!N127+'Gm 16'!N127</f>
        <v>0</v>
      </c>
      <c r="O127">
        <f>+'vs Bos'!O127+'vs Hou'!O127+'at Buf'!O127+'vs Bos(2)'!O127+'vs KC'!O127+'at Den'!O127+'at Oak'!O127+'vs Mia'!O127+'at KC'!O127+'vs Den'!O127+'vs Oak'!O127+'at Mia'!O127+'at Hou'!O127+'vs NY'!O127+'Gm 15'!O127+'Gm 16'!O127</f>
        <v>0</v>
      </c>
      <c r="P127" s="15">
        <f>IF(D127=0,0,F127/D127)</f>
        <v>0</v>
      </c>
      <c r="Q127" s="15">
        <f>IF(C127=0,0,O127/(C127+O127))*100</f>
        <v>0</v>
      </c>
      <c r="R127">
        <f>+(E127-30)/20</f>
        <v>-1.5</v>
      </c>
      <c r="S127" s="2">
        <f>IF(R127&lt;0,0,IF(R127&gt;2.375,2.375,R127))</f>
        <v>0</v>
      </c>
      <c r="T127" s="6">
        <f>+(L127-3)/4</f>
        <v>-0.75</v>
      </c>
      <c r="U127" s="2">
        <f>IF(T127&lt;0,0,IF(T127&gt;2.375,2.375,T127))</f>
        <v>0</v>
      </c>
      <c r="V127">
        <f>+J127/5</f>
        <v>0</v>
      </c>
      <c r="W127" s="2">
        <f>IF(V127&lt;0,0,IF(V127&gt;2.375,2.375,V127))</f>
        <v>0</v>
      </c>
      <c r="X127">
        <f>(9.5-K127)/4</f>
        <v>2.375</v>
      </c>
      <c r="Y127" s="2">
        <f>IF(X127&lt;0,0,X127)</f>
        <v>2.375</v>
      </c>
    </row>
    <row r="130" spans="1:11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  <c r="K130" s="3" t="s">
        <v>118</v>
      </c>
    </row>
    <row r="131" spans="1:11" ht="12">
      <c r="A131" t="s">
        <v>148</v>
      </c>
      <c r="B131" t="s">
        <v>184</v>
      </c>
      <c r="C131">
        <f>+'vs Bos'!C131+'vs Hou'!C131+'at Buf'!C131+'vs Bos(2)'!C131+'vs KC'!C131+'at Den'!C131+'at Oak'!C131+'vs Mia'!C131+'at KC'!C131+'vs Den'!C131+'vs Oak'!C131+'at Mia'!C131+'at Hou'!C131+'vs NY'!C131+'Gm 15'!C131+'Gm 16'!C131</f>
        <v>47</v>
      </c>
      <c r="D131">
        <f>+'vs Bos'!D131+'vs Hou'!D131+'at Buf'!D131+'vs Bos(2)'!D131+'vs KC'!D131+'at Den'!D131+'at Oak'!D131+'vs Mia'!D131+'at KC'!D131+'vs Den'!D131+'vs Oak'!D131+'at Mia'!D131+'at Hou'!D131+'vs NY'!D131+'Gm 15'!D131+'Gm 16'!D131</f>
        <v>6</v>
      </c>
      <c r="E131">
        <f>+'vs Bos'!E131+'vs Hou'!E131+'at Buf'!E131+'vs Bos(2)'!E131+'vs KC'!E131+'at Den'!E131+'at Oak'!E131+'vs Mia'!E131+'at KC'!E131+'vs Den'!E131+'vs Oak'!E131+'at Mia'!E131+'at Hou'!E131+'vs NY'!E131+'Gm 15'!E131+'Gm 16'!E131</f>
        <v>733</v>
      </c>
      <c r="F131" s="12">
        <f aca="true" t="shared" si="19" ref="F131:F137">IF(C131=0,0,+E131/C131)</f>
        <v>15.595744680851064</v>
      </c>
      <c r="G131">
        <f>MAX('vs Bos'!G131,'vs Hou'!G131,'at Buf'!G131,'vs Bos(2)'!G131,'vs KC'!G131,'at Den'!G131,'at Oak'!G131,'vs Mia'!G131,'at KC'!G131,'vs Den'!G131,'vs Oak'!G131,'at Mia'!G131,'at Hou'!G131,'vs NY'!G131,'Gm 15'!G131,'Gm 16'!G131)</f>
        <v>67</v>
      </c>
      <c r="H131">
        <f>+'vs Bos'!H131+'vs Hou'!H131+'at Buf'!H131+'vs Bos(2)'!H131+'vs KC'!H131+'at Den'!H131+'at Oak'!H131+'vs Mia'!H131+'at KC'!H131+'vs Den'!H131+'vs Oak'!H131+'at Mia'!H131+'at Hou'!H131+'vs NY'!H131+'Gm 15'!H131+'Gm 16'!H131</f>
        <v>0</v>
      </c>
      <c r="I131">
        <f>+'vs Bos'!I131+'vs Hou'!I131+'at Buf'!I131+'vs Bos(2)'!I131+'vs KC'!I131+'at Den'!I131+'at Oak'!I131+'vs Mia'!I131+'at KC'!I131+'vs Den'!I131+'vs Oak'!I131+'at Mia'!I131+'at Hou'!I131+'vs NY'!I131+'Gm 15'!I131+'Gm 16'!I131</f>
        <v>1</v>
      </c>
      <c r="K131">
        <f>+C131+D131</f>
        <v>53</v>
      </c>
    </row>
    <row r="132" spans="1:11" ht="12">
      <c r="A132" t="s">
        <v>149</v>
      </c>
      <c r="B132" t="s">
        <v>184</v>
      </c>
      <c r="C132">
        <f>+'vs Bos'!C132+'vs Hou'!C132+'at Buf'!C132+'vs Bos(2)'!C132+'vs KC'!C132+'at Den'!C132+'at Oak'!C132+'vs Mia'!C132+'at KC'!C132+'vs Den'!C132+'vs Oak'!C132+'at Mia'!C132+'at Hou'!C132+'vs NY'!C132+'Gm 15'!C132+'Gm 16'!C132</f>
        <v>2</v>
      </c>
      <c r="D132">
        <f>+'vs Bos'!D132+'vs Hou'!D132+'at Buf'!D132+'vs Bos(2)'!D132+'vs KC'!D132+'at Den'!D132+'at Oak'!D132+'vs Mia'!D132+'at KC'!D132+'vs Den'!D132+'vs Oak'!D132+'at Mia'!D132+'at Hou'!D132+'vs NY'!D132+'Gm 15'!D132+'Gm 16'!D132</f>
        <v>5</v>
      </c>
      <c r="E132">
        <f>+'vs Bos'!E132+'vs Hou'!E132+'at Buf'!E132+'vs Bos(2)'!E132+'vs KC'!E132+'at Den'!E132+'at Oak'!E132+'vs Mia'!E132+'at KC'!E132+'vs Den'!E132+'vs Oak'!E132+'at Mia'!E132+'at Hou'!E132+'vs NY'!E132+'Gm 15'!E132+'Gm 16'!E132</f>
        <v>35</v>
      </c>
      <c r="F132" s="12">
        <f t="shared" si="19"/>
        <v>17.5</v>
      </c>
      <c r="G132">
        <f>MAX('vs Bos'!G132,'vs Hou'!G132,'at Buf'!G132,'vs Bos(2)'!G132,'vs KC'!G132,'at Den'!G132,'at Oak'!G132,'vs Mia'!G132,'at KC'!G132,'vs Den'!G132,'vs Oak'!G132,'at Mia'!G132,'at Hou'!G132,'vs NY'!G132,'Gm 15'!G132,'Gm 16'!G132)</f>
        <v>37</v>
      </c>
      <c r="H132">
        <f>+'vs Bos'!H132+'vs Hou'!H132+'at Buf'!H132+'vs Bos(2)'!H132+'vs KC'!H132+'at Den'!H132+'at Oak'!H132+'vs Mia'!H132+'at KC'!H132+'vs Den'!H132+'vs Oak'!H132+'at Mia'!H132+'at Hou'!H132+'vs NY'!H132+'Gm 15'!H132+'Gm 16'!H132</f>
        <v>0</v>
      </c>
      <c r="I132">
        <f>+'vs Bos'!I132+'vs Hou'!I132+'at Buf'!I132+'vs Bos(2)'!I132+'vs KC'!I132+'at Den'!I132+'at Oak'!I132+'vs Mia'!I132+'at KC'!I132+'vs Den'!I132+'vs Oak'!I132+'at Mia'!I132+'at Hou'!I132+'vs NY'!I132+'Gm 15'!I132+'Gm 16'!I132</f>
        <v>0</v>
      </c>
      <c r="K132">
        <f aca="true" t="shared" si="20" ref="K132:K137">+C132+D132</f>
        <v>7</v>
      </c>
    </row>
    <row r="133" spans="1:11" ht="12">
      <c r="A133" t="s">
        <v>142</v>
      </c>
      <c r="B133" t="s">
        <v>184</v>
      </c>
      <c r="C133">
        <f>+'vs Bos'!C133+'vs Hou'!C133+'at Buf'!C133+'vs Bos(2)'!C133+'vs KC'!C133+'at Den'!C133+'at Oak'!C133+'vs Mia'!C133+'at KC'!C133+'vs Den'!C133+'vs Oak'!C133+'at Mia'!C133+'at Hou'!C133+'vs NY'!C133+'Gm 15'!C133+'Gm 16'!C133</f>
        <v>0</v>
      </c>
      <c r="D133">
        <f>+'vs Bos'!D133+'vs Hou'!D133+'at Buf'!D133+'vs Bos(2)'!D133+'vs KC'!D133+'at Den'!D133+'at Oak'!D133+'vs Mia'!D133+'at KC'!D133+'vs Den'!D133+'vs Oak'!D133+'at Mia'!D133+'at Hou'!D133+'vs NY'!D133+'Gm 15'!D133+'Gm 16'!D133</f>
        <v>1</v>
      </c>
      <c r="E133">
        <f>+'vs Bos'!E133+'vs Hou'!E133+'at Buf'!E133+'vs Bos(2)'!E133+'vs KC'!E133+'at Den'!E133+'at Oak'!E133+'vs Mia'!E133+'at KC'!E133+'vs Den'!E133+'vs Oak'!E133+'at Mia'!E133+'at Hou'!E133+'vs NY'!E133+'Gm 15'!E133+'Gm 16'!E133</f>
        <v>0</v>
      </c>
      <c r="F133" s="12">
        <f t="shared" si="19"/>
        <v>0</v>
      </c>
      <c r="G133">
        <f>MAX('vs Bos'!G133,'vs Hou'!G133,'at Buf'!G133,'vs Bos(2)'!G133,'vs KC'!G133,'at Den'!G133,'at Oak'!G133,'vs Mia'!G133,'at KC'!G133,'vs Den'!G133,'vs Oak'!G133,'at Mia'!G133,'at Hou'!G133,'vs NY'!G133,'Gm 15'!G133,'Gm 16'!G133)</f>
        <v>0</v>
      </c>
      <c r="H133">
        <f>+'vs Bos'!H133+'vs Hou'!H133+'at Buf'!H133+'vs Bos(2)'!H133+'vs KC'!H133+'at Den'!H133+'at Oak'!H133+'vs Mia'!H133+'at KC'!H133+'vs Den'!H133+'vs Oak'!H133+'at Mia'!H133+'at Hou'!H133+'vs NY'!H133+'Gm 15'!H133+'Gm 16'!H133</f>
        <v>0</v>
      </c>
      <c r="I133">
        <f>+'vs Bos'!I133+'vs Hou'!I133+'at Buf'!I133+'vs Bos(2)'!I133+'vs KC'!I133+'at Den'!I133+'at Oak'!I133+'vs Mia'!I133+'at KC'!I133+'vs Den'!I133+'vs Oak'!I133+'at Mia'!I133+'at Hou'!I133+'vs NY'!I133+'Gm 15'!I133+'Gm 16'!I133</f>
        <v>0</v>
      </c>
      <c r="K133">
        <f t="shared" si="20"/>
        <v>1</v>
      </c>
    </row>
    <row r="134" spans="3:11" ht="12">
      <c r="C134">
        <f>+'vs Bos'!C134+'vs Hou'!C134+'at Buf'!C134+'vs Bos(2)'!C134+'vs KC'!C134+'at Den'!C134+'at Oak'!C134+'vs Mia'!C134+'at KC'!C134+'vs Den'!C134+'vs Oak'!C134+'at Mia'!C134+'at Hou'!C134+'vs NY'!C134+'Gm 15'!C134+'Gm 16'!C134</f>
        <v>0</v>
      </c>
      <c r="D134">
        <f>+'vs Bos'!D134+'vs Hou'!D134+'at Buf'!D134+'vs Bos(2)'!D134+'vs KC'!D134+'at Den'!D134+'at Oak'!D134+'vs Mia'!D134+'at KC'!D134+'vs Den'!D134+'vs Oak'!D134+'at Mia'!D134+'at Hou'!D134+'vs NY'!D134+'Gm 15'!D134+'Gm 16'!D134</f>
        <v>0</v>
      </c>
      <c r="E134">
        <f>+'vs Bos'!E134+'vs Hou'!E134+'at Buf'!E134+'vs Bos(2)'!E134+'vs KC'!E134+'at Den'!E134+'at Oak'!E134+'vs Mia'!E134+'at KC'!E134+'vs Den'!E134+'vs Oak'!E134+'at Mia'!E134+'at Hou'!E134+'vs NY'!E134+'Gm 15'!E134+'Gm 16'!E134</f>
        <v>0</v>
      </c>
      <c r="F134" s="12">
        <f t="shared" si="19"/>
        <v>0</v>
      </c>
      <c r="G134">
        <f>MAX('vs Bos'!G134,'vs Hou'!G134,'at Buf'!G134,'vs Bos(2)'!G134,'vs KC'!G134,'at Den'!G134,'at Oak'!G134,'vs Mia'!G134,'at KC'!G134,'vs Den'!G134,'vs Oak'!G134,'at Mia'!G134,'at Hou'!G134,'vs NY'!G134,'Gm 15'!G134,'Gm 16'!G134)</f>
        <v>0</v>
      </c>
      <c r="H134">
        <f>+'vs Bos'!H134+'vs Hou'!H134+'at Buf'!H134+'vs Bos(2)'!H134+'vs KC'!H134+'at Den'!H134+'at Oak'!H134+'vs Mia'!H134+'at KC'!H134+'vs Den'!H134+'vs Oak'!H134+'at Mia'!H134+'at Hou'!H134+'vs NY'!H134+'Gm 15'!H134+'Gm 16'!H134</f>
        <v>0</v>
      </c>
      <c r="I134">
        <f>+'vs Bos'!I134+'vs Hou'!I134+'at Buf'!I134+'vs Bos(2)'!I134+'vs KC'!I134+'at Den'!I134+'at Oak'!I134+'vs Mia'!I134+'at KC'!I134+'vs Den'!I134+'vs Oak'!I134+'at Mia'!I134+'at Hou'!I134+'vs NY'!I134+'Gm 15'!I134+'Gm 16'!I134</f>
        <v>0</v>
      </c>
      <c r="K134">
        <f t="shared" si="20"/>
        <v>0</v>
      </c>
    </row>
    <row r="135" spans="3:11" ht="12">
      <c r="C135">
        <f>+'vs Bos'!C135+'vs Hou'!C135+'at Buf'!C135+'vs Bos(2)'!C135+'vs KC'!C135+'at Den'!C135+'at Oak'!C135+'vs Mia'!C135+'at KC'!C135+'vs Den'!C135+'vs Oak'!C135+'at Mia'!C135+'at Hou'!C135+'vs NY'!C135+'Gm 15'!C135+'Gm 16'!C135</f>
        <v>0</v>
      </c>
      <c r="D135">
        <f>+'vs Bos'!D135+'vs Hou'!D135+'at Buf'!D135+'vs Bos(2)'!D135+'vs KC'!D135+'at Den'!D135+'at Oak'!D135+'vs Mia'!D135+'at KC'!D135+'vs Den'!D135+'vs Oak'!D135+'at Mia'!D135+'at Hou'!D135+'vs NY'!D135+'Gm 15'!D135+'Gm 16'!D135</f>
        <v>0</v>
      </c>
      <c r="E135">
        <f>+'vs Bos'!E135+'vs Hou'!E135+'at Buf'!E135+'vs Bos(2)'!E135+'vs KC'!E135+'at Den'!E135+'at Oak'!E135+'vs Mia'!E135+'at KC'!E135+'vs Den'!E135+'vs Oak'!E135+'at Mia'!E135+'at Hou'!E135+'vs NY'!E135+'Gm 15'!E135+'Gm 16'!E135</f>
        <v>0</v>
      </c>
      <c r="F135" s="12">
        <f t="shared" si="19"/>
        <v>0</v>
      </c>
      <c r="G135">
        <f>MAX('vs Bos'!G135,'vs Hou'!G135,'at Buf'!G135,'vs Bos(2)'!G135,'vs KC'!G135,'at Den'!G135,'at Oak'!G135,'vs Mia'!G135,'at KC'!G135,'vs Den'!G135,'vs Oak'!G135,'at Mia'!G135,'at Hou'!G135,'vs NY'!G135,'Gm 15'!G135,'Gm 16'!G135)</f>
        <v>0</v>
      </c>
      <c r="H135">
        <f>+'vs Bos'!H135+'vs Hou'!H135+'at Buf'!H135+'vs Bos(2)'!H135+'vs KC'!H135+'at Den'!H135+'at Oak'!H135+'vs Mia'!H135+'at KC'!H135+'vs Den'!H135+'vs Oak'!H135+'at Mia'!H135+'at Hou'!H135+'vs NY'!H135+'Gm 15'!H135+'Gm 16'!H135</f>
        <v>0</v>
      </c>
      <c r="I135">
        <f>+'vs Bos'!I135+'vs Hou'!I135+'at Buf'!I135+'vs Bos(2)'!I135+'vs KC'!I135+'at Den'!I135+'at Oak'!I135+'vs Mia'!I135+'at KC'!I135+'vs Den'!I135+'vs Oak'!I135+'at Mia'!I135+'at Hou'!I135+'vs NY'!I135+'Gm 15'!I135+'Gm 16'!I135</f>
        <v>0</v>
      </c>
      <c r="K135">
        <f t="shared" si="20"/>
        <v>0</v>
      </c>
    </row>
    <row r="136" spans="3:11" ht="12">
      <c r="C136">
        <f>+'vs Bos'!C136+'vs Hou'!C136+'at Buf'!C136+'vs Bos(2)'!C136+'vs KC'!C136+'at Den'!C136+'at Oak'!C136+'vs Mia'!C136+'at KC'!C136+'vs Den'!C136+'vs Oak'!C136+'at Mia'!C136+'at Hou'!C136+'vs NY'!C136+'Gm 15'!C136+'Gm 16'!C136</f>
        <v>0</v>
      </c>
      <c r="D136">
        <f>+'vs Bos'!D136+'vs Hou'!D136+'at Buf'!D136+'vs Bos(2)'!D136+'vs KC'!D136+'at Den'!D136+'at Oak'!D136+'vs Mia'!D136+'at KC'!D136+'vs Den'!D136+'vs Oak'!D136+'at Mia'!D136+'at Hou'!D136+'vs NY'!D136+'Gm 15'!D136+'Gm 16'!D136</f>
        <v>0</v>
      </c>
      <c r="E136">
        <f>+'vs Bos'!E136+'vs Hou'!E136+'at Buf'!E136+'vs Bos(2)'!E136+'vs KC'!E136+'at Den'!E136+'at Oak'!E136+'vs Mia'!E136+'at KC'!E136+'vs Den'!E136+'vs Oak'!E136+'at Mia'!E136+'at Hou'!E136+'vs NY'!E136+'Gm 15'!E136+'Gm 16'!E136</f>
        <v>0</v>
      </c>
      <c r="F136" s="12">
        <f t="shared" si="19"/>
        <v>0</v>
      </c>
      <c r="G136">
        <f>MAX('vs Bos'!G136,'vs Hou'!G136,'at Buf'!G136,'vs Bos(2)'!G136,'vs KC'!G136,'at Den'!G136,'at Oak'!G136,'vs Mia'!G136,'at KC'!G136,'vs Den'!G136,'vs Oak'!G136,'at Mia'!G136,'at Hou'!G136,'vs NY'!G136,'Gm 15'!G136,'Gm 16'!G136)</f>
        <v>0</v>
      </c>
      <c r="H136">
        <f>+'vs Bos'!H136+'vs Hou'!H136+'at Buf'!H136+'vs Bos(2)'!H136+'vs KC'!H136+'at Den'!H136+'at Oak'!H136+'vs Mia'!H136+'at KC'!H136+'vs Den'!H136+'vs Oak'!H136+'at Mia'!H136+'at Hou'!H136+'vs NY'!H136+'Gm 15'!H136+'Gm 16'!H136</f>
        <v>0</v>
      </c>
      <c r="I136">
        <f>+'vs Bos'!I136+'vs Hou'!I136+'at Buf'!I136+'vs Bos(2)'!I136+'vs KC'!I136+'at Den'!I136+'at Oak'!I136+'vs Mia'!I136+'at KC'!I136+'vs Den'!I136+'vs Oak'!I136+'at Mia'!I136+'at Hou'!I136+'vs NY'!I136+'Gm 15'!I136+'Gm 16'!I136</f>
        <v>0</v>
      </c>
      <c r="K136">
        <f t="shared" si="20"/>
        <v>0</v>
      </c>
    </row>
    <row r="137" spans="3:11" ht="12">
      <c r="C137">
        <f>+'vs Bos'!C137+'vs Hou'!C137+'at Buf'!C137+'vs Bos(2)'!C137+'vs KC'!C137+'at Den'!C137+'at Oak'!C137+'vs Mia'!C137+'at KC'!C137+'vs Den'!C137+'vs Oak'!C137+'at Mia'!C137+'at Hou'!C137+'vs NY'!C137+'Gm 15'!C137+'Gm 16'!C137</f>
        <v>0</v>
      </c>
      <c r="D137">
        <f>+'vs Bos'!D137+'vs Hou'!D137+'at Buf'!D137+'vs Bos(2)'!D137+'vs KC'!D137+'at Den'!D137+'at Oak'!D137+'vs Mia'!D137+'at KC'!D137+'vs Den'!D137+'vs Oak'!D137+'at Mia'!D137+'at Hou'!D137+'vs NY'!D137+'Gm 15'!D137+'Gm 16'!D137</f>
        <v>0</v>
      </c>
      <c r="E137">
        <f>+'vs Bos'!E137+'vs Hou'!E137+'at Buf'!E137+'vs Bos(2)'!E137+'vs KC'!E137+'at Den'!E137+'at Oak'!E137+'vs Mia'!E137+'at KC'!E137+'vs Den'!E137+'vs Oak'!E137+'at Mia'!E137+'at Hou'!E137+'vs NY'!E137+'Gm 15'!E137+'Gm 16'!E137</f>
        <v>0</v>
      </c>
      <c r="F137" s="12">
        <f t="shared" si="19"/>
        <v>0</v>
      </c>
      <c r="G137">
        <f>MAX('vs Bos'!G137,'vs Hou'!G137,'at Buf'!G137,'vs Bos(2)'!G137,'vs KC'!G137,'at Den'!G137,'at Oak'!G137,'vs Mia'!G137,'at KC'!G137,'vs Den'!G137,'vs Oak'!G137,'at Mia'!G137,'at Hou'!G137,'vs NY'!G137,'Gm 15'!G137,'Gm 16'!G137)</f>
        <v>0</v>
      </c>
      <c r="H137">
        <f>+'vs Bos'!H137+'vs Hou'!H137+'at Buf'!H137+'vs Bos(2)'!H137+'vs KC'!H137+'at Den'!H137+'at Oak'!H137+'vs Mia'!H137+'at KC'!H137+'vs Den'!H137+'vs Oak'!H137+'at Mia'!H137+'at Hou'!H137+'vs NY'!H137+'Gm 15'!H137+'Gm 16'!H137</f>
        <v>0</v>
      </c>
      <c r="I137">
        <f>+'vs Bos'!I137+'vs Hou'!I137+'at Buf'!I137+'vs Bos(2)'!I137+'vs KC'!I137+'at Den'!I137+'at Oak'!I137+'vs Mia'!I137+'at KC'!I137+'vs Den'!I137+'vs Oak'!I137+'at Mia'!I137+'at Hou'!I137+'vs NY'!I137+'Gm 15'!I137+'Gm 16'!I137</f>
        <v>0</v>
      </c>
      <c r="K137">
        <f t="shared" si="20"/>
        <v>0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8" ht="12">
      <c r="A141" t="s">
        <v>148</v>
      </c>
      <c r="B141" t="s">
        <v>184</v>
      </c>
      <c r="C141">
        <f>+'vs Bos'!C141+'vs Hou'!C141+'at Buf'!C141+'vs Bos(2)'!C141+'vs KC'!C141+'at Den'!C141+'at Oak'!C141+'vs Mia'!C141+'at KC'!C141+'vs Den'!C141+'vs Oak'!C141+'at Mia'!C141+'at Hou'!C141+'vs NY'!C141+'Gm 15'!C141+'Gm 16'!C141</f>
        <v>8</v>
      </c>
      <c r="D141">
        <f>+'vs Bos'!D141+'vs Hou'!D141+'at Buf'!D141+'vs Bos(2)'!D141+'vs KC'!D141+'at Den'!D141+'at Oak'!D141+'vs Mia'!D141+'at KC'!D141+'vs Den'!D141+'vs Oak'!D141+'at Mia'!D141+'at Hou'!D141+'vs NY'!D141+'Gm 15'!D141+'Gm 16'!D141</f>
        <v>238</v>
      </c>
      <c r="E141" s="12">
        <f aca="true" t="shared" si="21" ref="E141:E149">IF(C141=0,0,+D141/C141)</f>
        <v>29.75</v>
      </c>
      <c r="F141">
        <f>MAX('vs Bos'!F141,'vs Hou'!F141,'at Buf'!F141,'vs Bos(2)'!F141,'vs KC'!F141,'at Den'!F141,'at Oak'!F141,'vs Mia'!F141,'at KC'!F141,'vs Den'!F141,'vs Oak'!F141,'at Mia'!F141,'at Hou'!F141,'vs NY'!F141,'Gm 15'!F141,'Gm 16'!F141)</f>
        <v>63</v>
      </c>
      <c r="G141">
        <f>+'vs Bos'!G141+'vs Hou'!G141+'at Buf'!G141+'vs Bos(2)'!G141+'vs KC'!G141+'at Den'!G141+'at Oak'!G141+'vs Mia'!G141+'at KC'!G141+'vs Den'!G141+'vs Oak'!G141+'at Mia'!G141+'at Hou'!G141+'vs NY'!G141+'Gm 15'!G141+'Gm 16'!G141</f>
        <v>0</v>
      </c>
      <c r="H141">
        <f>+'vs Bos'!H141+'vs Hou'!H141+'at Buf'!H141+'vs Bos(2)'!H141+'vs KC'!H141+'at Den'!H141+'at Oak'!H141+'vs Mia'!H141+'at KC'!H141+'vs Den'!H141+'vs Oak'!H141+'at Mia'!H141+'at Hou'!H141+'vs NY'!H141+'Gm 15'!H141+'Gm 16'!H141</f>
        <v>1</v>
      </c>
    </row>
    <row r="142" spans="1:8" ht="12">
      <c r="A142" t="s">
        <v>150</v>
      </c>
      <c r="B142" t="s">
        <v>184</v>
      </c>
      <c r="C142">
        <f>+'vs Bos'!C142+'vs Hou'!C142+'at Buf'!C142+'vs Bos(2)'!C142+'vs KC'!C142+'at Den'!C142+'at Oak'!C142+'vs Mia'!C142+'at KC'!C142+'vs Den'!C142+'vs Oak'!C142+'at Mia'!C142+'at Hou'!C142+'vs NY'!C142+'Gm 15'!C142+'Gm 16'!C142</f>
        <v>3</v>
      </c>
      <c r="D142">
        <f>+'vs Bos'!D142+'vs Hou'!D142+'at Buf'!D142+'vs Bos(2)'!D142+'vs KC'!D142+'at Den'!D142+'at Oak'!D142+'vs Mia'!D142+'at KC'!D142+'vs Den'!D142+'vs Oak'!D142+'at Mia'!D142+'at Hou'!D142+'vs NY'!D142+'Gm 15'!D142+'Gm 16'!D142</f>
        <v>20</v>
      </c>
      <c r="E142" s="12">
        <f t="shared" si="21"/>
        <v>6.666666666666667</v>
      </c>
      <c r="F142">
        <f>MAX('vs Bos'!F142,'vs Hou'!F142,'at Buf'!F142,'vs Bos(2)'!F142,'vs KC'!F142,'at Den'!F142,'at Oak'!F142,'vs Mia'!F142,'at KC'!F142,'vs Den'!F142,'vs Oak'!F142,'at Mia'!F142,'at Hou'!F142,'vs NY'!F142,'Gm 15'!F142,'Gm 16'!F142)</f>
        <v>8</v>
      </c>
      <c r="G142">
        <f>+'vs Bos'!G142+'vs Hou'!G142+'at Buf'!G142+'vs Bos(2)'!G142+'vs KC'!G142+'at Den'!G142+'at Oak'!G142+'vs Mia'!G142+'at KC'!G142+'vs Den'!G142+'vs Oak'!G142+'at Mia'!G142+'at Hou'!G142+'vs NY'!G142+'Gm 15'!G142+'Gm 16'!G142</f>
        <v>0</v>
      </c>
      <c r="H142">
        <f>+'vs Bos'!H142+'vs Hou'!H142+'at Buf'!H142+'vs Bos(2)'!H142+'vs KC'!H142+'at Den'!H142+'at Oak'!H142+'vs Mia'!H142+'at KC'!H142+'vs Den'!H142+'vs Oak'!H142+'at Mia'!H142+'at Hou'!H142+'vs NY'!H142+'Gm 15'!H142+'Gm 16'!H142</f>
        <v>0</v>
      </c>
    </row>
    <row r="143" spans="1:8" ht="12">
      <c r="A143" t="s">
        <v>139</v>
      </c>
      <c r="B143" t="s">
        <v>184</v>
      </c>
      <c r="C143">
        <f>+'vs Bos'!C143+'vs Hou'!C143+'at Buf'!C143+'vs Bos(2)'!C143+'vs KC'!C143+'at Den'!C143+'at Oak'!C143+'vs Mia'!C143+'at KC'!C143+'vs Den'!C143+'vs Oak'!C143+'at Mia'!C143+'at Hou'!C143+'vs NY'!C143+'Gm 15'!C143+'Gm 16'!C143</f>
        <v>13</v>
      </c>
      <c r="D143">
        <f>+'vs Bos'!D143+'vs Hou'!D143+'at Buf'!D143+'vs Bos(2)'!D143+'vs KC'!D143+'at Den'!D143+'at Oak'!D143+'vs Mia'!D143+'at KC'!D143+'vs Den'!D143+'vs Oak'!D143+'at Mia'!D143+'at Hou'!D143+'vs NY'!D143+'Gm 15'!D143+'Gm 16'!D143</f>
        <v>214</v>
      </c>
      <c r="E143" s="12">
        <f t="shared" si="21"/>
        <v>16.46153846153846</v>
      </c>
      <c r="F143">
        <f>MAX('vs Bos'!F143,'vs Hou'!F143,'at Buf'!F143,'vs Bos(2)'!F143,'vs KC'!F143,'at Den'!F143,'at Oak'!F143,'vs Mia'!F143,'at KC'!F143,'vs Den'!F143,'vs Oak'!F143,'at Mia'!F143,'at Hou'!F143,'vs NY'!F143,'Gm 15'!F143,'Gm 16'!F143)</f>
        <v>27</v>
      </c>
      <c r="G143">
        <f>+'vs Bos'!G143+'vs Hou'!G143+'at Buf'!G143+'vs Bos(2)'!G143+'vs KC'!G143+'at Den'!G143+'at Oak'!G143+'vs Mia'!G143+'at KC'!G143+'vs Den'!G143+'vs Oak'!G143+'at Mia'!G143+'at Hou'!G143+'vs NY'!G143+'Gm 15'!G143+'Gm 16'!G143</f>
        <v>0</v>
      </c>
      <c r="H143">
        <f>+'vs Bos'!H143+'vs Hou'!H143+'at Buf'!H143+'vs Bos(2)'!H143+'vs KC'!H143+'at Den'!H143+'at Oak'!H143+'vs Mia'!H143+'at KC'!H143+'vs Den'!H143+'vs Oak'!H143+'at Mia'!H143+'at Hou'!H143+'vs NY'!H143+'Gm 15'!H143+'Gm 16'!H143</f>
        <v>0</v>
      </c>
    </row>
    <row r="144" spans="1:8" ht="12">
      <c r="A144" t="s">
        <v>140</v>
      </c>
      <c r="B144" t="s">
        <v>184</v>
      </c>
      <c r="C144">
        <f>+'vs Bos'!C144+'vs Hou'!C144+'at Buf'!C144+'vs Bos(2)'!C144+'vs KC'!C144+'at Den'!C144+'at Oak'!C144+'vs Mia'!C144+'at KC'!C144+'vs Den'!C144+'vs Oak'!C144+'at Mia'!C144+'at Hou'!C144+'vs NY'!C144+'Gm 15'!C144+'Gm 16'!C144</f>
        <v>17</v>
      </c>
      <c r="D144">
        <f>+'vs Bos'!D144+'vs Hou'!D144+'at Buf'!D144+'vs Bos(2)'!D144+'vs KC'!D144+'at Den'!D144+'at Oak'!D144+'vs Mia'!D144+'at KC'!D144+'vs Den'!D144+'vs Oak'!D144+'at Mia'!D144+'at Hou'!D144+'vs NY'!D144+'Gm 15'!D144+'Gm 16'!D144</f>
        <v>446</v>
      </c>
      <c r="E144" s="12">
        <f t="shared" si="21"/>
        <v>26.235294117647058</v>
      </c>
      <c r="F144">
        <f>MAX('vs Bos'!F144,'vs Hou'!F144,'at Buf'!F144,'vs Bos(2)'!F144,'vs KC'!F144,'at Den'!F144,'at Oak'!F144,'vs Mia'!F144,'at KC'!F144,'vs Den'!F144,'vs Oak'!F144,'at Mia'!F144,'at Hou'!F144,'vs NY'!F144,'Gm 15'!F144,'Gm 16'!F144)</f>
        <v>56</v>
      </c>
      <c r="G144">
        <f>+'vs Bos'!G144+'vs Hou'!G144+'at Buf'!G144+'vs Bos(2)'!G144+'vs KC'!G144+'at Den'!G144+'at Oak'!G144+'vs Mia'!G144+'at KC'!G144+'vs Den'!G144+'vs Oak'!G144+'at Mia'!G144+'at Hou'!G144+'vs NY'!G144+'Gm 15'!G144+'Gm 16'!G144</f>
        <v>0</v>
      </c>
      <c r="H144">
        <f>+'vs Bos'!H144+'vs Hou'!H144+'at Buf'!H144+'vs Bos(2)'!H144+'vs KC'!H144+'at Den'!H144+'at Oak'!H144+'vs Mia'!H144+'at KC'!H144+'vs Den'!H144+'vs Oak'!H144+'at Mia'!H144+'at Hou'!H144+'vs NY'!H144+'Gm 15'!H144+'Gm 16'!H144</f>
        <v>0</v>
      </c>
    </row>
    <row r="145" spans="1:8" ht="12">
      <c r="A145" t="s">
        <v>142</v>
      </c>
      <c r="B145" t="s">
        <v>184</v>
      </c>
      <c r="C145">
        <f>+'vs Bos'!C145+'vs Hou'!C145+'at Buf'!C145+'vs Bos(2)'!C145+'vs KC'!C145+'at Den'!C145+'at Oak'!C145+'vs Mia'!C145+'at KC'!C145+'vs Den'!C145+'vs Oak'!C145+'at Mia'!C145+'at Hou'!C145+'vs NY'!C145+'Gm 15'!C145+'Gm 16'!C145</f>
        <v>1</v>
      </c>
      <c r="D145">
        <f>+'vs Bos'!D145+'vs Hou'!D145+'at Buf'!D145+'vs Bos(2)'!D145+'vs KC'!D145+'at Den'!D145+'at Oak'!D145+'vs Mia'!D145+'at KC'!D145+'vs Den'!D145+'vs Oak'!D145+'at Mia'!D145+'at Hou'!D145+'vs NY'!D145+'Gm 15'!D145+'Gm 16'!D145</f>
        <v>18</v>
      </c>
      <c r="E145" s="12">
        <f t="shared" si="21"/>
        <v>18</v>
      </c>
      <c r="F145">
        <f>MAX('vs Bos'!F145,'vs Hou'!F145,'at Buf'!F145,'vs Bos(2)'!F145,'vs KC'!F145,'at Den'!F145,'at Oak'!F145,'vs Mia'!F145,'at KC'!F145,'vs Den'!F145,'vs Oak'!F145,'at Mia'!F145,'at Hou'!F145,'vs NY'!F145,'Gm 15'!F145,'Gm 16'!F145)</f>
        <v>18</v>
      </c>
      <c r="G145">
        <f>+'vs Bos'!G145+'vs Hou'!G145+'at Buf'!G145+'vs Bos(2)'!G145+'vs KC'!G145+'at Den'!G145+'at Oak'!G145+'vs Mia'!G145+'at KC'!G145+'vs Den'!G145+'vs Oak'!G145+'at Mia'!G145+'at Hou'!G145+'vs NY'!G145+'Gm 15'!G145+'Gm 16'!G145</f>
        <v>0</v>
      </c>
      <c r="H145">
        <f>+'vs Bos'!H145+'vs Hou'!H145+'at Buf'!H145+'vs Bos(2)'!H145+'vs KC'!H145+'at Den'!H145+'at Oak'!H145+'vs Mia'!H145+'at KC'!H145+'vs Den'!H145+'vs Oak'!H145+'at Mia'!H145+'at Hou'!H145+'vs NY'!H145+'Gm 15'!H145+'Gm 16'!H145</f>
        <v>0</v>
      </c>
    </row>
    <row r="146" spans="1:8" ht="12">
      <c r="A146" t="s">
        <v>151</v>
      </c>
      <c r="B146" t="s">
        <v>184</v>
      </c>
      <c r="C146">
        <f>+'vs Bos'!C146+'vs Hou'!C146+'at Buf'!C146+'vs Bos(2)'!C146+'vs KC'!C146+'at Den'!C146+'at Oak'!C146+'vs Mia'!C146+'at KC'!C146+'vs Den'!C146+'vs Oak'!C146+'at Mia'!C146+'at Hou'!C146+'vs NY'!C146+'Gm 15'!C146+'Gm 16'!C146</f>
        <v>21</v>
      </c>
      <c r="D146">
        <f>+'vs Bos'!D146+'vs Hou'!D146+'at Buf'!D146+'vs Bos(2)'!D146+'vs KC'!D146+'at Den'!D146+'at Oak'!D146+'vs Mia'!D146+'at KC'!D146+'vs Den'!D146+'vs Oak'!D146+'at Mia'!D146+'at Hou'!D146+'vs NY'!D146+'Gm 15'!D146+'Gm 16'!D146</f>
        <v>484</v>
      </c>
      <c r="E146" s="12">
        <f t="shared" si="21"/>
        <v>23.047619047619047</v>
      </c>
      <c r="F146">
        <f>MAX('vs Bos'!F146,'vs Hou'!F146,'at Buf'!F146,'vs Bos(2)'!F146,'vs KC'!F146,'at Den'!F146,'at Oak'!F146,'vs Mia'!F146,'at KC'!F146,'vs Den'!F146,'vs Oak'!F146,'at Mia'!F146,'at Hou'!F146,'vs NY'!F146,'Gm 15'!F146,'Gm 16'!F146)</f>
        <v>75</v>
      </c>
      <c r="G146">
        <f>+'vs Bos'!G146+'vs Hou'!G146+'at Buf'!G146+'vs Bos(2)'!G146+'vs KC'!G146+'at Den'!G146+'at Oak'!G146+'vs Mia'!G146+'at KC'!G146+'vs Den'!G146+'vs Oak'!G146+'at Mia'!G146+'at Hou'!G146+'vs NY'!G146+'Gm 15'!G146+'Gm 16'!G146</f>
        <v>0</v>
      </c>
      <c r="H146">
        <f>+'vs Bos'!H146+'vs Hou'!H146+'at Buf'!H146+'vs Bos(2)'!H146+'vs KC'!H146+'at Den'!H146+'at Oak'!H146+'vs Mia'!H146+'at KC'!H146+'vs Den'!H146+'vs Oak'!H146+'at Mia'!H146+'at Hou'!H146+'vs NY'!H146+'Gm 15'!H146+'Gm 16'!H146</f>
        <v>4</v>
      </c>
    </row>
    <row r="147" spans="3:8" ht="12">
      <c r="C147">
        <f>+'vs Bos'!C147+'vs Hou'!C147+'at Buf'!C147+'vs Bos(2)'!C147+'vs KC'!C147+'at Den'!C147+'at Oak'!C147+'vs Mia'!C147+'at KC'!C147+'vs Den'!C147+'vs Oak'!C147+'at Mia'!C147+'at Hou'!C147+'vs NY'!C147+'Gm 15'!C147+'Gm 16'!C147</f>
        <v>0</v>
      </c>
      <c r="D147">
        <f>+'vs Bos'!D147+'vs Hou'!D147+'at Buf'!D147+'vs Bos(2)'!D147+'vs KC'!D147+'at Den'!D147+'at Oak'!D147+'vs Mia'!D147+'at KC'!D147+'vs Den'!D147+'vs Oak'!D147+'at Mia'!D147+'at Hou'!D147+'vs NY'!D147+'Gm 15'!D147+'Gm 16'!D147</f>
        <v>0</v>
      </c>
      <c r="E147" s="12">
        <f t="shared" si="21"/>
        <v>0</v>
      </c>
      <c r="F147">
        <f>MAX('vs Bos'!F147,'vs Hou'!F147,'at Buf'!F147,'vs Bos(2)'!F147,'vs KC'!F147,'at Den'!F147,'at Oak'!F147,'vs Mia'!F147,'at KC'!F147,'vs Den'!F147,'vs Oak'!F147,'at Mia'!F147,'at Hou'!F147,'vs NY'!F147,'Gm 15'!F147,'Gm 16'!F147)</f>
        <v>0</v>
      </c>
      <c r="G147">
        <f>+'vs Bos'!G147+'vs Hou'!G147+'at Buf'!G147+'vs Bos(2)'!G147+'vs KC'!G147+'at Den'!G147+'at Oak'!G147+'vs Mia'!G147+'at KC'!G147+'vs Den'!G147+'vs Oak'!G147+'at Mia'!G147+'at Hou'!G147+'vs NY'!G147+'Gm 15'!G147+'Gm 16'!G147</f>
        <v>0</v>
      </c>
      <c r="H147">
        <f>+'vs Bos'!H147+'vs Hou'!H147+'at Buf'!H147+'vs Bos(2)'!H147+'vs KC'!H147+'at Den'!H147+'at Oak'!H147+'vs Mia'!H147+'at KC'!H147+'vs Den'!H147+'vs Oak'!H147+'at Mia'!H147+'at Hou'!H147+'vs NY'!H147+'Gm 15'!H147+'Gm 16'!H147</f>
        <v>0</v>
      </c>
    </row>
    <row r="148" spans="3:8" ht="12">
      <c r="C148">
        <f>+'vs Bos'!C148+'vs Hou'!C148+'at Buf'!C148+'vs Bos(2)'!C148+'vs KC'!C148+'at Den'!C148+'at Oak'!C148+'vs Mia'!C148+'at KC'!C148+'vs Den'!C148+'vs Oak'!C148+'at Mia'!C148+'at Hou'!C148+'vs NY'!C148+'Gm 15'!C148+'Gm 16'!C148</f>
        <v>0</v>
      </c>
      <c r="D148">
        <f>+'vs Bos'!D148+'vs Hou'!D148+'at Buf'!D148+'vs Bos(2)'!D148+'vs KC'!D148+'at Den'!D148+'at Oak'!D148+'vs Mia'!D148+'at KC'!D148+'vs Den'!D148+'vs Oak'!D148+'at Mia'!D148+'at Hou'!D148+'vs NY'!D148+'Gm 15'!D148+'Gm 16'!D148</f>
        <v>0</v>
      </c>
      <c r="E148" s="12">
        <f t="shared" si="21"/>
        <v>0</v>
      </c>
      <c r="F148">
        <f>MAX('vs Bos'!F148,'vs Hou'!F148,'at Buf'!F148,'vs Bos(2)'!F148,'vs KC'!F148,'at Den'!F148,'at Oak'!F148,'vs Mia'!F148,'at KC'!F148,'vs Den'!F148,'vs Oak'!F148,'at Mia'!F148,'at Hou'!F148,'vs NY'!F148,'Gm 15'!F148,'Gm 16'!F148)</f>
        <v>0</v>
      </c>
      <c r="G148">
        <f>+'vs Bos'!G148+'vs Hou'!G148+'at Buf'!G148+'vs Bos(2)'!G148+'vs KC'!G148+'at Den'!G148+'at Oak'!G148+'vs Mia'!G148+'at KC'!G148+'vs Den'!G148+'vs Oak'!G148+'at Mia'!G148+'at Hou'!G148+'vs NY'!G148+'Gm 15'!G148+'Gm 16'!G148</f>
        <v>0</v>
      </c>
      <c r="H148">
        <f>+'vs Bos'!H148+'vs Hou'!H148+'at Buf'!H148+'vs Bos(2)'!H148+'vs KC'!H148+'at Den'!H148+'at Oak'!H148+'vs Mia'!H148+'at KC'!H148+'vs Den'!H148+'vs Oak'!H148+'at Mia'!H148+'at Hou'!H148+'vs NY'!H148+'Gm 15'!H148+'Gm 16'!H148</f>
        <v>0</v>
      </c>
    </row>
    <row r="149" spans="3:8" ht="12">
      <c r="C149">
        <f>+'vs Bos'!C149+'vs Hou'!C149+'at Buf'!C149+'vs Bos(2)'!C149+'vs KC'!C149+'at Den'!C149+'at Oak'!C149+'vs Mia'!C149+'at KC'!C149+'vs Den'!C149+'vs Oak'!C149+'at Mia'!C149+'at Hou'!C149+'vs NY'!C149+'Gm 15'!C149+'Gm 16'!C149</f>
        <v>0</v>
      </c>
      <c r="D149">
        <f>+'vs Bos'!D149+'vs Hou'!D149+'at Buf'!D149+'vs Bos(2)'!D149+'vs KC'!D149+'at Den'!D149+'at Oak'!D149+'vs Mia'!D149+'at KC'!D149+'vs Den'!D149+'vs Oak'!D149+'at Mia'!D149+'at Hou'!D149+'vs NY'!D149+'Gm 15'!D149+'Gm 16'!D149</f>
        <v>0</v>
      </c>
      <c r="E149" s="12">
        <f t="shared" si="21"/>
        <v>0</v>
      </c>
      <c r="F149">
        <f>MAX('vs Bos'!F149,'vs Hou'!F149,'at Buf'!F149,'vs Bos(2)'!F149,'vs KC'!F149,'at Den'!F149,'at Oak'!F149,'vs Mia'!F149,'at KC'!F149,'vs Den'!F149,'vs Oak'!F149,'at Mia'!F149,'at Hou'!F149,'vs NY'!F149,'Gm 15'!F149,'Gm 16'!F149)</f>
        <v>0</v>
      </c>
      <c r="G149">
        <f>+'vs Bos'!G149+'vs Hou'!G149+'at Buf'!G149+'vs Bos(2)'!G149+'vs KC'!G149+'at Den'!G149+'at Oak'!G149+'vs Mia'!G149+'at KC'!G149+'vs Den'!G149+'vs Oak'!G149+'at Mia'!G149+'at Hou'!G149+'vs NY'!G149+'Gm 15'!G149+'Gm 16'!G149</f>
        <v>0</v>
      </c>
      <c r="H149">
        <f>+'vs Bos'!H149+'vs Hou'!H149+'at Buf'!H149+'vs Bos(2)'!H149+'vs KC'!H149+'at Den'!H149+'at Oak'!H149+'vs Mia'!H149+'at KC'!H149+'vs Den'!H149+'vs Oak'!H149+'at Mia'!H149+'at Hou'!H149+'vs NY'!H149+'Gm 15'!H149+'Gm 16'!H149</f>
        <v>0</v>
      </c>
    </row>
    <row r="150" spans="3:8" ht="12">
      <c r="C150">
        <f>+'vs Bos'!C150+'vs Hou'!C150+'at Buf'!C150+'vs Bos(2)'!C150+'vs KC'!C150+'at Den'!C150+'at Oak'!C150+'vs Mia'!C150+'at KC'!C150+'vs Den'!C150+'vs Oak'!C150+'at Mia'!C150+'at Hou'!C150+'vs NY'!C150+'Gm 15'!C150+'Gm 16'!C150</f>
        <v>0</v>
      </c>
      <c r="D150">
        <f>+'vs Bos'!D150+'vs Hou'!D150+'at Buf'!D150+'vs Bos(2)'!D150+'vs KC'!D150+'at Den'!D150+'at Oak'!D150+'vs Mia'!D150+'at KC'!D150+'vs Den'!D150+'vs Oak'!D150+'at Mia'!D150+'at Hou'!D150+'vs NY'!D150+'Gm 15'!D150+'Gm 16'!D150</f>
        <v>0</v>
      </c>
      <c r="E150" s="12">
        <f>IF(C150=0,0,+D150/C150)</f>
        <v>0</v>
      </c>
      <c r="F150">
        <f>MAX('vs Bos'!F150,'vs Hou'!F150,'at Buf'!F150,'vs Bos(2)'!F150,'vs KC'!F150,'at Den'!F150,'at Oak'!F150,'vs Mia'!F150,'at KC'!F150,'vs Den'!F150,'vs Oak'!F150,'at Mia'!F150,'at Hou'!F150,'vs NY'!F150,'Gm 15'!F150,'Gm 16'!F150)</f>
        <v>0</v>
      </c>
      <c r="G150">
        <f>+'vs Bos'!G150+'vs Hou'!G150+'at Buf'!G150+'vs Bos(2)'!G150+'vs KC'!G150+'at Den'!G150+'at Oak'!G150+'vs Mia'!G150+'at KC'!G150+'vs Den'!G150+'vs Oak'!G150+'at Mia'!G150+'at Hou'!G150+'vs NY'!G150+'Gm 15'!G150+'Gm 16'!G150</f>
        <v>0</v>
      </c>
      <c r="H150">
        <f>+'vs Bos'!H150+'vs Hou'!H150+'at Buf'!H150+'vs Bos(2)'!H150+'vs KC'!H150+'at Den'!H150+'at Oak'!H150+'vs Mia'!H150+'at KC'!H150+'vs Den'!H150+'vs Oak'!H150+'at Mia'!H150+'at Hou'!H150+'vs NY'!H150+'Gm 15'!H150+'Gm 16'!H150</f>
        <v>0</v>
      </c>
    </row>
    <row r="151" spans="3:8" ht="12">
      <c r="C151">
        <f>+'vs Bos'!C151+'vs Hou'!C151+'at Buf'!C151+'vs Bos(2)'!C151+'vs KC'!C151+'at Den'!C151+'at Oak'!C151+'vs Mia'!C151+'at KC'!C151+'vs Den'!C151+'vs Oak'!C151+'at Mia'!C151+'at Hou'!C151+'vs NY'!C151+'Gm 15'!C151+'Gm 16'!C151</f>
        <v>0</v>
      </c>
      <c r="D151">
        <f>+'vs Bos'!D151+'vs Hou'!D151+'at Buf'!D151+'vs Bos(2)'!D151+'vs KC'!D151+'at Den'!D151+'at Oak'!D151+'vs Mia'!D151+'at KC'!D151+'vs Den'!D151+'vs Oak'!D151+'at Mia'!D151+'at Hou'!D151+'vs NY'!D151+'Gm 15'!D151+'Gm 16'!D151</f>
        <v>0</v>
      </c>
      <c r="E151" s="12">
        <f>IF(C151=0,0,+D151/C151)</f>
        <v>0</v>
      </c>
      <c r="F151">
        <f>MAX('vs Bos'!F151,'vs Hou'!F151,'at Buf'!F151,'vs Bos(2)'!F151,'vs KC'!F151,'at Den'!F151,'at Oak'!F151,'vs Mia'!F151,'at KC'!F151,'vs Den'!F151,'vs Oak'!F151,'at Mia'!F151,'at Hou'!F151,'vs NY'!F151,'Gm 15'!F151,'Gm 16'!F151)</f>
        <v>0</v>
      </c>
      <c r="G151">
        <f>+'vs Bos'!G151+'vs Hou'!G151+'at Buf'!G151+'vs Bos(2)'!G151+'vs KC'!G151+'at Den'!G151+'at Oak'!G151+'vs Mia'!G151+'at KC'!G151+'vs Den'!G151+'vs Oak'!G151+'at Mia'!G151+'at Hou'!G151+'vs NY'!G151+'Gm 15'!G151+'Gm 16'!G151</f>
        <v>0</v>
      </c>
      <c r="H151">
        <f>+'vs Bos'!H151+'vs Hou'!H151+'at Buf'!H151+'vs Bos(2)'!H151+'vs KC'!H151+'at Den'!H151+'at Oak'!H151+'vs Mia'!H151+'at KC'!H151+'vs Den'!H151+'vs Oak'!H151+'at Mia'!H151+'at Hou'!H151+'vs NY'!H151+'Gm 15'!H151+'Gm 16'!H151</f>
        <v>0</v>
      </c>
    </row>
    <row r="152" spans="3:8" ht="12">
      <c r="C152">
        <f>+'vs Bos'!C152+'vs Hou'!C152+'at Buf'!C152+'vs Bos(2)'!C152+'vs KC'!C152+'at Den'!C152+'at Oak'!C152+'vs Mia'!C152+'at KC'!C152+'vs Den'!C152+'vs Oak'!C152+'at Mia'!C152+'at Hou'!C152+'vs NY'!C152+'Gm 15'!C152+'Gm 16'!C152</f>
        <v>0</v>
      </c>
      <c r="D152">
        <f>+'vs Bos'!D152+'vs Hou'!D152+'at Buf'!D152+'vs Bos(2)'!D152+'vs KC'!D152+'at Den'!D152+'at Oak'!D152+'vs Mia'!D152+'at KC'!D152+'vs Den'!D152+'vs Oak'!D152+'at Mia'!D152+'at Hou'!D152+'vs NY'!D152+'Gm 15'!D152+'Gm 16'!D152</f>
        <v>0</v>
      </c>
      <c r="E152" s="12">
        <f>IF(C152=0,0,+D152/C152)</f>
        <v>0</v>
      </c>
      <c r="F152">
        <f>MAX('vs Bos'!F152,'vs Hou'!F152,'at Buf'!F152,'vs Bos(2)'!F152,'vs KC'!F152,'at Den'!F152,'at Oak'!F152,'vs Mia'!F152,'at KC'!F152,'vs Den'!F152,'vs Oak'!F152,'at Mia'!F152,'at Hou'!F152,'vs NY'!F152,'Gm 15'!F152,'Gm 16'!F152)</f>
        <v>0</v>
      </c>
      <c r="G152">
        <f>+'vs Bos'!G152+'vs Hou'!G152+'at Buf'!G152+'vs Bos(2)'!G152+'vs KC'!G152+'at Den'!G152+'at Oak'!G152+'vs Mia'!G152+'at KC'!G152+'vs Den'!G152+'vs Oak'!G152+'at Mia'!G152+'at Hou'!G152+'vs NY'!G152+'Gm 15'!G152+'Gm 16'!G152</f>
        <v>0</v>
      </c>
      <c r="H152">
        <f>+'vs Bos'!H152+'vs Hou'!H152+'at Buf'!H152+'vs Bos(2)'!H152+'vs KC'!H152+'at Den'!H152+'at Oak'!H152+'vs Mia'!H152+'at KC'!H152+'vs Den'!H152+'vs Oak'!H152+'at Mia'!H152+'at Hou'!H152+'vs NY'!H152+'Gm 15'!H152+'Gm 16'!H152</f>
        <v>0</v>
      </c>
    </row>
    <row r="153" spans="3:8" ht="12">
      <c r="C153">
        <f>+'vs Bos'!C153+'vs Hou'!C153+'at Buf'!C153+'vs Bos(2)'!C153+'vs KC'!C153+'at Den'!C153+'at Oak'!C153+'vs Mia'!C153+'at KC'!C153+'vs Den'!C153+'vs Oak'!C153+'at Mia'!C153+'at Hou'!C153+'vs NY'!C153+'Gm 15'!C153+'Gm 16'!C153</f>
        <v>0</v>
      </c>
      <c r="D153">
        <f>+'vs Bos'!D153+'vs Hou'!D153+'at Buf'!D153+'vs Bos(2)'!D153+'vs KC'!D153+'at Den'!D153+'at Oak'!D153+'vs Mia'!D153+'at KC'!D153+'vs Den'!D153+'vs Oak'!D153+'at Mia'!D153+'at Hou'!D153+'vs NY'!D153+'Gm 15'!D153+'Gm 16'!D153</f>
        <v>0</v>
      </c>
      <c r="E153" s="12">
        <f>IF(C153=0,0,+D153/C153)</f>
        <v>0</v>
      </c>
      <c r="F153">
        <f>MAX('vs Bos'!F153,'vs Hou'!F153,'at Buf'!F153,'vs Bos(2)'!F153,'vs KC'!F153,'at Den'!F153,'at Oak'!F153,'vs Mia'!F153,'at KC'!F153,'vs Den'!F153,'vs Oak'!F153,'at Mia'!F153,'at Hou'!F153,'vs NY'!F153,'Gm 15'!F153,'Gm 16'!F153)</f>
        <v>0</v>
      </c>
      <c r="G153">
        <f>+'vs Bos'!G153+'vs Hou'!G153+'at Buf'!G153+'vs Bos(2)'!G153+'vs KC'!G153+'at Den'!G153+'at Oak'!G153+'vs Mia'!G153+'at KC'!G153+'vs Den'!G153+'vs Oak'!G153+'at Mia'!G153+'at Hou'!G153+'vs NY'!G153+'Gm 15'!G153+'Gm 16'!G153</f>
        <v>0</v>
      </c>
      <c r="H153">
        <f>+'vs Bos'!H153+'vs Hou'!H153+'at Buf'!H153+'vs Bos(2)'!H153+'vs KC'!H153+'at Den'!H153+'at Oak'!H153+'vs Mia'!H153+'at KC'!H153+'vs Den'!H153+'vs Oak'!H153+'at Mia'!H153+'at Hou'!H153+'vs NY'!H153+'Gm 15'!H153+'Gm 16'!H153</f>
        <v>0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8" ht="12">
      <c r="A156" t="s">
        <v>152</v>
      </c>
      <c r="B156" t="s">
        <v>184</v>
      </c>
      <c r="C156">
        <f>+'vs Bos'!C156+'vs Hou'!C156+'at Buf'!C156+'vs Bos(2)'!C156+'vs KC'!C156+'at Den'!C156+'at Oak'!C156+'vs Mia'!C156+'at KC'!C156+'vs Den'!C156+'vs Oak'!C156+'at Mia'!C156+'at Hou'!C156+'vs NY'!C156+'Gm 15'!C156+'Gm 16'!C156</f>
        <v>3</v>
      </c>
      <c r="D156">
        <f>+'vs Bos'!D156+'vs Hou'!D156+'at Buf'!D156+'vs Bos(2)'!D156+'vs KC'!D156+'at Den'!D156+'at Oak'!D156+'vs Mia'!D156+'at KC'!D156+'vs Den'!D156+'vs Oak'!D156+'at Mia'!D156+'at Hou'!D156+'vs NY'!D156+'Gm 15'!D156+'Gm 16'!D156</f>
        <v>144</v>
      </c>
      <c r="E156" s="12">
        <f>IF(C156=0,0,+D156/C156)</f>
        <v>48</v>
      </c>
      <c r="F156">
        <f>MAX('vs Bos'!F156,'vs Hou'!F156,'at Buf'!F156,'vs Bos(2)'!F156,'vs KC'!F156,'at Den'!F156,'at Oak'!F156,'vs Mia'!F156,'at KC'!F156,'vs Den'!F156,'vs Oak'!F156,'at Mia'!F156,'at Hou'!F156,'vs NY'!F156,'Gm 15'!F156,'Gm 16'!F156)</f>
        <v>56</v>
      </c>
      <c r="G156">
        <f>+'vs Bos'!G156+'vs Hou'!G156+'at Buf'!G156+'vs Bos(2)'!G156+'vs KC'!G156+'at Den'!G156+'at Oak'!G156+'vs Mia'!G156+'at KC'!G156+'vs Den'!G156+'vs Oak'!G156+'at Mia'!G156+'at Hou'!G156+'vs NY'!G156+'Gm 15'!G156+'Gm 16'!G156</f>
        <v>0</v>
      </c>
      <c r="H156">
        <f>+'vs Bos'!H156+'vs Hou'!H156+'at Buf'!H156+'vs Bos(2)'!H156+'vs KC'!H156+'at Den'!H156+'at Oak'!H156+'vs Mia'!H156+'at KC'!H156+'vs Den'!H156+'vs Oak'!H156+'at Mia'!H156+'at Hou'!H156+'vs NY'!H156+'Gm 15'!H156+'Gm 16'!H156</f>
        <v>0</v>
      </c>
    </row>
    <row r="157" spans="1:8" ht="12">
      <c r="A157" t="s">
        <v>137</v>
      </c>
      <c r="B157" t="s">
        <v>184</v>
      </c>
      <c r="C157">
        <f>+'vs Bos'!C157+'vs Hou'!C157+'at Buf'!C157+'vs Bos(2)'!C157+'vs KC'!C157+'at Den'!C157+'at Oak'!C157+'vs Mia'!C157+'at KC'!C157+'vs Den'!C157+'vs Oak'!C157+'at Mia'!C157+'at Hou'!C157+'vs NY'!C157+'Gm 15'!C157+'Gm 16'!C157</f>
        <v>2</v>
      </c>
      <c r="D157">
        <f>+'vs Bos'!D157+'vs Hou'!D157+'at Buf'!D157+'vs Bos(2)'!D157+'vs KC'!D157+'at Den'!D157+'at Oak'!D157+'vs Mia'!D157+'at KC'!D157+'vs Den'!D157+'vs Oak'!D157+'at Mia'!D157+'at Hou'!D157+'vs NY'!D157+'Gm 15'!D157+'Gm 16'!D157</f>
        <v>88</v>
      </c>
      <c r="E157" s="12">
        <f>IF(C157=0,0,+D157/C157)</f>
        <v>44</v>
      </c>
      <c r="F157">
        <f>MAX('vs Bos'!F157,'vs Hou'!F157,'at Buf'!F157,'vs Bos(2)'!F157,'vs KC'!F157,'at Den'!F157,'at Oak'!F157,'vs Mia'!F157,'at KC'!F157,'vs Den'!F157,'vs Oak'!F157,'at Mia'!F157,'at Hou'!F157,'vs NY'!F157,'Gm 15'!F157,'Gm 16'!F157)</f>
        <v>48</v>
      </c>
      <c r="G157">
        <f>+'vs Bos'!G157+'vs Hou'!G157+'at Buf'!G157+'vs Bos(2)'!G157+'vs KC'!G157+'at Den'!G157+'at Oak'!G157+'vs Mia'!G157+'at KC'!G157+'vs Den'!G157+'vs Oak'!G157+'at Mia'!G157+'at Hou'!G157+'vs NY'!G157+'Gm 15'!G157+'Gm 16'!G157</f>
        <v>0</v>
      </c>
      <c r="H157">
        <f>+'vs Bos'!H157+'vs Hou'!H157+'at Buf'!H157+'vs Bos(2)'!H157+'vs KC'!H157+'at Den'!H157+'at Oak'!H157+'vs Mia'!H157+'at KC'!H157+'vs Den'!H157+'vs Oak'!H157+'at Mia'!H157+'at Hou'!H157+'vs NY'!H157+'Gm 15'!H157+'Gm 16'!H157</f>
        <v>0</v>
      </c>
    </row>
    <row r="158" spans="1:8" ht="12">
      <c r="A158" t="s">
        <v>141</v>
      </c>
      <c r="B158" t="s">
        <v>184</v>
      </c>
      <c r="C158">
        <f>+'vs Bos'!C158+'vs Hou'!C158+'at Buf'!C158+'vs Bos(2)'!C158+'vs KC'!C158+'at Den'!C158+'at Oak'!C158+'vs Mia'!C158+'at KC'!C158+'vs Den'!C158+'vs Oak'!C158+'at Mia'!C158+'at Hou'!C158+'vs NY'!C158+'Gm 15'!C158+'Gm 16'!C158</f>
        <v>55</v>
      </c>
      <c r="D158">
        <f>+'vs Bos'!D158+'vs Hou'!D158+'at Buf'!D158+'vs Bos(2)'!D158+'vs KC'!D158+'at Den'!D158+'at Oak'!D158+'vs Mia'!D158+'at KC'!D158+'vs Den'!D158+'vs Oak'!D158+'at Mia'!D158+'at Hou'!D158+'vs NY'!D158+'Gm 15'!D158+'Gm 16'!D158</f>
        <v>1940</v>
      </c>
      <c r="E158" s="12">
        <f>IF(C158=0,0,+D158/C158)</f>
        <v>35.27272727272727</v>
      </c>
      <c r="F158">
        <f>MAX('vs Bos'!F158,'vs Hou'!F158,'at Buf'!F158,'vs Bos(2)'!F158,'vs KC'!F158,'at Den'!F158,'at Oak'!F158,'vs Mia'!F158,'at KC'!F158,'vs Den'!F158,'vs Oak'!F158,'at Mia'!F158,'at Hou'!F158,'vs NY'!F158,'Gm 15'!F158,'Gm 16'!F158)</f>
        <v>62</v>
      </c>
      <c r="G158">
        <f>+'vs Bos'!G158+'vs Hou'!G158+'at Buf'!G158+'vs Bos(2)'!G158+'vs KC'!G158+'at Den'!G158+'at Oak'!G158+'vs Mia'!G158+'at KC'!G158+'vs Den'!G158+'vs Oak'!G158+'at Mia'!G158+'at Hou'!G158+'vs NY'!G158+'Gm 15'!G158+'Gm 16'!G158</f>
        <v>0</v>
      </c>
      <c r="H158">
        <f>+'vs Bos'!H158+'vs Hou'!H158+'at Buf'!H158+'vs Bos(2)'!H158+'vs KC'!H158+'at Den'!H158+'at Oak'!H158+'vs Mia'!H158+'at KC'!H158+'vs Den'!H158+'vs Oak'!H158+'at Mia'!H158+'at Hou'!H158+'vs NY'!H158+'Gm 15'!H158+'Gm 16'!H158</f>
        <v>0</v>
      </c>
    </row>
    <row r="159" spans="3:8" ht="12">
      <c r="C159">
        <f>+'vs Bos'!C159+'vs Hou'!C159+'at Buf'!C159+'vs Bos(2)'!C159+'vs KC'!C159+'at Den'!C159+'at Oak'!C159+'vs Mia'!C159+'at KC'!C159+'vs Den'!C159+'vs Oak'!C159+'at Mia'!C159+'at Hou'!C159+'vs NY'!C159+'Gm 15'!C159+'Gm 16'!C159</f>
        <v>0</v>
      </c>
      <c r="D159">
        <f>+'vs Bos'!D159+'vs Hou'!D159+'at Buf'!D159+'vs Bos(2)'!D159+'vs KC'!D159+'at Den'!D159+'at Oak'!D159+'vs Mia'!D159+'at KC'!D159+'vs Den'!D159+'vs Oak'!D159+'at Mia'!D159+'at Hou'!D159+'vs NY'!D159+'Gm 15'!D159+'Gm 16'!D159</f>
        <v>0</v>
      </c>
      <c r="E159" s="12">
        <f>IF(C159=0,0,+D159/C159)</f>
        <v>0</v>
      </c>
      <c r="F159">
        <f>MAX('vs Bos'!F159,'vs Hou'!F159,'at Buf'!F159,'vs Bos(2)'!F159,'vs KC'!F159,'at Den'!F159,'at Oak'!F159,'vs Mia'!F159,'at KC'!F159,'vs Den'!F159,'vs Oak'!F159,'at Mia'!F159,'at Hou'!F159,'vs NY'!F159,'Gm 15'!F159,'Gm 16'!F159)</f>
        <v>0</v>
      </c>
      <c r="G159">
        <f>+'vs Bos'!G159+'vs Hou'!G159+'at Buf'!G159+'vs Bos(2)'!G159+'vs KC'!G159+'at Den'!G159+'at Oak'!G159+'vs Mia'!G159+'at KC'!G159+'vs Den'!G159+'vs Oak'!G159+'at Mia'!G159+'at Hou'!G159+'vs NY'!G159+'Gm 15'!G159+'Gm 16'!G159</f>
        <v>0</v>
      </c>
      <c r="H159">
        <f>+'vs Bos'!H159+'vs Hou'!H159+'at Buf'!H159+'vs Bos(2)'!H159+'vs KC'!H159+'at Den'!H159+'at Oak'!H159+'vs Mia'!H159+'at KC'!H159+'vs Den'!H159+'vs Oak'!H159+'at Mia'!H159+'at Hou'!H159+'vs NY'!H159+'Gm 15'!H159+'Gm 16'!H159</f>
        <v>0</v>
      </c>
    </row>
    <row r="160" spans="3:8" ht="12">
      <c r="C160">
        <f>+'vs Bos'!C160+'vs Hou'!C160+'at Buf'!C160+'vs Bos(2)'!C160+'vs KC'!C160+'at Den'!C160+'at Oak'!C160+'vs Mia'!C160+'at KC'!C160+'vs Den'!C160+'vs Oak'!C160+'at Mia'!C160+'at Hou'!C160+'vs NY'!C160+'Gm 15'!C160+'Gm 16'!C160</f>
        <v>0</v>
      </c>
      <c r="D160">
        <f>+'vs Bos'!D160+'vs Hou'!D160+'at Buf'!D160+'vs Bos(2)'!D160+'vs KC'!D160+'at Den'!D160+'at Oak'!D160+'vs Mia'!D160+'at KC'!D160+'vs Den'!D160+'vs Oak'!D160+'at Mia'!D160+'at Hou'!D160+'vs NY'!D160+'Gm 15'!D160+'Gm 16'!D160</f>
        <v>0</v>
      </c>
      <c r="E160" s="12">
        <f>IF(C160=0,0,+D160/C160)</f>
        <v>0</v>
      </c>
      <c r="F160">
        <f>MAX('vs Bos'!F160,'vs Hou'!F160,'at Buf'!F160,'vs Bos(2)'!F160,'vs KC'!F160,'at Den'!F160,'at Oak'!F160,'vs Mia'!F160,'at KC'!F160,'vs Den'!F160,'vs Oak'!F160,'at Mia'!F160,'at Hou'!F160,'vs NY'!F160,'Gm 15'!F160,'Gm 16'!F160)</f>
        <v>0</v>
      </c>
      <c r="G160">
        <f>+'vs Bos'!G160+'vs Hou'!G160+'at Buf'!G160+'vs Bos(2)'!G160+'vs KC'!G160+'at Den'!G160+'at Oak'!G160+'vs Mia'!G160+'at KC'!G160+'vs Den'!G160+'vs Oak'!G160+'at Mia'!G160+'at Hou'!G160+'vs NY'!G160+'Gm 15'!G160+'Gm 16'!G160</f>
        <v>0</v>
      </c>
      <c r="H160">
        <f>+'vs Bos'!H160+'vs Hou'!H160+'at Buf'!H160+'vs Bos(2)'!H160+'vs KC'!H160+'at Den'!H160+'at Oak'!H160+'vs Mia'!H160+'at KC'!H160+'vs Den'!H160+'vs Oak'!H160+'at Mia'!H160+'at Hou'!H160+'vs NY'!H160+'Gm 15'!H160+'Gm 16'!H160</f>
        <v>0</v>
      </c>
    </row>
    <row r="161" ht="12">
      <c r="E161" s="12"/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3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  <c r="V163" s="3" t="s">
        <v>81</v>
      </c>
      <c r="W163" s="3" t="s">
        <v>82</v>
      </c>
    </row>
    <row r="164" spans="1:23" ht="12">
      <c r="A164" t="s">
        <v>153</v>
      </c>
      <c r="B164" t="s">
        <v>184</v>
      </c>
      <c r="C164">
        <f>+'vs Bos'!C164+'vs Hou'!C164+'at Buf'!C164+'vs Bos(2)'!C164+'vs KC'!C164+'at Den'!C164+'at Oak'!C164+'vs Mia'!C164+'at KC'!C164+'vs Den'!C164+'vs Oak'!C164+'at Mia'!C164+'at Hou'!C164+'vs NY'!C164+'Gm 15'!C164+'Gm 16'!C164</f>
        <v>78</v>
      </c>
      <c r="D164">
        <f>+'vs Bos'!D164+'vs Hou'!D164+'at Buf'!D164+'vs Bos(2)'!D164+'vs KC'!D164+'at Den'!D164+'at Oak'!D164+'vs Mia'!D164+'at KC'!D164+'vs Den'!D164+'vs Oak'!D164+'at Mia'!D164+'at Hou'!D164+'vs NY'!D164+'Gm 15'!D164+'Gm 16'!D164</f>
        <v>15</v>
      </c>
      <c r="E164">
        <f>+'vs Bos'!E164+'vs Hou'!E164+'at Buf'!E164+'vs Bos(2)'!E164+'vs KC'!E164+'at Den'!E164+'at Oak'!E164+'vs Mia'!E164+'at KC'!E164+'vs Den'!E164+'vs Oak'!E164+'at Mia'!E164+'at Hou'!E164+'vs NY'!E164+'Gm 15'!E164+'Gm 16'!E164</f>
        <v>44</v>
      </c>
      <c r="F164">
        <f>+'vs Bos'!F164+'vs Hou'!F164+'at Buf'!F164+'vs Bos(2)'!F164+'vs KC'!F164+'at Den'!F164+'at Oak'!F164+'vs Mia'!F164+'at KC'!F164+'vs Den'!F164+'vs Oak'!F164+'at Mia'!F164+'at Hou'!F164+'vs NY'!F164+'Gm 15'!F164+'Gm 16'!F164</f>
        <v>44</v>
      </c>
      <c r="G164">
        <f>+'vs Bos'!G164+'vs Hou'!G164+'at Buf'!G164+'vs Bos(2)'!G164+'vs KC'!G164+'at Den'!G164+'at Oak'!G164+'vs Mia'!G164+'at KC'!G164+'vs Den'!G164+'vs Oak'!G164+'at Mia'!G164+'at Hou'!G164+'vs NY'!G164+'Gm 15'!G164+'Gm 16'!G164</f>
        <v>38</v>
      </c>
      <c r="H164">
        <f>+'vs Bos'!H164+'vs Hou'!H164+'at Buf'!H164+'vs Bos(2)'!H164+'vs KC'!H164+'at Den'!H164+'at Oak'!H164+'vs Mia'!H164+'at KC'!H164+'vs Den'!H164+'vs Oak'!H164+'at Mia'!H164+'at Hou'!H164+'vs NY'!H164+'Gm 15'!H164+'Gm 16'!H164</f>
        <v>19</v>
      </c>
      <c r="I164" s="12">
        <f aca="true" t="shared" si="22" ref="I164:I171">IF(G164=0,0,+H164/G164*100)</f>
        <v>50</v>
      </c>
      <c r="J164">
        <f>MAX('vs Bos'!J164,'vs Hou'!J164,'at Buf'!J164,'vs Bos(2)'!J164,'vs KC'!J164,'at Den'!J164,'at Oak'!J164,'vs Mia'!J164,'at KC'!J164,'vs Den'!J164,'vs Oak'!J164,'at Mia'!J164,'at Hou'!J164,'vs NY'!J164,'Gm 15'!J164,'Gm 16'!J164)</f>
        <v>32</v>
      </c>
      <c r="L164">
        <f>+'vs Bos'!L164+'vs Hou'!L164+'at Buf'!L164+'vs Bos(2)'!L164+'vs KC'!L164+'at Den'!L164+'at Oak'!L164+'vs Mia'!L164+'at KC'!L164+'vs Den'!L164+'vs Oak'!L164+'at Mia'!L164+'at Hou'!L164+'vs NY'!L164+'Gm 15'!L164+'Gm 16'!L164</f>
        <v>10</v>
      </c>
      <c r="M164">
        <f>+'vs Bos'!M164+'vs Hou'!M164+'at Buf'!M164+'vs Bos(2)'!M164+'vs KC'!M164+'at Den'!M164+'at Oak'!M164+'vs Mia'!M164+'at KC'!M164+'vs Den'!M164+'vs Oak'!M164+'at Mia'!M164+'at Hou'!M164+'vs NY'!M164+'Gm 15'!M164+'Gm 16'!M164</f>
        <v>10</v>
      </c>
      <c r="N164">
        <f>+'vs Bos'!N164+'vs Hou'!N164+'at Buf'!N164+'vs Bos(2)'!N164+'vs KC'!N164+'at Den'!N164+'at Oak'!N164+'vs Mia'!N164+'at KC'!N164+'vs Den'!N164+'vs Oak'!N164+'at Mia'!N164+'at Hou'!N164+'vs NY'!N164+'Gm 15'!N164+'Gm 16'!N164</f>
        <v>8</v>
      </c>
      <c r="O164">
        <f>+'vs Bos'!O164+'vs Hou'!O164+'at Buf'!O164+'vs Bos(2)'!O164+'vs KC'!O164+'at Den'!O164+'at Oak'!O164+'vs Mia'!O164+'at KC'!O164+'vs Den'!O164+'vs Oak'!O164+'at Mia'!O164+'at Hou'!O164+'vs NY'!O164+'Gm 15'!O164+'Gm 16'!O164</f>
        <v>6</v>
      </c>
      <c r="P164">
        <f>+'vs Bos'!P164+'vs Hou'!P164+'at Buf'!P164+'vs Bos(2)'!P164+'vs KC'!P164+'at Den'!P164+'at Oak'!P164+'vs Mia'!P164+'at KC'!P164+'vs Den'!P164+'vs Oak'!P164+'at Mia'!P164+'at Hou'!P164+'vs NY'!P164+'Gm 15'!P164+'Gm 16'!P164</f>
        <v>13</v>
      </c>
      <c r="Q164">
        <f>+'vs Bos'!Q164+'vs Hou'!Q164+'at Buf'!Q164+'vs Bos(2)'!Q164+'vs KC'!Q164+'at Den'!Q164+'at Oak'!Q164+'vs Mia'!Q164+'at KC'!Q164+'vs Den'!Q164+'vs Oak'!Q164+'at Mia'!Q164+'at Hou'!Q164+'vs NY'!Q164+'Gm 15'!Q164+'Gm 16'!Q164</f>
        <v>3</v>
      </c>
      <c r="R164">
        <f>+'vs Bos'!R164+'vs Hou'!R164+'at Buf'!R164+'vs Bos(2)'!R164+'vs KC'!R164+'at Den'!R164+'at Oak'!R164+'vs Mia'!R164+'at KC'!R164+'vs Den'!R164+'vs Oak'!R164+'at Mia'!R164+'at Hou'!R164+'vs NY'!R164+'Gm 15'!R164+'Gm 16'!R164</f>
        <v>6</v>
      </c>
      <c r="S164">
        <f>+'vs Bos'!S164+'vs Hou'!S164+'at Buf'!S164+'vs Bos(2)'!S164+'vs KC'!S164+'at Den'!S164+'at Oak'!S164+'vs Mia'!S164+'at KC'!S164+'vs Den'!S164+'vs Oak'!S164+'at Mia'!S164+'at Hou'!S164+'vs NY'!S164+'Gm 15'!S164+'Gm 16'!S164</f>
        <v>0</v>
      </c>
      <c r="T164">
        <f>+'vs Bos'!T164+'vs Hou'!T164+'at Buf'!T164+'vs Bos(2)'!T164+'vs KC'!T164+'at Den'!T164+'at Oak'!T164+'vs Mia'!T164+'at KC'!T164+'vs Den'!T164+'vs Oak'!T164+'at Mia'!T164+'at Hou'!T164+'vs NY'!T164+'Gm 15'!T164+'Gm 16'!T164</f>
        <v>1</v>
      </c>
      <c r="U164">
        <f>+'vs Bos'!U164+'vs Hou'!U164+'at Buf'!U164+'vs Bos(2)'!U164+'vs KC'!U164+'at Den'!U164+'at Oak'!U164+'vs Mia'!U164+'at KC'!U164+'vs Den'!U164+'vs Oak'!U164+'at Mia'!U164+'at Hou'!U164+'vs NY'!U164+'Gm 15'!U164+'Gm 16'!U164</f>
        <v>0</v>
      </c>
      <c r="V164" t="str">
        <f aca="true" t="shared" si="23" ref="V164:W166">IF(G164=L164+N164+P164+R164+T164,"ok","ERR")</f>
        <v>ok</v>
      </c>
      <c r="W164" t="str">
        <f t="shared" si="23"/>
        <v>ok</v>
      </c>
    </row>
    <row r="165" spans="1:23" ht="12">
      <c r="A165" t="s">
        <v>141</v>
      </c>
      <c r="B165" t="s">
        <v>184</v>
      </c>
      <c r="C165">
        <f>+'vs Bos'!C165+'vs Hou'!C165+'at Buf'!C165+'vs Bos(2)'!C165+'vs KC'!C165+'at Den'!C165+'at Oak'!C165+'vs Mia'!C165+'at KC'!C165+'vs Den'!C165+'vs Oak'!C165+'at Mia'!C165+'at Hou'!C165+'vs NY'!C165+'Gm 15'!C165+'Gm 16'!C165</f>
        <v>0</v>
      </c>
      <c r="D165">
        <f>+'vs Bos'!D165+'vs Hou'!D165+'at Buf'!D165+'vs Bos(2)'!D165+'vs KC'!D165+'at Den'!D165+'at Oak'!D165+'vs Mia'!D165+'at KC'!D165+'vs Den'!D165+'vs Oak'!D165+'at Mia'!D165+'at Hou'!D165+'vs NY'!D165+'Gm 15'!D165+'Gm 16'!D165</f>
        <v>0</v>
      </c>
      <c r="E165">
        <f>+'vs Bos'!E165+'vs Hou'!E165+'at Buf'!E165+'vs Bos(2)'!E165+'vs KC'!E165+'at Den'!E165+'at Oak'!E165+'vs Mia'!E165+'at KC'!E165+'vs Den'!E165+'vs Oak'!E165+'at Mia'!E165+'at Hou'!E165+'vs NY'!E165+'Gm 15'!E165+'Gm 16'!E165</f>
        <v>0</v>
      </c>
      <c r="F165">
        <f>+'vs Bos'!F165+'vs Hou'!F165+'at Buf'!F165+'vs Bos(2)'!F165+'vs KC'!F165+'at Den'!F165+'at Oak'!F165+'vs Mia'!F165+'at KC'!F165+'vs Den'!F165+'vs Oak'!F165+'at Mia'!F165+'at Hou'!F165+'vs NY'!F165+'Gm 15'!F165+'Gm 16'!F165</f>
        <v>0</v>
      </c>
      <c r="G165">
        <f>+'vs Bos'!G165+'vs Hou'!G165+'at Buf'!G165+'vs Bos(2)'!G165+'vs KC'!G165+'at Den'!G165+'at Oak'!G165+'vs Mia'!G165+'at KC'!G165+'vs Den'!G165+'vs Oak'!G165+'at Mia'!G165+'at Hou'!G165+'vs NY'!G165+'Gm 15'!G165+'Gm 16'!G165</f>
        <v>0</v>
      </c>
      <c r="H165">
        <f>+'vs Bos'!H165+'vs Hou'!H165+'at Buf'!H165+'vs Bos(2)'!H165+'vs KC'!H165+'at Den'!H165+'at Oak'!H165+'vs Mia'!H165+'at KC'!H165+'vs Den'!H165+'vs Oak'!H165+'at Mia'!H165+'at Hou'!H165+'vs NY'!H165+'Gm 15'!H165+'Gm 16'!H165</f>
        <v>0</v>
      </c>
      <c r="I165" s="12">
        <f t="shared" si="22"/>
        <v>0</v>
      </c>
      <c r="J165">
        <f>MAX('vs Bos'!J165,'vs Hou'!J165,'at Buf'!J165,'vs Bos(2)'!J165,'vs KC'!J165,'at Den'!J165,'at Oak'!J165,'vs Mia'!J165,'at KC'!J165,'vs Den'!J165,'vs Oak'!J165,'at Mia'!J165,'at Hou'!J165,'vs NY'!J165,'Gm 15'!J165,'Gm 16'!J165)</f>
        <v>0</v>
      </c>
      <c r="L165">
        <f>+'vs Bos'!L165+'vs Hou'!L165+'at Buf'!L165+'vs Bos(2)'!L165+'vs KC'!L165+'at Den'!L165+'at Oak'!L165+'vs Mia'!L165+'at KC'!L165+'vs Den'!L165+'vs Oak'!L165+'at Mia'!L165+'at Hou'!L165+'vs NY'!L165+'Gm 15'!L165+'Gm 16'!L165</f>
        <v>0</v>
      </c>
      <c r="M165">
        <f>+'vs Bos'!M165+'vs Hou'!M165+'at Buf'!M165+'vs Bos(2)'!M165+'vs KC'!M165+'at Den'!M165+'at Oak'!M165+'vs Mia'!M165+'at KC'!M165+'vs Den'!M165+'vs Oak'!M165+'at Mia'!M165+'at Hou'!M165+'vs NY'!M165+'Gm 15'!M165+'Gm 16'!M165</f>
        <v>0</v>
      </c>
      <c r="N165">
        <f>+'vs Bos'!N165+'vs Hou'!N165+'at Buf'!N165+'vs Bos(2)'!N165+'vs KC'!N165+'at Den'!N165+'at Oak'!N165+'vs Mia'!N165+'at KC'!N165+'vs Den'!N165+'vs Oak'!N165+'at Mia'!N165+'at Hou'!N165+'vs NY'!N165+'Gm 15'!N165+'Gm 16'!N165</f>
        <v>0</v>
      </c>
      <c r="O165">
        <f>+'vs Bos'!O165+'vs Hou'!O165+'at Buf'!O165+'vs Bos(2)'!O165+'vs KC'!O165+'at Den'!O165+'at Oak'!O165+'vs Mia'!O165+'at KC'!O165+'vs Den'!O165+'vs Oak'!O165+'at Mia'!O165+'at Hou'!O165+'vs NY'!O165+'Gm 15'!O165+'Gm 16'!O165</f>
        <v>0</v>
      </c>
      <c r="P165">
        <f>+'vs Bos'!P165+'vs Hou'!P165+'at Buf'!P165+'vs Bos(2)'!P165+'vs KC'!P165+'at Den'!P165+'at Oak'!P165+'vs Mia'!P165+'at KC'!P165+'vs Den'!P165+'vs Oak'!P165+'at Mia'!P165+'at Hou'!P165+'vs NY'!P165+'Gm 15'!P165+'Gm 16'!P165</f>
        <v>0</v>
      </c>
      <c r="Q165">
        <f>+'vs Bos'!Q165+'vs Hou'!Q165+'at Buf'!Q165+'vs Bos(2)'!Q165+'vs KC'!Q165+'at Den'!Q165+'at Oak'!Q165+'vs Mia'!Q165+'at KC'!Q165+'vs Den'!Q165+'vs Oak'!Q165+'at Mia'!Q165+'at Hou'!Q165+'vs NY'!Q165+'Gm 15'!Q165+'Gm 16'!Q165</f>
        <v>0</v>
      </c>
      <c r="R165">
        <f>+'vs Bos'!R165+'vs Hou'!R165+'at Buf'!R165+'vs Bos(2)'!R165+'vs KC'!R165+'at Den'!R165+'at Oak'!R165+'vs Mia'!R165+'at KC'!R165+'vs Den'!R165+'vs Oak'!R165+'at Mia'!R165+'at Hou'!R165+'vs NY'!R165+'Gm 15'!R165+'Gm 16'!R165</f>
        <v>0</v>
      </c>
      <c r="S165">
        <f>+'vs Bos'!S165+'vs Hou'!S165+'at Buf'!S165+'vs Bos(2)'!S165+'vs KC'!S165+'at Den'!S165+'at Oak'!S165+'vs Mia'!S165+'at KC'!S165+'vs Den'!S165+'vs Oak'!S165+'at Mia'!S165+'at Hou'!S165+'vs NY'!S165+'Gm 15'!S165+'Gm 16'!S165</f>
        <v>0</v>
      </c>
      <c r="T165">
        <f>+'vs Bos'!T165+'vs Hou'!T165+'at Buf'!T165+'vs Bos(2)'!T165+'vs KC'!T165+'at Den'!T165+'at Oak'!T165+'vs Mia'!T165+'at KC'!T165+'vs Den'!T165+'vs Oak'!T165+'at Mia'!T165+'at Hou'!T165+'vs NY'!T165+'Gm 15'!T165+'Gm 16'!T165</f>
        <v>0</v>
      </c>
      <c r="U165">
        <f>+'vs Bos'!U165+'vs Hou'!U165+'at Buf'!U165+'vs Bos(2)'!U165+'vs KC'!U165+'at Den'!U165+'at Oak'!U165+'vs Mia'!U165+'at KC'!U165+'vs Den'!U165+'vs Oak'!U165+'at Mia'!U165+'at Hou'!U165+'vs NY'!U165+'Gm 15'!U165+'Gm 16'!U165</f>
        <v>0</v>
      </c>
      <c r="V165" t="str">
        <f t="shared" si="23"/>
        <v>ok</v>
      </c>
      <c r="W165" t="str">
        <f t="shared" si="23"/>
        <v>ok</v>
      </c>
    </row>
    <row r="166" spans="1:23" ht="12">
      <c r="A166" t="s">
        <v>152</v>
      </c>
      <c r="B166" t="s">
        <v>184</v>
      </c>
      <c r="C166">
        <f>+'vs Bos'!C166+'vs Hou'!C166+'at Buf'!C166+'vs Bos(2)'!C166+'vs KC'!C166+'at Den'!C166+'at Oak'!C166+'vs Mia'!C166+'at KC'!C166+'vs Den'!C166+'vs Oak'!C166+'at Mia'!C166+'at Hou'!C166+'vs NY'!C166+'Gm 15'!C166+'Gm 16'!C166</f>
        <v>0</v>
      </c>
      <c r="D166">
        <f>+'vs Bos'!D166+'vs Hou'!D166+'at Buf'!D166+'vs Bos(2)'!D166+'vs KC'!D166+'at Den'!D166+'at Oak'!D166+'vs Mia'!D166+'at KC'!D166+'vs Den'!D166+'vs Oak'!D166+'at Mia'!D166+'at Hou'!D166+'vs NY'!D166+'Gm 15'!D166+'Gm 16'!D166</f>
        <v>0</v>
      </c>
      <c r="E166">
        <f>+'vs Bos'!E166+'vs Hou'!E166+'at Buf'!E166+'vs Bos(2)'!E166+'vs KC'!E166+'at Den'!E166+'at Oak'!E166+'vs Mia'!E166+'at KC'!E166+'vs Den'!E166+'vs Oak'!E166+'at Mia'!E166+'at Hou'!E166+'vs NY'!E166+'Gm 15'!E166+'Gm 16'!E166</f>
        <v>0</v>
      </c>
      <c r="F166">
        <f>+'vs Bos'!F166+'vs Hou'!F166+'at Buf'!F166+'vs Bos(2)'!F166+'vs KC'!F166+'at Den'!F166+'at Oak'!F166+'vs Mia'!F166+'at KC'!F166+'vs Den'!F166+'vs Oak'!F166+'at Mia'!F166+'at Hou'!F166+'vs NY'!F166+'Gm 15'!F166+'Gm 16'!F166</f>
        <v>0</v>
      </c>
      <c r="G166">
        <f>+'vs Bos'!G166+'vs Hou'!G166+'at Buf'!G166+'vs Bos(2)'!G166+'vs KC'!G166+'at Den'!G166+'at Oak'!G166+'vs Mia'!G166+'at KC'!G166+'vs Den'!G166+'vs Oak'!G166+'at Mia'!G166+'at Hou'!G166+'vs NY'!G166+'Gm 15'!G166+'Gm 16'!G166</f>
        <v>0</v>
      </c>
      <c r="H166">
        <f>+'vs Bos'!H166+'vs Hou'!H166+'at Buf'!H166+'vs Bos(2)'!H166+'vs KC'!H166+'at Den'!H166+'at Oak'!H166+'vs Mia'!H166+'at KC'!H166+'vs Den'!H166+'vs Oak'!H166+'at Mia'!H166+'at Hou'!H166+'vs NY'!H166+'Gm 15'!H166+'Gm 16'!H166</f>
        <v>0</v>
      </c>
      <c r="I166" s="12">
        <f t="shared" si="22"/>
        <v>0</v>
      </c>
      <c r="J166">
        <f>MAX('vs Bos'!J166,'vs Hou'!J166,'at Buf'!J166,'vs Bos(2)'!J166,'vs KC'!J166,'at Den'!J166,'at Oak'!J166,'vs Mia'!J166,'at KC'!J166,'vs Den'!J166,'vs Oak'!J166,'at Mia'!J166,'at Hou'!J166,'vs NY'!J166,'Gm 15'!J166,'Gm 16'!J166)</f>
        <v>0</v>
      </c>
      <c r="L166">
        <f>+'vs Bos'!L166+'vs Hou'!L166+'at Buf'!L166+'vs Bos(2)'!L166+'vs KC'!L166+'at Den'!L166+'at Oak'!L166+'vs Mia'!L166+'at KC'!L166+'vs Den'!L166+'vs Oak'!L166+'at Mia'!L166+'at Hou'!L166+'vs NY'!L166+'Gm 15'!L166+'Gm 16'!L166</f>
        <v>0</v>
      </c>
      <c r="M166">
        <f>+'vs Bos'!M166+'vs Hou'!M166+'at Buf'!M166+'vs Bos(2)'!M166+'vs KC'!M166+'at Den'!M166+'at Oak'!M166+'vs Mia'!M166+'at KC'!M166+'vs Den'!M166+'vs Oak'!M166+'at Mia'!M166+'at Hou'!M166+'vs NY'!M166+'Gm 15'!M166+'Gm 16'!M166</f>
        <v>0</v>
      </c>
      <c r="N166">
        <f>+'vs Bos'!N166+'vs Hou'!N166+'at Buf'!N166+'vs Bos(2)'!N166+'vs KC'!N166+'at Den'!N166+'at Oak'!N166+'vs Mia'!N166+'at KC'!N166+'vs Den'!N166+'vs Oak'!N166+'at Mia'!N166+'at Hou'!N166+'vs NY'!N166+'Gm 15'!N166+'Gm 16'!N166</f>
        <v>0</v>
      </c>
      <c r="O166">
        <f>+'vs Bos'!O166+'vs Hou'!O166+'at Buf'!O166+'vs Bos(2)'!O166+'vs KC'!O166+'at Den'!O166+'at Oak'!O166+'vs Mia'!O166+'at KC'!O166+'vs Den'!O166+'vs Oak'!O166+'at Mia'!O166+'at Hou'!O166+'vs NY'!O166+'Gm 15'!O166+'Gm 16'!O166</f>
        <v>0</v>
      </c>
      <c r="P166">
        <f>+'vs Bos'!P166+'vs Hou'!P166+'at Buf'!P166+'vs Bos(2)'!P166+'vs KC'!P166+'at Den'!P166+'at Oak'!P166+'vs Mia'!P166+'at KC'!P166+'vs Den'!P166+'vs Oak'!P166+'at Mia'!P166+'at Hou'!P166+'vs NY'!P166+'Gm 15'!P166+'Gm 16'!P166</f>
        <v>0</v>
      </c>
      <c r="Q166">
        <f>+'vs Bos'!Q166+'vs Hou'!Q166+'at Buf'!Q166+'vs Bos(2)'!Q166+'vs KC'!Q166+'at Den'!Q166+'at Oak'!Q166+'vs Mia'!Q166+'at KC'!Q166+'vs Den'!Q166+'vs Oak'!Q166+'at Mia'!Q166+'at Hou'!Q166+'vs NY'!Q166+'Gm 15'!Q166+'Gm 16'!Q166</f>
        <v>0</v>
      </c>
      <c r="R166">
        <f>+'vs Bos'!R166+'vs Hou'!R166+'at Buf'!R166+'vs Bos(2)'!R166+'vs KC'!R166+'at Den'!R166+'at Oak'!R166+'vs Mia'!R166+'at KC'!R166+'vs Den'!R166+'vs Oak'!R166+'at Mia'!R166+'at Hou'!R166+'vs NY'!R166+'Gm 15'!R166+'Gm 16'!R166</f>
        <v>0</v>
      </c>
      <c r="S166">
        <f>+'vs Bos'!S166+'vs Hou'!S166+'at Buf'!S166+'vs Bos(2)'!S166+'vs KC'!S166+'at Den'!S166+'at Oak'!S166+'vs Mia'!S166+'at KC'!S166+'vs Den'!S166+'vs Oak'!S166+'at Mia'!S166+'at Hou'!S166+'vs NY'!S166+'Gm 15'!S166+'Gm 16'!S166</f>
        <v>0</v>
      </c>
      <c r="T166">
        <f>+'vs Bos'!T166+'vs Hou'!T166+'at Buf'!T166+'vs Bos(2)'!T166+'vs KC'!T166+'at Den'!T166+'at Oak'!T166+'vs Mia'!T166+'at KC'!T166+'vs Den'!T166+'vs Oak'!T166+'at Mia'!T166+'at Hou'!T166+'vs NY'!T166+'Gm 15'!T166+'Gm 16'!T166</f>
        <v>0</v>
      </c>
      <c r="U166">
        <f>+'vs Bos'!U166+'vs Hou'!U166+'at Buf'!U166+'vs Bos(2)'!U166+'vs KC'!U166+'at Den'!U166+'at Oak'!U166+'vs Mia'!U166+'at KC'!U166+'vs Den'!U166+'vs Oak'!U166+'at Mia'!U166+'at Hou'!U166+'vs NY'!U166+'Gm 15'!U166+'Gm 16'!U166</f>
        <v>0</v>
      </c>
      <c r="V166" t="str">
        <f t="shared" si="23"/>
        <v>ok</v>
      </c>
      <c r="W166" t="str">
        <f t="shared" si="23"/>
        <v>ok</v>
      </c>
    </row>
    <row r="167" spans="1:21" ht="12">
      <c r="A167" t="s">
        <v>137</v>
      </c>
      <c r="B167" t="s">
        <v>184</v>
      </c>
      <c r="C167">
        <f>+'vs Bos'!C167+'vs Hou'!C167+'at Buf'!C167+'vs Bos(2)'!C167+'vs KC'!C167+'at Den'!C167+'at Oak'!C167+'vs Mia'!C167+'at KC'!C167+'vs Den'!C167+'vs Oak'!C167+'at Mia'!C167+'at Hou'!C167+'vs NY'!C167+'Gm 15'!C167+'Gm 16'!C167</f>
        <v>0</v>
      </c>
      <c r="D167">
        <f>+'vs Bos'!D167+'vs Hou'!D167+'at Buf'!D167+'vs Bos(2)'!D167+'vs KC'!D167+'at Den'!D167+'at Oak'!D167+'vs Mia'!D167+'at KC'!D167+'vs Den'!D167+'vs Oak'!D167+'at Mia'!D167+'at Hou'!D167+'vs NY'!D167+'Gm 15'!D167+'Gm 16'!D167</f>
        <v>0</v>
      </c>
      <c r="E167">
        <f>+'vs Bos'!E167+'vs Hou'!E167+'at Buf'!E167+'vs Bos(2)'!E167+'vs KC'!E167+'at Den'!E167+'at Oak'!E167+'vs Mia'!E167+'at KC'!E167+'vs Den'!E167+'vs Oak'!E167+'at Mia'!E167+'at Hou'!E167+'vs NY'!E167+'Gm 15'!E167+'Gm 16'!E167</f>
        <v>0</v>
      </c>
      <c r="F167">
        <f>+'vs Bos'!F167+'vs Hou'!F167+'at Buf'!F167+'vs Bos(2)'!F167+'vs KC'!F167+'at Den'!F167+'at Oak'!F167+'vs Mia'!F167+'at KC'!F167+'vs Den'!F167+'vs Oak'!F167+'at Mia'!F167+'at Hou'!F167+'vs NY'!F167+'Gm 15'!F167+'Gm 16'!F167</f>
        <v>0</v>
      </c>
      <c r="G167">
        <f>+'vs Bos'!G167+'vs Hou'!G167+'at Buf'!G167+'vs Bos(2)'!G167+'vs KC'!G167+'at Den'!G167+'at Oak'!G167+'vs Mia'!G167+'at KC'!G167+'vs Den'!G167+'vs Oak'!G167+'at Mia'!G167+'at Hou'!G167+'vs NY'!G167+'Gm 15'!G167+'Gm 16'!G167</f>
        <v>0</v>
      </c>
      <c r="H167">
        <f>+'vs Bos'!H167+'vs Hou'!H167+'at Buf'!H167+'vs Bos(2)'!H167+'vs KC'!H167+'at Den'!H167+'at Oak'!H167+'vs Mia'!H167+'at KC'!H167+'vs Den'!H167+'vs Oak'!H167+'at Mia'!H167+'at Hou'!H167+'vs NY'!H167+'Gm 15'!H167+'Gm 16'!H167</f>
        <v>0</v>
      </c>
      <c r="I167" s="12">
        <f t="shared" si="22"/>
        <v>0</v>
      </c>
      <c r="J167">
        <f>MAX('vs Bos'!J167,'vs Hou'!J167,'at Buf'!J167,'vs Bos(2)'!J167,'vs KC'!J167,'at Den'!J167,'at Oak'!J167,'vs Mia'!J167,'at KC'!J167,'vs Den'!J167,'vs Oak'!J167,'at Mia'!J167,'at Hou'!J167,'vs NY'!J167,'Gm 15'!J167,'Gm 16'!J167)</f>
        <v>0</v>
      </c>
      <c r="L167">
        <f>+'vs Bos'!L167+'vs Hou'!L167+'at Buf'!L167+'vs Bos(2)'!L167+'vs KC'!L167+'at Den'!L167+'at Oak'!L167+'vs Mia'!L167+'at KC'!L167+'vs Den'!L167+'vs Oak'!L167+'at Mia'!L167+'at Hou'!L167+'vs NY'!L167+'Gm 15'!L167+'Gm 16'!L167</f>
        <v>0</v>
      </c>
      <c r="M167">
        <f>+'vs Bos'!M167+'vs Hou'!M167+'at Buf'!M167+'vs Bos(2)'!M167+'vs KC'!M167+'at Den'!M167+'at Oak'!M167+'vs Mia'!M167+'at KC'!M167+'vs Den'!M167+'vs Oak'!M167+'at Mia'!M167+'at Hou'!M167+'vs NY'!M167+'Gm 15'!M167+'Gm 16'!M167</f>
        <v>0</v>
      </c>
      <c r="N167">
        <f>+'vs Bos'!N167+'vs Hou'!N167+'at Buf'!N167+'vs Bos(2)'!N167+'vs KC'!N167+'at Den'!N167+'at Oak'!N167+'vs Mia'!N167+'at KC'!N167+'vs Den'!N167+'vs Oak'!N167+'at Mia'!N167+'at Hou'!N167+'vs NY'!N167+'Gm 15'!N167+'Gm 16'!N167</f>
        <v>0</v>
      </c>
      <c r="O167">
        <f>+'vs Bos'!O167+'vs Hou'!O167+'at Buf'!O167+'vs Bos(2)'!O167+'vs KC'!O167+'at Den'!O167+'at Oak'!O167+'vs Mia'!O167+'at KC'!O167+'vs Den'!O167+'vs Oak'!O167+'at Mia'!O167+'at Hou'!O167+'vs NY'!O167+'Gm 15'!O167+'Gm 16'!O167</f>
        <v>0</v>
      </c>
      <c r="P167">
        <f>+'vs Bos'!P167+'vs Hou'!P167+'at Buf'!P167+'vs Bos(2)'!P167+'vs KC'!P167+'at Den'!P167+'at Oak'!P167+'vs Mia'!P167+'at KC'!P167+'vs Den'!P167+'vs Oak'!P167+'at Mia'!P167+'at Hou'!P167+'vs NY'!P167+'Gm 15'!P167+'Gm 16'!P167</f>
        <v>0</v>
      </c>
      <c r="Q167">
        <f>+'vs Bos'!Q167+'vs Hou'!Q167+'at Buf'!Q167+'vs Bos(2)'!Q167+'vs KC'!Q167+'at Den'!Q167+'at Oak'!Q167+'vs Mia'!Q167+'at KC'!Q167+'vs Den'!Q167+'vs Oak'!Q167+'at Mia'!Q167+'at Hou'!Q167+'vs NY'!Q167+'Gm 15'!Q167+'Gm 16'!Q167</f>
        <v>0</v>
      </c>
      <c r="R167">
        <f>+'vs Bos'!R167+'vs Hou'!R167+'at Buf'!R167+'vs Bos(2)'!R167+'vs KC'!R167+'at Den'!R167+'at Oak'!R167+'vs Mia'!R167+'at KC'!R167+'vs Den'!R167+'vs Oak'!R167+'at Mia'!R167+'at Hou'!R167+'vs NY'!R167+'Gm 15'!R167+'Gm 16'!R167</f>
        <v>0</v>
      </c>
      <c r="S167">
        <f>+'vs Bos'!S167+'vs Hou'!S167+'at Buf'!S167+'vs Bos(2)'!S167+'vs KC'!S167+'at Den'!S167+'at Oak'!S167+'vs Mia'!S167+'at KC'!S167+'vs Den'!S167+'vs Oak'!S167+'at Mia'!S167+'at Hou'!S167+'vs NY'!S167+'Gm 15'!S167+'Gm 16'!S167</f>
        <v>0</v>
      </c>
      <c r="T167">
        <f>+'vs Bos'!T167+'vs Hou'!T167+'at Buf'!T167+'vs Bos(2)'!T167+'vs KC'!T167+'at Den'!T167+'at Oak'!T167+'vs Mia'!T167+'at KC'!T167+'vs Den'!T167+'vs Oak'!T167+'at Mia'!T167+'at Hou'!T167+'vs NY'!T167+'Gm 15'!T167+'Gm 16'!T167</f>
        <v>0</v>
      </c>
      <c r="U167">
        <f>+'vs Bos'!U167+'vs Hou'!U167+'at Buf'!U167+'vs Bos(2)'!U167+'vs KC'!U167+'at Den'!U167+'at Oak'!U167+'vs Mia'!U167+'at KC'!U167+'vs Den'!U167+'vs Oak'!U167+'at Mia'!U167+'at Hou'!U167+'vs NY'!U167+'Gm 15'!U167+'Gm 16'!U167</f>
        <v>0</v>
      </c>
    </row>
    <row r="168" spans="3:21" ht="12">
      <c r="C168">
        <f>+'vs Bos'!C168+'vs Hou'!C168+'at Buf'!C168+'vs Bos(2)'!C168+'vs KC'!C168+'at Den'!C168+'at Oak'!C168+'vs Mia'!C168+'at KC'!C168+'vs Den'!C168+'vs Oak'!C168+'at Mia'!C168+'at Hou'!C168+'vs NY'!C168+'Gm 15'!C168+'Gm 16'!C168</f>
        <v>0</v>
      </c>
      <c r="D168">
        <f>+'vs Bos'!D168+'vs Hou'!D168+'at Buf'!D168+'vs Bos(2)'!D168+'vs KC'!D168+'at Den'!D168+'at Oak'!D168+'vs Mia'!D168+'at KC'!D168+'vs Den'!D168+'vs Oak'!D168+'at Mia'!D168+'at Hou'!D168+'vs NY'!D168+'Gm 15'!D168+'Gm 16'!D168</f>
        <v>0</v>
      </c>
      <c r="E168">
        <f>+'vs Bos'!E168+'vs Hou'!E168+'at Buf'!E168+'vs Bos(2)'!E168+'vs KC'!E168+'at Den'!E168+'at Oak'!E168+'vs Mia'!E168+'at KC'!E168+'vs Den'!E168+'vs Oak'!E168+'at Mia'!E168+'at Hou'!E168+'vs NY'!E168+'Gm 15'!E168+'Gm 16'!E168</f>
        <v>0</v>
      </c>
      <c r="F168">
        <f>+'vs Bos'!F168+'vs Hou'!F168+'at Buf'!F168+'vs Bos(2)'!F168+'vs KC'!F168+'at Den'!F168+'at Oak'!F168+'vs Mia'!F168+'at KC'!F168+'vs Den'!F168+'vs Oak'!F168+'at Mia'!F168+'at Hou'!F168+'vs NY'!F168+'Gm 15'!F168+'Gm 16'!F168</f>
        <v>0</v>
      </c>
      <c r="G168">
        <f>+'vs Bos'!G168+'vs Hou'!G168+'at Buf'!G168+'vs Bos(2)'!G168+'vs KC'!G168+'at Den'!G168+'at Oak'!G168+'vs Mia'!G168+'at KC'!G168+'vs Den'!G168+'vs Oak'!G168+'at Mia'!G168+'at Hou'!G168+'vs NY'!G168+'Gm 15'!G168+'Gm 16'!G168</f>
        <v>0</v>
      </c>
      <c r="H168">
        <f>+'vs Bos'!H168+'vs Hou'!H168+'at Buf'!H168+'vs Bos(2)'!H168+'vs KC'!H168+'at Den'!H168+'at Oak'!H168+'vs Mia'!H168+'at KC'!H168+'vs Den'!H168+'vs Oak'!H168+'at Mia'!H168+'at Hou'!H168+'vs NY'!H168+'Gm 15'!H168+'Gm 16'!H168</f>
        <v>0</v>
      </c>
      <c r="I168" s="12">
        <f t="shared" si="22"/>
        <v>0</v>
      </c>
      <c r="J168">
        <f>MAX('vs Bos'!J168,'vs Hou'!J168,'at Buf'!J168,'vs Bos(2)'!J168,'vs KC'!J168,'at Den'!J168,'at Oak'!J168,'vs Mia'!J168,'at KC'!J168,'vs Den'!J168,'vs Oak'!J168,'at Mia'!J168,'at Hou'!J168,'vs NY'!J168,'Gm 15'!J168,'Gm 16'!J168)</f>
        <v>0</v>
      </c>
      <c r="L168">
        <f>+'vs Bos'!L168+'vs Hou'!L168+'at Buf'!L168+'vs Bos(2)'!L168+'vs KC'!L168+'at Den'!L168+'at Oak'!L168+'vs Mia'!L168+'at KC'!L168+'vs Den'!L168+'vs Oak'!L168+'at Mia'!L168+'at Hou'!L168+'vs NY'!L168+'Gm 15'!L168+'Gm 16'!L168</f>
        <v>0</v>
      </c>
      <c r="M168">
        <f>+'vs Bos'!M168+'vs Hou'!M168+'at Buf'!M168+'vs Bos(2)'!M168+'vs KC'!M168+'at Den'!M168+'at Oak'!M168+'vs Mia'!M168+'at KC'!M168+'vs Den'!M168+'vs Oak'!M168+'at Mia'!M168+'at Hou'!M168+'vs NY'!M168+'Gm 15'!M168+'Gm 16'!M168</f>
        <v>0</v>
      </c>
      <c r="N168">
        <f>+'vs Bos'!N168+'vs Hou'!N168+'at Buf'!N168+'vs Bos(2)'!N168+'vs KC'!N168+'at Den'!N168+'at Oak'!N168+'vs Mia'!N168+'at KC'!N168+'vs Den'!N168+'vs Oak'!N168+'at Mia'!N168+'at Hou'!N168+'vs NY'!N168+'Gm 15'!N168+'Gm 16'!N168</f>
        <v>0</v>
      </c>
      <c r="O168">
        <f>+'vs Bos'!O168+'vs Hou'!O168+'at Buf'!O168+'vs Bos(2)'!O168+'vs KC'!O168+'at Den'!O168+'at Oak'!O168+'vs Mia'!O168+'at KC'!O168+'vs Den'!O168+'vs Oak'!O168+'at Mia'!O168+'at Hou'!O168+'vs NY'!O168+'Gm 15'!O168+'Gm 16'!O168</f>
        <v>0</v>
      </c>
      <c r="P168">
        <f>+'vs Bos'!P168+'vs Hou'!P168+'at Buf'!P168+'vs Bos(2)'!P168+'vs KC'!P168+'at Den'!P168+'at Oak'!P168+'vs Mia'!P168+'at KC'!P168+'vs Den'!P168+'vs Oak'!P168+'at Mia'!P168+'at Hou'!P168+'vs NY'!P168+'Gm 15'!P168+'Gm 16'!P168</f>
        <v>0</v>
      </c>
      <c r="Q168">
        <f>+'vs Bos'!Q168+'vs Hou'!Q168+'at Buf'!Q168+'vs Bos(2)'!Q168+'vs KC'!Q168+'at Den'!Q168+'at Oak'!Q168+'vs Mia'!Q168+'at KC'!Q168+'vs Den'!Q168+'vs Oak'!Q168+'at Mia'!Q168+'at Hou'!Q168+'vs NY'!Q168+'Gm 15'!Q168+'Gm 16'!Q168</f>
        <v>0</v>
      </c>
      <c r="R168">
        <f>+'vs Bos'!R168+'vs Hou'!R168+'at Buf'!R168+'vs Bos(2)'!R168+'vs KC'!R168+'at Den'!R168+'at Oak'!R168+'vs Mia'!R168+'at KC'!R168+'vs Den'!R168+'vs Oak'!R168+'at Mia'!R168+'at Hou'!R168+'vs NY'!R168+'Gm 15'!R168+'Gm 16'!R168</f>
        <v>0</v>
      </c>
      <c r="S168">
        <f>+'vs Bos'!S168+'vs Hou'!S168+'at Buf'!S168+'vs Bos(2)'!S168+'vs KC'!S168+'at Den'!S168+'at Oak'!S168+'vs Mia'!S168+'at KC'!S168+'vs Den'!S168+'vs Oak'!S168+'at Mia'!S168+'at Hou'!S168+'vs NY'!S168+'Gm 15'!S168+'Gm 16'!S168</f>
        <v>0</v>
      </c>
      <c r="T168">
        <f>+'vs Bos'!T168+'vs Hou'!T168+'at Buf'!T168+'vs Bos(2)'!T168+'vs KC'!T168+'at Den'!T168+'at Oak'!T168+'vs Mia'!T168+'at KC'!T168+'vs Den'!T168+'vs Oak'!T168+'at Mia'!T168+'at Hou'!T168+'vs NY'!T168+'Gm 15'!T168+'Gm 16'!T168</f>
        <v>0</v>
      </c>
      <c r="U168">
        <f>+'vs Bos'!U168+'vs Hou'!U168+'at Buf'!U168+'vs Bos(2)'!U168+'vs KC'!U168+'at Den'!U168+'at Oak'!U168+'vs Mia'!U168+'at KC'!U168+'vs Den'!U168+'vs Oak'!U168+'at Mia'!U168+'at Hou'!U168+'vs NY'!U168+'Gm 15'!U168+'Gm 16'!U168</f>
        <v>0</v>
      </c>
    </row>
    <row r="169" spans="3:21" ht="12">
      <c r="C169">
        <f>+'vs Bos'!C169+'vs Hou'!C169+'at Buf'!C169+'vs Bos(2)'!C169+'vs KC'!C169+'at Den'!C169+'at Oak'!C169+'vs Mia'!C169+'at KC'!C169+'vs Den'!C169+'vs Oak'!C169+'at Mia'!C169+'at Hou'!C169+'vs NY'!C169+'Gm 15'!C169+'Gm 16'!C169</f>
        <v>0</v>
      </c>
      <c r="D169">
        <f>+'vs Bos'!D169+'vs Hou'!D169+'at Buf'!D169+'vs Bos(2)'!D169+'vs KC'!D169+'at Den'!D169+'at Oak'!D169+'vs Mia'!D169+'at KC'!D169+'vs Den'!D169+'vs Oak'!D169+'at Mia'!D169+'at Hou'!D169+'vs NY'!D169+'Gm 15'!D169+'Gm 16'!D169</f>
        <v>0</v>
      </c>
      <c r="E169">
        <f>+'vs Bos'!E169+'vs Hou'!E169+'at Buf'!E169+'vs Bos(2)'!E169+'vs KC'!E169+'at Den'!E169+'at Oak'!E169+'vs Mia'!E169+'at KC'!E169+'vs Den'!E169+'vs Oak'!E169+'at Mia'!E169+'at Hou'!E169+'vs NY'!E169+'Gm 15'!E169+'Gm 16'!E169</f>
        <v>0</v>
      </c>
      <c r="F169">
        <f>+'vs Bos'!F169+'vs Hou'!F169+'at Buf'!F169+'vs Bos(2)'!F169+'vs KC'!F169+'at Den'!F169+'at Oak'!F169+'vs Mia'!F169+'at KC'!F169+'vs Den'!F169+'vs Oak'!F169+'at Mia'!F169+'at Hou'!F169+'vs NY'!F169+'Gm 15'!F169+'Gm 16'!F169</f>
        <v>0</v>
      </c>
      <c r="G169">
        <f>+'vs Bos'!G169+'vs Hou'!G169+'at Buf'!G169+'vs Bos(2)'!G169+'vs KC'!G169+'at Den'!G169+'at Oak'!G169+'vs Mia'!G169+'at KC'!G169+'vs Den'!G169+'vs Oak'!G169+'at Mia'!G169+'at Hou'!G169+'vs NY'!G169+'Gm 15'!G169+'Gm 16'!G169</f>
        <v>0</v>
      </c>
      <c r="H169">
        <f>+'vs Bos'!H169+'vs Hou'!H169+'at Buf'!H169+'vs Bos(2)'!H169+'vs KC'!H169+'at Den'!H169+'at Oak'!H169+'vs Mia'!H169+'at KC'!H169+'vs Den'!H169+'vs Oak'!H169+'at Mia'!H169+'at Hou'!H169+'vs NY'!H169+'Gm 15'!H169+'Gm 16'!H169</f>
        <v>0</v>
      </c>
      <c r="I169" s="12">
        <f t="shared" si="22"/>
        <v>0</v>
      </c>
      <c r="J169">
        <f>MAX('vs Bos'!J169,'vs Hou'!J169,'at Buf'!J169,'vs Bos(2)'!J169,'vs KC'!J169,'at Den'!J169,'at Oak'!J169,'vs Mia'!J169,'at KC'!J169,'vs Den'!J169,'vs Oak'!J169,'at Mia'!J169,'at Hou'!J169,'vs NY'!J169,'Gm 15'!J169,'Gm 16'!J169)</f>
        <v>0</v>
      </c>
      <c r="L169">
        <f>+'vs Bos'!L169+'vs Hou'!L169+'at Buf'!L169+'vs Bos(2)'!L169+'vs KC'!L169+'at Den'!L169+'at Oak'!L169+'vs Mia'!L169+'at KC'!L169+'vs Den'!L169+'vs Oak'!L169+'at Mia'!L169+'at Hou'!L169+'vs NY'!L169+'Gm 15'!L169+'Gm 16'!L169</f>
        <v>0</v>
      </c>
      <c r="M169">
        <f>+'vs Bos'!M169+'vs Hou'!M169+'at Buf'!M169+'vs Bos(2)'!M169+'vs KC'!M169+'at Den'!M169+'at Oak'!M169+'vs Mia'!M169+'at KC'!M169+'vs Den'!M169+'vs Oak'!M169+'at Mia'!M169+'at Hou'!M169+'vs NY'!M169+'Gm 15'!M169+'Gm 16'!M169</f>
        <v>0</v>
      </c>
      <c r="N169">
        <f>+'vs Bos'!N169+'vs Hou'!N169+'at Buf'!N169+'vs Bos(2)'!N169+'vs KC'!N169+'at Den'!N169+'at Oak'!N169+'vs Mia'!N169+'at KC'!N169+'vs Den'!N169+'vs Oak'!N169+'at Mia'!N169+'at Hou'!N169+'vs NY'!N169+'Gm 15'!N169+'Gm 16'!N169</f>
        <v>0</v>
      </c>
      <c r="O169">
        <f>+'vs Bos'!O169+'vs Hou'!O169+'at Buf'!O169+'vs Bos(2)'!O169+'vs KC'!O169+'at Den'!O169+'at Oak'!O169+'vs Mia'!O169+'at KC'!O169+'vs Den'!O169+'vs Oak'!O169+'at Mia'!O169+'at Hou'!O169+'vs NY'!O169+'Gm 15'!O169+'Gm 16'!O169</f>
        <v>0</v>
      </c>
      <c r="P169">
        <f>+'vs Bos'!P169+'vs Hou'!P169+'at Buf'!P169+'vs Bos(2)'!P169+'vs KC'!P169+'at Den'!P169+'at Oak'!P169+'vs Mia'!P169+'at KC'!P169+'vs Den'!P169+'vs Oak'!P169+'at Mia'!P169+'at Hou'!P169+'vs NY'!P169+'Gm 15'!P169+'Gm 16'!P169</f>
        <v>0</v>
      </c>
      <c r="Q169">
        <f>+'vs Bos'!Q169+'vs Hou'!Q169+'at Buf'!Q169+'vs Bos(2)'!Q169+'vs KC'!Q169+'at Den'!Q169+'at Oak'!Q169+'vs Mia'!Q169+'at KC'!Q169+'vs Den'!Q169+'vs Oak'!Q169+'at Mia'!Q169+'at Hou'!Q169+'vs NY'!Q169+'Gm 15'!Q169+'Gm 16'!Q169</f>
        <v>0</v>
      </c>
      <c r="R169">
        <f>+'vs Bos'!R169+'vs Hou'!R169+'at Buf'!R169+'vs Bos(2)'!R169+'vs KC'!R169+'at Den'!R169+'at Oak'!R169+'vs Mia'!R169+'at KC'!R169+'vs Den'!R169+'vs Oak'!R169+'at Mia'!R169+'at Hou'!R169+'vs NY'!R169+'Gm 15'!R169+'Gm 16'!R169</f>
        <v>0</v>
      </c>
      <c r="S169">
        <f>+'vs Bos'!S169+'vs Hou'!S169+'at Buf'!S169+'vs Bos(2)'!S169+'vs KC'!S169+'at Den'!S169+'at Oak'!S169+'vs Mia'!S169+'at KC'!S169+'vs Den'!S169+'vs Oak'!S169+'at Mia'!S169+'at Hou'!S169+'vs NY'!S169+'Gm 15'!S169+'Gm 16'!S169</f>
        <v>0</v>
      </c>
      <c r="T169">
        <f>+'vs Bos'!T169+'vs Hou'!T169+'at Buf'!T169+'vs Bos(2)'!T169+'vs KC'!T169+'at Den'!T169+'at Oak'!T169+'vs Mia'!T169+'at KC'!T169+'vs Den'!T169+'vs Oak'!T169+'at Mia'!T169+'at Hou'!T169+'vs NY'!T169+'Gm 15'!T169+'Gm 16'!T169</f>
        <v>0</v>
      </c>
      <c r="U169">
        <f>+'vs Bos'!U169+'vs Hou'!U169+'at Buf'!U169+'vs Bos(2)'!U169+'vs KC'!U169+'at Den'!U169+'at Oak'!U169+'vs Mia'!U169+'at KC'!U169+'vs Den'!U169+'vs Oak'!U169+'at Mia'!U169+'at Hou'!U169+'vs NY'!U169+'Gm 15'!U169+'Gm 16'!U169</f>
        <v>0</v>
      </c>
    </row>
    <row r="170" spans="3:21" ht="12">
      <c r="C170">
        <f>+'vs Bos'!C170+'vs Hou'!C170+'at Buf'!C170+'vs Bos(2)'!C170+'vs KC'!C170+'at Den'!C170+'at Oak'!C170+'vs Mia'!C170+'at KC'!C170+'vs Den'!C170+'vs Oak'!C170+'at Mia'!C170+'at Hou'!C170+'vs NY'!C170+'Gm 15'!C170+'Gm 16'!C170</f>
        <v>0</v>
      </c>
      <c r="D170">
        <f>+'vs Bos'!D170+'vs Hou'!D170+'at Buf'!D170+'vs Bos(2)'!D170+'vs KC'!D170+'at Den'!D170+'at Oak'!D170+'vs Mia'!D170+'at KC'!D170+'vs Den'!D170+'vs Oak'!D170+'at Mia'!D170+'at Hou'!D170+'vs NY'!D170+'Gm 15'!D170+'Gm 16'!D170</f>
        <v>0</v>
      </c>
      <c r="E170">
        <f>+'vs Bos'!E170+'vs Hou'!E170+'at Buf'!E170+'vs Bos(2)'!E170+'vs KC'!E170+'at Den'!E170+'at Oak'!E170+'vs Mia'!E170+'at KC'!E170+'vs Den'!E170+'vs Oak'!E170+'at Mia'!E170+'at Hou'!E170+'vs NY'!E170+'Gm 15'!E170+'Gm 16'!E170</f>
        <v>0</v>
      </c>
      <c r="F170">
        <f>+'vs Bos'!F170+'vs Hou'!F170+'at Buf'!F170+'vs Bos(2)'!F170+'vs KC'!F170+'at Den'!F170+'at Oak'!F170+'vs Mia'!F170+'at KC'!F170+'vs Den'!F170+'vs Oak'!F170+'at Mia'!F170+'at Hou'!F170+'vs NY'!F170+'Gm 15'!F170+'Gm 16'!F170</f>
        <v>0</v>
      </c>
      <c r="G170">
        <f>+'vs Bos'!G170+'vs Hou'!G170+'at Buf'!G170+'vs Bos(2)'!G170+'vs KC'!G170+'at Den'!G170+'at Oak'!G170+'vs Mia'!G170+'at KC'!G170+'vs Den'!G170+'vs Oak'!G170+'at Mia'!G170+'at Hou'!G170+'vs NY'!G170+'Gm 15'!G170+'Gm 16'!G170</f>
        <v>0</v>
      </c>
      <c r="H170">
        <f>+'vs Bos'!H170+'vs Hou'!H170+'at Buf'!H170+'vs Bos(2)'!H170+'vs KC'!H170+'at Den'!H170+'at Oak'!H170+'vs Mia'!H170+'at KC'!H170+'vs Den'!H170+'vs Oak'!H170+'at Mia'!H170+'at Hou'!H170+'vs NY'!H170+'Gm 15'!H170+'Gm 16'!H170</f>
        <v>0</v>
      </c>
      <c r="I170" s="12">
        <f t="shared" si="22"/>
        <v>0</v>
      </c>
      <c r="J170">
        <f>MAX('vs Bos'!J170,'vs Hou'!J170,'at Buf'!J170,'vs Bos(2)'!J170,'vs KC'!J170,'at Den'!J170,'at Oak'!J170,'vs Mia'!J170,'at KC'!J170,'vs Den'!J170,'vs Oak'!J170,'at Mia'!J170,'at Hou'!J170,'vs NY'!J170,'Gm 15'!J170,'Gm 16'!J170)</f>
        <v>0</v>
      </c>
      <c r="L170">
        <f>+'vs Bos'!L170+'vs Hou'!L170+'at Buf'!L170+'vs Bos(2)'!L170+'vs KC'!L170+'at Den'!L170+'at Oak'!L170+'vs Mia'!L170+'at KC'!L170+'vs Den'!L170+'vs Oak'!L170+'at Mia'!L170+'at Hou'!L170+'vs NY'!L170+'Gm 15'!L170+'Gm 16'!L170</f>
        <v>0</v>
      </c>
      <c r="M170">
        <f>+'vs Bos'!M170+'vs Hou'!M170+'at Buf'!M170+'vs Bos(2)'!M170+'vs KC'!M170+'at Den'!M170+'at Oak'!M170+'vs Mia'!M170+'at KC'!M170+'vs Den'!M170+'vs Oak'!M170+'at Mia'!M170+'at Hou'!M170+'vs NY'!M170+'Gm 15'!M170+'Gm 16'!M170</f>
        <v>0</v>
      </c>
      <c r="N170">
        <f>+'vs Bos'!N170+'vs Hou'!N170+'at Buf'!N170+'vs Bos(2)'!N170+'vs KC'!N170+'at Den'!N170+'at Oak'!N170+'vs Mia'!N170+'at KC'!N170+'vs Den'!N170+'vs Oak'!N170+'at Mia'!N170+'at Hou'!N170+'vs NY'!N170+'Gm 15'!N170+'Gm 16'!N170</f>
        <v>0</v>
      </c>
      <c r="O170">
        <f>+'vs Bos'!O170+'vs Hou'!O170+'at Buf'!O170+'vs Bos(2)'!O170+'vs KC'!O170+'at Den'!O170+'at Oak'!O170+'vs Mia'!O170+'at KC'!O170+'vs Den'!O170+'vs Oak'!O170+'at Mia'!O170+'at Hou'!O170+'vs NY'!O170+'Gm 15'!O170+'Gm 16'!O170</f>
        <v>0</v>
      </c>
      <c r="P170">
        <f>+'vs Bos'!P170+'vs Hou'!P170+'at Buf'!P170+'vs Bos(2)'!P170+'vs KC'!P170+'at Den'!P170+'at Oak'!P170+'vs Mia'!P170+'at KC'!P170+'vs Den'!P170+'vs Oak'!P170+'at Mia'!P170+'at Hou'!P170+'vs NY'!P170+'Gm 15'!P170+'Gm 16'!P170</f>
        <v>0</v>
      </c>
      <c r="Q170">
        <f>+'vs Bos'!Q170+'vs Hou'!Q170+'at Buf'!Q170+'vs Bos(2)'!Q170+'vs KC'!Q170+'at Den'!Q170+'at Oak'!Q170+'vs Mia'!Q170+'at KC'!Q170+'vs Den'!Q170+'vs Oak'!Q170+'at Mia'!Q170+'at Hou'!Q170+'vs NY'!Q170+'Gm 15'!Q170+'Gm 16'!Q170</f>
        <v>0</v>
      </c>
      <c r="R170">
        <f>+'vs Bos'!R170+'vs Hou'!R170+'at Buf'!R170+'vs Bos(2)'!R170+'vs KC'!R170+'at Den'!R170+'at Oak'!R170+'vs Mia'!R170+'at KC'!R170+'vs Den'!R170+'vs Oak'!R170+'at Mia'!R170+'at Hou'!R170+'vs NY'!R170+'Gm 15'!R170+'Gm 16'!R170</f>
        <v>0</v>
      </c>
      <c r="S170">
        <f>+'vs Bos'!S170+'vs Hou'!S170+'at Buf'!S170+'vs Bos(2)'!S170+'vs KC'!S170+'at Den'!S170+'at Oak'!S170+'vs Mia'!S170+'at KC'!S170+'vs Den'!S170+'vs Oak'!S170+'at Mia'!S170+'at Hou'!S170+'vs NY'!S170+'Gm 15'!S170+'Gm 16'!S170</f>
        <v>0</v>
      </c>
      <c r="T170">
        <f>+'vs Bos'!T170+'vs Hou'!T170+'at Buf'!T170+'vs Bos(2)'!T170+'vs KC'!T170+'at Den'!T170+'at Oak'!T170+'vs Mia'!T170+'at KC'!T170+'vs Den'!T170+'vs Oak'!T170+'at Mia'!T170+'at Hou'!T170+'vs NY'!T170+'Gm 15'!T170+'Gm 16'!T170</f>
        <v>0</v>
      </c>
      <c r="U170">
        <f>+'vs Bos'!U170+'vs Hou'!U170+'at Buf'!U170+'vs Bos(2)'!U170+'vs KC'!U170+'at Den'!U170+'at Oak'!U170+'vs Mia'!U170+'at KC'!U170+'vs Den'!U170+'vs Oak'!U170+'at Mia'!U170+'at Hou'!U170+'vs NY'!U170+'Gm 15'!U170+'Gm 16'!U170</f>
        <v>0</v>
      </c>
    </row>
    <row r="171" spans="3:21" ht="12">
      <c r="C171">
        <f>+'vs Bos'!C171+'vs Hou'!C171+'at Buf'!C171+'vs Bos(2)'!C171+'vs KC'!C171+'at Den'!C171+'at Oak'!C171+'vs Mia'!C171+'at KC'!C171+'vs Den'!C171+'vs Oak'!C171+'at Mia'!C171+'at Hou'!C171+'vs NY'!C171+'Gm 15'!C171+'Gm 16'!C171</f>
        <v>0</v>
      </c>
      <c r="D171">
        <f>+'vs Bos'!D171+'vs Hou'!D171+'at Buf'!D171+'vs Bos(2)'!D171+'vs KC'!D171+'at Den'!D171+'at Oak'!D171+'vs Mia'!D171+'at KC'!D171+'vs Den'!D171+'vs Oak'!D171+'at Mia'!D171+'at Hou'!D171+'vs NY'!D171+'Gm 15'!D171+'Gm 16'!D171</f>
        <v>0</v>
      </c>
      <c r="E171">
        <f>+'vs Bos'!E171+'vs Hou'!E171+'at Buf'!E171+'vs Bos(2)'!E171+'vs KC'!E171+'at Den'!E171+'at Oak'!E171+'vs Mia'!E171+'at KC'!E171+'vs Den'!E171+'vs Oak'!E171+'at Mia'!E171+'at Hou'!E171+'vs NY'!E171+'Gm 15'!E171+'Gm 16'!E171</f>
        <v>0</v>
      </c>
      <c r="F171">
        <f>+'vs Bos'!F171+'vs Hou'!F171+'at Buf'!F171+'vs Bos(2)'!F171+'vs KC'!F171+'at Den'!F171+'at Oak'!F171+'vs Mia'!F171+'at KC'!F171+'vs Den'!F171+'vs Oak'!F171+'at Mia'!F171+'at Hou'!F171+'vs NY'!F171+'Gm 15'!F171+'Gm 16'!F171</f>
        <v>0</v>
      </c>
      <c r="G171">
        <f>+'vs Bos'!G171+'vs Hou'!G171+'at Buf'!G171+'vs Bos(2)'!G171+'vs KC'!G171+'at Den'!G171+'at Oak'!G171+'vs Mia'!G171+'at KC'!G171+'vs Den'!G171+'vs Oak'!G171+'at Mia'!G171+'at Hou'!G171+'vs NY'!G171+'Gm 15'!G171+'Gm 16'!G171</f>
        <v>0</v>
      </c>
      <c r="H171">
        <f>+'vs Bos'!H171+'vs Hou'!H171+'at Buf'!H171+'vs Bos(2)'!H171+'vs KC'!H171+'at Den'!H171+'at Oak'!H171+'vs Mia'!H171+'at KC'!H171+'vs Den'!H171+'vs Oak'!H171+'at Mia'!H171+'at Hou'!H171+'vs NY'!H171+'Gm 15'!H171+'Gm 16'!H171</f>
        <v>0</v>
      </c>
      <c r="I171" s="12">
        <f t="shared" si="22"/>
        <v>0</v>
      </c>
      <c r="J171">
        <f>MAX('vs Bos'!J171,'vs Hou'!J171,'at Buf'!J171,'vs Bos(2)'!J171,'vs KC'!J171,'at Den'!J171,'at Oak'!J171,'vs Mia'!J171,'at KC'!J171,'vs Den'!J171,'vs Oak'!J171,'at Mia'!J171,'at Hou'!J171,'vs NY'!J171,'Gm 15'!J171,'Gm 16'!J171)</f>
        <v>0</v>
      </c>
      <c r="L171">
        <f>+'vs Bos'!L171+'vs Hou'!L171+'at Buf'!L171+'vs Bos(2)'!L171+'vs KC'!L171+'at Den'!L171+'at Oak'!L171+'vs Mia'!L171+'at KC'!L171+'vs Den'!L171+'vs Oak'!L171+'at Mia'!L171+'at Hou'!L171+'vs NY'!L171+'Gm 15'!L171+'Gm 16'!L171</f>
        <v>0</v>
      </c>
      <c r="M171">
        <f>+'vs Bos'!M171+'vs Hou'!M171+'at Buf'!M171+'vs Bos(2)'!M171+'vs KC'!M171+'at Den'!M171+'at Oak'!M171+'vs Mia'!M171+'at KC'!M171+'vs Den'!M171+'vs Oak'!M171+'at Mia'!M171+'at Hou'!M171+'vs NY'!M171+'Gm 15'!M171+'Gm 16'!M171</f>
        <v>0</v>
      </c>
      <c r="N171">
        <f>+'vs Bos'!N171+'vs Hou'!N171+'at Buf'!N171+'vs Bos(2)'!N171+'vs KC'!N171+'at Den'!N171+'at Oak'!N171+'vs Mia'!N171+'at KC'!N171+'vs Den'!N171+'vs Oak'!N171+'at Mia'!N171+'at Hou'!N171+'vs NY'!N171+'Gm 15'!N171+'Gm 16'!N171</f>
        <v>0</v>
      </c>
      <c r="O171">
        <f>+'vs Bos'!O171+'vs Hou'!O171+'at Buf'!O171+'vs Bos(2)'!O171+'vs KC'!O171+'at Den'!O171+'at Oak'!O171+'vs Mia'!O171+'at KC'!O171+'vs Den'!O171+'vs Oak'!O171+'at Mia'!O171+'at Hou'!O171+'vs NY'!O171+'Gm 15'!O171+'Gm 16'!O171</f>
        <v>0</v>
      </c>
      <c r="P171">
        <f>+'vs Bos'!P171+'vs Hou'!P171+'at Buf'!P171+'vs Bos(2)'!P171+'vs KC'!P171+'at Den'!P171+'at Oak'!P171+'vs Mia'!P171+'at KC'!P171+'vs Den'!P171+'vs Oak'!P171+'at Mia'!P171+'at Hou'!P171+'vs NY'!P171+'Gm 15'!P171+'Gm 16'!P171</f>
        <v>0</v>
      </c>
      <c r="Q171">
        <f>+'vs Bos'!Q171+'vs Hou'!Q171+'at Buf'!Q171+'vs Bos(2)'!Q171+'vs KC'!Q171+'at Den'!Q171+'at Oak'!Q171+'vs Mia'!Q171+'at KC'!Q171+'vs Den'!Q171+'vs Oak'!Q171+'at Mia'!Q171+'at Hou'!Q171+'vs NY'!Q171+'Gm 15'!Q171+'Gm 16'!Q171</f>
        <v>0</v>
      </c>
      <c r="R171">
        <f>+'vs Bos'!R171+'vs Hou'!R171+'at Buf'!R171+'vs Bos(2)'!R171+'vs KC'!R171+'at Den'!R171+'at Oak'!R171+'vs Mia'!R171+'at KC'!R171+'vs Den'!R171+'vs Oak'!R171+'at Mia'!R171+'at Hou'!R171+'vs NY'!R171+'Gm 15'!R171+'Gm 16'!R171</f>
        <v>0</v>
      </c>
      <c r="S171">
        <f>+'vs Bos'!S171+'vs Hou'!S171+'at Buf'!S171+'vs Bos(2)'!S171+'vs KC'!S171+'at Den'!S171+'at Oak'!S171+'vs Mia'!S171+'at KC'!S171+'vs Den'!S171+'vs Oak'!S171+'at Mia'!S171+'at Hou'!S171+'vs NY'!S171+'Gm 15'!S171+'Gm 16'!S171</f>
        <v>0</v>
      </c>
      <c r="T171">
        <f>+'vs Bos'!T171+'vs Hou'!T171+'at Buf'!T171+'vs Bos(2)'!T171+'vs KC'!T171+'at Den'!T171+'at Oak'!T171+'vs Mia'!T171+'at KC'!T171+'vs Den'!T171+'vs Oak'!T171+'at Mia'!T171+'at Hou'!T171+'vs NY'!T171+'Gm 15'!T171+'Gm 16'!T171</f>
        <v>0</v>
      </c>
      <c r="U171">
        <f>+'vs Bos'!U171+'vs Hou'!U171+'at Buf'!U171+'vs Bos(2)'!U171+'vs KC'!U171+'at Den'!U171+'at Oak'!U171+'vs Mia'!U171+'at KC'!U171+'vs Den'!U171+'vs Oak'!U171+'at Mia'!U171+'at Hou'!U171+'vs NY'!U171+'Gm 15'!U171+'Gm 16'!U171</f>
        <v>0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8" ht="12">
      <c r="A175" t="s">
        <v>154</v>
      </c>
      <c r="B175" t="s">
        <v>184</v>
      </c>
      <c r="C175">
        <f>+'vs Bos'!C175+'vs Hou'!C175+'at Buf'!C175+'vs Bos(2)'!C175+'vs KC'!C175+'at Den'!C175+'at Oak'!C175+'vs Mia'!C175+'at KC'!C175+'vs Den'!C175+'vs Oak'!C175+'at Mia'!C175+'at Hou'!C175+'vs NY'!C175+'Gm 15'!C175+'Gm 16'!C175</f>
        <v>4</v>
      </c>
      <c r="D175">
        <f>+'vs Bos'!D175+'vs Hou'!D175+'at Buf'!D175+'vs Bos(2)'!D175+'vs KC'!D175+'at Den'!D175+'at Oak'!D175+'vs Mia'!D175+'at KC'!D175+'vs Den'!D175+'vs Oak'!D175+'at Mia'!D175+'at Hou'!D175+'vs NY'!D175+'Gm 15'!D175+'Gm 16'!D175</f>
        <v>8</v>
      </c>
      <c r="E175" s="12">
        <f aca="true" t="shared" si="24" ref="E175:E187">IF(C175=0,0,+D175/C175)</f>
        <v>2</v>
      </c>
      <c r="F175">
        <f>MAX('vs Bos'!F175,'vs Hou'!F175,'at Buf'!F175,'vs Bos(2)'!F175,'vs KC'!F175,'at Den'!F175,'at Oak'!F175,'vs Mia'!F175,'at KC'!F175,'vs Den'!F175,'vs Oak'!F175,'at Mia'!F175,'at Hou'!F175,'vs NY'!F175,'Gm 15'!F175,'Gm 16'!F175)</f>
        <v>4</v>
      </c>
      <c r="G175">
        <f>+'vs Bos'!G175+'vs Hou'!G175+'at Buf'!G175+'vs Bos(2)'!G175+'vs KC'!G175+'at Den'!G175+'at Oak'!G175+'vs Mia'!G175+'at KC'!G175+'vs Den'!G175+'vs Oak'!G175+'at Mia'!G175+'at Hou'!G175+'vs NY'!G175+'Gm 15'!G175+'Gm 16'!G175</f>
        <v>0</v>
      </c>
      <c r="H175">
        <f>+'vs Bos'!H175+'vs Hou'!H175+'at Buf'!H175+'vs Bos(2)'!H175+'vs KC'!H175+'at Den'!H175+'at Oak'!H175+'vs Mia'!H175+'at KC'!H175+'vs Den'!H175+'vs Oak'!H175+'at Mia'!H175+'at Hou'!H175+'vs NY'!H175+'Gm 15'!H175+'Gm 16'!H175</f>
        <v>0</v>
      </c>
    </row>
    <row r="176" spans="1:8" ht="12">
      <c r="A176" t="s">
        <v>155</v>
      </c>
      <c r="B176" t="s">
        <v>184</v>
      </c>
      <c r="C176">
        <f>+'vs Bos'!C176+'vs Hou'!C176+'at Buf'!C176+'vs Bos(2)'!C176+'vs KC'!C176+'at Den'!C176+'at Oak'!C176+'vs Mia'!C176+'at KC'!C176+'vs Den'!C176+'vs Oak'!C176+'at Mia'!C176+'at Hou'!C176+'vs NY'!C176+'Gm 15'!C176+'Gm 16'!C176</f>
        <v>6</v>
      </c>
      <c r="D176">
        <f>+'vs Bos'!D176+'vs Hou'!D176+'at Buf'!D176+'vs Bos(2)'!D176+'vs KC'!D176+'at Den'!D176+'at Oak'!D176+'vs Mia'!D176+'at KC'!D176+'vs Den'!D176+'vs Oak'!D176+'at Mia'!D176+'at Hou'!D176+'vs NY'!D176+'Gm 15'!D176+'Gm 16'!D176</f>
        <v>66</v>
      </c>
      <c r="E176" s="12">
        <f t="shared" si="24"/>
        <v>11</v>
      </c>
      <c r="F176">
        <f>MAX('vs Bos'!F176,'vs Hou'!F176,'at Buf'!F176,'vs Bos(2)'!F176,'vs KC'!F176,'at Den'!F176,'at Oak'!F176,'vs Mia'!F176,'at KC'!F176,'vs Den'!F176,'vs Oak'!F176,'at Mia'!F176,'at Hou'!F176,'vs NY'!F176,'Gm 15'!F176,'Gm 16'!F176)</f>
        <v>25</v>
      </c>
      <c r="G176">
        <f>+'vs Bos'!G176+'vs Hou'!G176+'at Buf'!G176+'vs Bos(2)'!G176+'vs KC'!G176+'at Den'!G176+'at Oak'!G176+'vs Mia'!G176+'at KC'!G176+'vs Den'!G176+'vs Oak'!G176+'at Mia'!G176+'at Hou'!G176+'vs NY'!G176+'Gm 15'!G176+'Gm 16'!G176</f>
        <v>0</v>
      </c>
      <c r="H176">
        <f>+'vs Bos'!H176+'vs Hou'!H176+'at Buf'!H176+'vs Bos(2)'!H176+'vs KC'!H176+'at Den'!H176+'at Oak'!H176+'vs Mia'!H176+'at KC'!H176+'vs Den'!H176+'vs Oak'!H176+'at Mia'!H176+'at Hou'!H176+'vs NY'!H176+'Gm 15'!H176+'Gm 16'!H176</f>
        <v>0</v>
      </c>
    </row>
    <row r="177" spans="1:8" ht="12">
      <c r="A177" t="s">
        <v>148</v>
      </c>
      <c r="B177" t="s">
        <v>184</v>
      </c>
      <c r="C177">
        <f>+'vs Bos'!C177+'vs Hou'!C177+'at Buf'!C177+'vs Bos(2)'!C177+'vs KC'!C177+'at Den'!C177+'at Oak'!C177+'vs Mia'!C177+'at KC'!C177+'vs Den'!C177+'vs Oak'!C177+'at Mia'!C177+'at Hou'!C177+'vs NY'!C177+'Gm 15'!C177+'Gm 16'!C177</f>
        <v>3</v>
      </c>
      <c r="D177">
        <f>+'vs Bos'!D177+'vs Hou'!D177+'at Buf'!D177+'vs Bos(2)'!D177+'vs KC'!D177+'at Den'!D177+'at Oak'!D177+'vs Mia'!D177+'at KC'!D177+'vs Den'!D177+'vs Oak'!D177+'at Mia'!D177+'at Hou'!D177+'vs NY'!D177+'Gm 15'!D177+'Gm 16'!D177</f>
        <v>89</v>
      </c>
      <c r="E177" s="12">
        <f t="shared" si="24"/>
        <v>29.666666666666668</v>
      </c>
      <c r="F177">
        <f>MAX('vs Bos'!F177,'vs Hou'!F177,'at Buf'!F177,'vs Bos(2)'!F177,'vs KC'!F177,'at Den'!F177,'at Oak'!F177,'vs Mia'!F177,'at KC'!F177,'vs Den'!F177,'vs Oak'!F177,'at Mia'!F177,'at Hou'!F177,'vs NY'!F177,'Gm 15'!F177,'Gm 16'!F177)</f>
        <v>89</v>
      </c>
      <c r="G177">
        <f>+'vs Bos'!G177+'vs Hou'!G177+'at Buf'!G177+'vs Bos(2)'!G177+'vs KC'!G177+'at Den'!G177+'at Oak'!G177+'vs Mia'!G177+'at KC'!G177+'vs Den'!G177+'vs Oak'!G177+'at Mia'!G177+'at Hou'!G177+'vs NY'!G177+'Gm 15'!G177+'Gm 16'!G177</f>
        <v>1</v>
      </c>
      <c r="H177">
        <f>+'vs Bos'!H177+'vs Hou'!H177+'at Buf'!H177+'vs Bos(2)'!H177+'vs KC'!H177+'at Den'!H177+'at Oak'!H177+'vs Mia'!H177+'at KC'!H177+'vs Den'!H177+'vs Oak'!H177+'at Mia'!H177+'at Hou'!H177+'vs NY'!H177+'Gm 15'!H177+'Gm 16'!H177</f>
        <v>0</v>
      </c>
    </row>
    <row r="178" spans="1:8" ht="12">
      <c r="A178" t="s">
        <v>150</v>
      </c>
      <c r="B178" t="s">
        <v>184</v>
      </c>
      <c r="C178">
        <f>+'vs Bos'!C178+'vs Hou'!C178+'at Buf'!C178+'vs Bos(2)'!C178+'vs KC'!C178+'at Den'!C178+'at Oak'!C178+'vs Mia'!C178+'at KC'!C178+'vs Den'!C178+'vs Oak'!C178+'at Mia'!C178+'at Hou'!C178+'vs NY'!C178+'Gm 15'!C178+'Gm 16'!C178</f>
        <v>2</v>
      </c>
      <c r="D178">
        <f>+'vs Bos'!D178+'vs Hou'!D178+'at Buf'!D178+'vs Bos(2)'!D178+'vs KC'!D178+'at Den'!D178+'at Oak'!D178+'vs Mia'!D178+'at KC'!D178+'vs Den'!D178+'vs Oak'!D178+'at Mia'!D178+'at Hou'!D178+'vs NY'!D178+'Gm 15'!D178+'Gm 16'!D178</f>
        <v>39</v>
      </c>
      <c r="E178" s="12">
        <f t="shared" si="24"/>
        <v>19.5</v>
      </c>
      <c r="F178">
        <f>MAX('vs Bos'!F178,'vs Hou'!F178,'at Buf'!F178,'vs Bos(2)'!F178,'vs KC'!F178,'at Den'!F178,'at Oak'!F178,'vs Mia'!F178,'at KC'!F178,'vs Den'!F178,'vs Oak'!F178,'at Mia'!F178,'at Hou'!F178,'vs NY'!F178,'Gm 15'!F178,'Gm 16'!F178)</f>
        <v>21</v>
      </c>
      <c r="G178">
        <f>+'vs Bos'!G178+'vs Hou'!G178+'at Buf'!G178+'vs Bos(2)'!G178+'vs KC'!G178+'at Den'!G178+'at Oak'!G178+'vs Mia'!G178+'at KC'!G178+'vs Den'!G178+'vs Oak'!G178+'at Mia'!G178+'at Hou'!G178+'vs NY'!G178+'Gm 15'!G178+'Gm 16'!G178</f>
        <v>0</v>
      </c>
      <c r="H178">
        <f>+'vs Bos'!H178+'vs Hou'!H178+'at Buf'!H178+'vs Bos(2)'!H178+'vs KC'!H178+'at Den'!H178+'at Oak'!H178+'vs Mia'!H178+'at KC'!H178+'vs Den'!H178+'vs Oak'!H178+'at Mia'!H178+'at Hou'!H178+'vs NY'!H178+'Gm 15'!H178+'Gm 16'!H178</f>
        <v>0</v>
      </c>
    </row>
    <row r="179" spans="1:8" ht="12">
      <c r="A179" t="s">
        <v>149</v>
      </c>
      <c r="B179" t="s">
        <v>184</v>
      </c>
      <c r="C179">
        <f>+'vs Bos'!C179+'vs Hou'!C179+'at Buf'!C179+'vs Bos(2)'!C179+'vs KC'!C179+'at Den'!C179+'at Oak'!C179+'vs Mia'!C179+'at KC'!C179+'vs Den'!C179+'vs Oak'!C179+'at Mia'!C179+'at Hou'!C179+'vs NY'!C179+'Gm 15'!C179+'Gm 16'!C179</f>
        <v>5</v>
      </c>
      <c r="D179">
        <f>+'vs Bos'!D179+'vs Hou'!D179+'at Buf'!D179+'vs Bos(2)'!D179+'vs KC'!D179+'at Den'!D179+'at Oak'!D179+'vs Mia'!D179+'at KC'!D179+'vs Den'!D179+'vs Oak'!D179+'at Mia'!D179+'at Hou'!D179+'vs NY'!D179+'Gm 15'!D179+'Gm 16'!D179</f>
        <v>113</v>
      </c>
      <c r="E179" s="12">
        <f t="shared" si="24"/>
        <v>22.6</v>
      </c>
      <c r="F179">
        <f>MAX('vs Bos'!F179,'vs Hou'!F179,'at Buf'!F179,'vs Bos(2)'!F179,'vs KC'!F179,'at Den'!F179,'at Oak'!F179,'vs Mia'!F179,'at KC'!F179,'vs Den'!F179,'vs Oak'!F179,'at Mia'!F179,'at Hou'!F179,'vs NY'!F179,'Gm 15'!F179,'Gm 16'!F179)</f>
        <v>75</v>
      </c>
      <c r="G179">
        <f>+'vs Bos'!G179+'vs Hou'!G179+'at Buf'!G179+'vs Bos(2)'!G179+'vs KC'!G179+'at Den'!G179+'at Oak'!G179+'vs Mia'!G179+'at KC'!G179+'vs Den'!G179+'vs Oak'!G179+'at Mia'!G179+'at Hou'!G179+'vs NY'!G179+'Gm 15'!G179+'Gm 16'!G179</f>
        <v>1</v>
      </c>
      <c r="H179">
        <f>+'vs Bos'!H179+'vs Hou'!H179+'at Buf'!H179+'vs Bos(2)'!H179+'vs KC'!H179+'at Den'!H179+'at Oak'!H179+'vs Mia'!H179+'at KC'!H179+'vs Den'!H179+'vs Oak'!H179+'at Mia'!H179+'at Hou'!H179+'vs NY'!H179+'Gm 15'!H179+'Gm 16'!H179</f>
        <v>0</v>
      </c>
    </row>
    <row r="180" spans="1:8" ht="12">
      <c r="A180" t="s">
        <v>141</v>
      </c>
      <c r="B180" t="s">
        <v>184</v>
      </c>
      <c r="C180">
        <f>+'vs Bos'!C180+'vs Hou'!C180+'at Buf'!C180+'vs Bos(2)'!C180+'vs KC'!C180+'at Den'!C180+'at Oak'!C180+'vs Mia'!C180+'at KC'!C180+'vs Den'!C180+'vs Oak'!C180+'at Mia'!C180+'at Hou'!C180+'vs NY'!C180+'Gm 15'!C180+'Gm 16'!C180</f>
        <v>2</v>
      </c>
      <c r="D180">
        <f>+'vs Bos'!D180+'vs Hou'!D180+'at Buf'!D180+'vs Bos(2)'!D180+'vs KC'!D180+'at Den'!D180+'at Oak'!D180+'vs Mia'!D180+'at KC'!D180+'vs Den'!D180+'vs Oak'!D180+'at Mia'!D180+'at Hou'!D180+'vs NY'!D180+'Gm 15'!D180+'Gm 16'!D180</f>
        <v>46</v>
      </c>
      <c r="E180" s="12">
        <f t="shared" si="24"/>
        <v>23</v>
      </c>
      <c r="F180">
        <f>MAX('vs Bos'!F180,'vs Hou'!F180,'at Buf'!F180,'vs Bos(2)'!F180,'vs KC'!F180,'at Den'!F180,'at Oak'!F180,'vs Mia'!F180,'at KC'!F180,'vs Den'!F180,'vs Oak'!F180,'at Mia'!F180,'at Hou'!F180,'vs NY'!F180,'Gm 15'!F180,'Gm 16'!F180)</f>
        <v>26</v>
      </c>
      <c r="G180">
        <f>+'vs Bos'!G180+'vs Hou'!G180+'at Buf'!G180+'vs Bos(2)'!G180+'vs KC'!G180+'at Den'!G180+'at Oak'!G180+'vs Mia'!G180+'at KC'!G180+'vs Den'!G180+'vs Oak'!G180+'at Mia'!G180+'at Hou'!G180+'vs NY'!G180+'Gm 15'!G180+'Gm 16'!G180</f>
        <v>0</v>
      </c>
      <c r="H180">
        <f>+'vs Bos'!H180+'vs Hou'!H180+'at Buf'!H180+'vs Bos(2)'!H180+'vs KC'!H180+'at Den'!H180+'at Oak'!H180+'vs Mia'!H180+'at KC'!H180+'vs Den'!H180+'vs Oak'!H180+'at Mia'!H180+'at Hou'!H180+'vs NY'!H180+'Gm 15'!H180+'Gm 16'!H180</f>
        <v>0</v>
      </c>
    </row>
    <row r="181" spans="1:8" ht="12">
      <c r="A181" t="s">
        <v>151</v>
      </c>
      <c r="B181" t="s">
        <v>184</v>
      </c>
      <c r="C181">
        <f>+'vs Bos'!C181+'vs Hou'!C181+'at Buf'!C181+'vs Bos(2)'!C181+'vs KC'!C181+'at Den'!C181+'at Oak'!C181+'vs Mia'!C181+'at KC'!C181+'vs Den'!C181+'vs Oak'!C181+'at Mia'!C181+'at Hou'!C181+'vs NY'!C181+'Gm 15'!C181+'Gm 16'!C181</f>
        <v>0</v>
      </c>
      <c r="D181">
        <f>+'vs Bos'!D181+'vs Hou'!D181+'at Buf'!D181+'vs Bos(2)'!D181+'vs KC'!D181+'at Den'!D181+'at Oak'!D181+'vs Mia'!D181+'at KC'!D181+'vs Den'!D181+'vs Oak'!D181+'at Mia'!D181+'at Hou'!D181+'vs NY'!D181+'Gm 15'!D181+'Gm 16'!D181</f>
        <v>0</v>
      </c>
      <c r="E181" s="12">
        <f t="shared" si="24"/>
        <v>0</v>
      </c>
      <c r="F181">
        <f>MAX('vs Bos'!F181,'vs Hou'!F181,'at Buf'!F181,'vs Bos(2)'!F181,'vs KC'!F181,'at Den'!F181,'at Oak'!F181,'vs Mia'!F181,'at KC'!F181,'vs Den'!F181,'vs Oak'!F181,'at Mia'!F181,'at Hou'!F181,'vs NY'!F181,'Gm 15'!F181,'Gm 16'!F181)</f>
        <v>0</v>
      </c>
      <c r="G181">
        <f>+'vs Bos'!G181+'vs Hou'!G181+'at Buf'!G181+'vs Bos(2)'!G181+'vs KC'!G181+'at Den'!G181+'at Oak'!G181+'vs Mia'!G181+'at KC'!G181+'vs Den'!G181+'vs Oak'!G181+'at Mia'!G181+'at Hou'!G181+'vs NY'!G181+'Gm 15'!G181+'Gm 16'!G181</f>
        <v>0</v>
      </c>
      <c r="H181">
        <f>+'vs Bos'!H181+'vs Hou'!H181+'at Buf'!H181+'vs Bos(2)'!H181+'vs KC'!H181+'at Den'!H181+'at Oak'!H181+'vs Mia'!H181+'at KC'!H181+'vs Den'!H181+'vs Oak'!H181+'at Mia'!H181+'at Hou'!H181+'vs NY'!H181+'Gm 15'!H181+'Gm 16'!H181</f>
        <v>0</v>
      </c>
    </row>
    <row r="182" spans="3:8" ht="12">
      <c r="C182">
        <f>+'vs Bos'!C182+'vs Hou'!C182+'at Buf'!C182+'vs Bos(2)'!C182+'vs KC'!C182+'at Den'!C182+'at Oak'!C182+'vs Mia'!C182+'at KC'!C182+'vs Den'!C182+'vs Oak'!C182+'at Mia'!C182+'at Hou'!C182+'vs NY'!C182+'Gm 15'!C182+'Gm 16'!C182</f>
        <v>0</v>
      </c>
      <c r="D182">
        <f>+'vs Bos'!D182+'vs Hou'!D182+'at Buf'!D182+'vs Bos(2)'!D182+'vs KC'!D182+'at Den'!D182+'at Oak'!D182+'vs Mia'!D182+'at KC'!D182+'vs Den'!D182+'vs Oak'!D182+'at Mia'!D182+'at Hou'!D182+'vs NY'!D182+'Gm 15'!D182+'Gm 16'!D182</f>
        <v>0</v>
      </c>
      <c r="E182" s="12">
        <f t="shared" si="24"/>
        <v>0</v>
      </c>
      <c r="F182">
        <f>MAX('vs Bos'!F182,'vs Hou'!F182,'at Buf'!F182,'vs Bos(2)'!F182,'vs KC'!F182,'at Den'!F182,'at Oak'!F182,'vs Mia'!F182,'at KC'!F182,'vs Den'!F182,'vs Oak'!F182,'at Mia'!F182,'at Hou'!F182,'vs NY'!F182,'Gm 15'!F182,'Gm 16'!F182)</f>
        <v>0</v>
      </c>
      <c r="G182">
        <f>+'vs Bos'!G182+'vs Hou'!G182+'at Buf'!G182+'vs Bos(2)'!G182+'vs KC'!G182+'at Den'!G182+'at Oak'!G182+'vs Mia'!G182+'at KC'!G182+'vs Den'!G182+'vs Oak'!G182+'at Mia'!G182+'at Hou'!G182+'vs NY'!G182+'Gm 15'!G182+'Gm 16'!G182</f>
        <v>0</v>
      </c>
      <c r="H182">
        <f>+'vs Bos'!H182+'vs Hou'!H182+'at Buf'!H182+'vs Bos(2)'!H182+'vs KC'!H182+'at Den'!H182+'at Oak'!H182+'vs Mia'!H182+'at KC'!H182+'vs Den'!H182+'vs Oak'!H182+'at Mia'!H182+'at Hou'!H182+'vs NY'!H182+'Gm 15'!H182+'Gm 16'!H182</f>
        <v>0</v>
      </c>
    </row>
    <row r="183" spans="3:8" ht="12">
      <c r="C183">
        <f>+'vs Bos'!C183+'vs Hou'!C183+'at Buf'!C183+'vs Bos(2)'!C183+'vs KC'!C183+'at Den'!C183+'at Oak'!C183+'vs Mia'!C183+'at KC'!C183+'vs Den'!C183+'vs Oak'!C183+'at Mia'!C183+'at Hou'!C183+'vs NY'!C183+'Gm 15'!C183+'Gm 16'!C183</f>
        <v>0</v>
      </c>
      <c r="D183">
        <f>+'vs Bos'!D183+'vs Hou'!D183+'at Buf'!D183+'vs Bos(2)'!D183+'vs KC'!D183+'at Den'!D183+'at Oak'!D183+'vs Mia'!D183+'at KC'!D183+'vs Den'!D183+'vs Oak'!D183+'at Mia'!D183+'at Hou'!D183+'vs NY'!D183+'Gm 15'!D183+'Gm 16'!D183</f>
        <v>0</v>
      </c>
      <c r="E183" s="12">
        <f t="shared" si="24"/>
        <v>0</v>
      </c>
      <c r="F183">
        <f>MAX('vs Bos'!F183,'vs Hou'!F183,'at Buf'!F183,'vs Bos(2)'!F183,'vs KC'!F183,'at Den'!F183,'at Oak'!F183,'vs Mia'!F183,'at KC'!F183,'vs Den'!F183,'vs Oak'!F183,'at Mia'!F183,'at Hou'!F183,'vs NY'!F183,'Gm 15'!F183,'Gm 16'!F183)</f>
        <v>0</v>
      </c>
      <c r="G183">
        <f>+'vs Bos'!G183+'vs Hou'!G183+'at Buf'!G183+'vs Bos(2)'!G183+'vs KC'!G183+'at Den'!G183+'at Oak'!G183+'vs Mia'!G183+'at KC'!G183+'vs Den'!G183+'vs Oak'!G183+'at Mia'!G183+'at Hou'!G183+'vs NY'!G183+'Gm 15'!G183+'Gm 16'!G183</f>
        <v>0</v>
      </c>
      <c r="H183">
        <f>+'vs Bos'!H183+'vs Hou'!H183+'at Buf'!H183+'vs Bos(2)'!H183+'vs KC'!H183+'at Den'!H183+'at Oak'!H183+'vs Mia'!H183+'at KC'!H183+'vs Den'!H183+'vs Oak'!H183+'at Mia'!H183+'at Hou'!H183+'vs NY'!H183+'Gm 15'!H183+'Gm 16'!H183</f>
        <v>0</v>
      </c>
    </row>
    <row r="184" spans="3:8" ht="12">
      <c r="C184">
        <f>+'vs Bos'!C184+'vs Hou'!C184+'at Buf'!C184+'vs Bos(2)'!C184+'vs KC'!C184+'at Den'!C184+'at Oak'!C184+'vs Mia'!C184+'at KC'!C184+'vs Den'!C184+'vs Oak'!C184+'at Mia'!C184+'at Hou'!C184+'vs NY'!C184+'Gm 15'!C184+'Gm 16'!C184</f>
        <v>0</v>
      </c>
      <c r="D184">
        <f>+'vs Bos'!D184+'vs Hou'!D184+'at Buf'!D184+'vs Bos(2)'!D184+'vs KC'!D184+'at Den'!D184+'at Oak'!D184+'vs Mia'!D184+'at KC'!D184+'vs Den'!D184+'vs Oak'!D184+'at Mia'!D184+'at Hou'!D184+'vs NY'!D184+'Gm 15'!D184+'Gm 16'!D184</f>
        <v>0</v>
      </c>
      <c r="E184" s="12">
        <f t="shared" si="24"/>
        <v>0</v>
      </c>
      <c r="F184">
        <f>MAX('vs Bos'!F184,'vs Hou'!F184,'at Buf'!F184,'vs Bos(2)'!F184,'vs KC'!F184,'at Den'!F184,'at Oak'!F184,'vs Mia'!F184,'at KC'!F184,'vs Den'!F184,'vs Oak'!F184,'at Mia'!F184,'at Hou'!F184,'vs NY'!F184,'Gm 15'!F184,'Gm 16'!F184)</f>
        <v>0</v>
      </c>
      <c r="G184">
        <f>+'vs Bos'!G184+'vs Hou'!G184+'at Buf'!G184+'vs Bos(2)'!G184+'vs KC'!G184+'at Den'!G184+'at Oak'!G184+'vs Mia'!G184+'at KC'!G184+'vs Den'!G184+'vs Oak'!G184+'at Mia'!G184+'at Hou'!G184+'vs NY'!G184+'Gm 15'!G184+'Gm 16'!G184</f>
        <v>0</v>
      </c>
      <c r="H184">
        <f>+'vs Bos'!H184+'vs Hou'!H184+'at Buf'!H184+'vs Bos(2)'!H184+'vs KC'!H184+'at Den'!H184+'at Oak'!H184+'vs Mia'!H184+'at KC'!H184+'vs Den'!H184+'vs Oak'!H184+'at Mia'!H184+'at Hou'!H184+'vs NY'!H184+'Gm 15'!H184+'Gm 16'!H184</f>
        <v>0</v>
      </c>
    </row>
    <row r="185" spans="3:8" ht="12">
      <c r="C185">
        <f>+'vs Bos'!C185+'vs Hou'!C185+'at Buf'!C185+'vs Bos(2)'!C185+'vs KC'!C185+'at Den'!C185+'at Oak'!C185+'vs Mia'!C185+'at KC'!C185+'vs Den'!C185+'vs Oak'!C185+'at Mia'!C185+'at Hou'!C185+'vs NY'!C185+'Gm 15'!C185+'Gm 16'!C185</f>
        <v>0</v>
      </c>
      <c r="D185">
        <f>+'vs Bos'!D185+'vs Hou'!D185+'at Buf'!D185+'vs Bos(2)'!D185+'vs KC'!D185+'at Den'!D185+'at Oak'!D185+'vs Mia'!D185+'at KC'!D185+'vs Den'!D185+'vs Oak'!D185+'at Mia'!D185+'at Hou'!D185+'vs NY'!D185+'Gm 15'!D185+'Gm 16'!D185</f>
        <v>0</v>
      </c>
      <c r="E185" s="12">
        <f t="shared" si="24"/>
        <v>0</v>
      </c>
      <c r="F185">
        <f>MAX('vs Bos'!F185,'vs Hou'!F185,'at Buf'!F185,'vs Bos(2)'!F185,'vs KC'!F185,'at Den'!F185,'at Oak'!F185,'vs Mia'!F185,'at KC'!F185,'vs Den'!F185,'vs Oak'!F185,'at Mia'!F185,'at Hou'!F185,'vs NY'!F185,'Gm 15'!F185,'Gm 16'!F185)</f>
        <v>0</v>
      </c>
      <c r="G185">
        <f>+'vs Bos'!G185+'vs Hou'!G185+'at Buf'!G185+'vs Bos(2)'!G185+'vs KC'!G185+'at Den'!G185+'at Oak'!G185+'vs Mia'!G185+'at KC'!G185+'vs Den'!G185+'vs Oak'!G185+'at Mia'!G185+'at Hou'!G185+'vs NY'!G185+'Gm 15'!G185+'Gm 16'!G185</f>
        <v>0</v>
      </c>
      <c r="H185">
        <f>+'vs Bos'!H185+'vs Hou'!H185+'at Buf'!H185+'vs Bos(2)'!H185+'vs KC'!H185+'at Den'!H185+'at Oak'!H185+'vs Mia'!H185+'at KC'!H185+'vs Den'!H185+'vs Oak'!H185+'at Mia'!H185+'at Hou'!H185+'vs NY'!H185+'Gm 15'!H185+'Gm 16'!H185</f>
        <v>0</v>
      </c>
    </row>
    <row r="186" spans="3:8" ht="12">
      <c r="C186">
        <f>+'vs Bos'!C186+'vs Hou'!C186+'at Buf'!C186+'vs Bos(2)'!C186+'vs KC'!C186+'at Den'!C186+'at Oak'!C186+'vs Mia'!C186+'at KC'!C186+'vs Den'!C186+'vs Oak'!C186+'at Mia'!C186+'at Hou'!C186+'vs NY'!C186+'Gm 15'!C186+'Gm 16'!C186</f>
        <v>0</v>
      </c>
      <c r="D186">
        <f>+'vs Bos'!D186+'vs Hou'!D186+'at Buf'!D186+'vs Bos(2)'!D186+'vs KC'!D186+'at Den'!D186+'at Oak'!D186+'vs Mia'!D186+'at KC'!D186+'vs Den'!D186+'vs Oak'!D186+'at Mia'!D186+'at Hou'!D186+'vs NY'!D186+'Gm 15'!D186+'Gm 16'!D186</f>
        <v>0</v>
      </c>
      <c r="E186" s="12">
        <f t="shared" si="24"/>
        <v>0</v>
      </c>
      <c r="F186">
        <f>MAX('vs Bos'!F186,'vs Hou'!F186,'at Buf'!F186,'vs Bos(2)'!F186,'vs KC'!F186,'at Den'!F186,'at Oak'!F186,'vs Mia'!F186,'at KC'!F186,'vs Den'!F186,'vs Oak'!F186,'at Mia'!F186,'at Hou'!F186,'vs NY'!F186,'Gm 15'!F186,'Gm 16'!F186)</f>
        <v>0</v>
      </c>
      <c r="G186">
        <f>+'vs Bos'!G186+'vs Hou'!G186+'at Buf'!G186+'vs Bos(2)'!G186+'vs KC'!G186+'at Den'!G186+'at Oak'!G186+'vs Mia'!G186+'at KC'!G186+'vs Den'!G186+'vs Oak'!G186+'at Mia'!G186+'at Hou'!G186+'vs NY'!G186+'Gm 15'!G186+'Gm 16'!G186</f>
        <v>0</v>
      </c>
      <c r="H186">
        <f>+'vs Bos'!H186+'vs Hou'!H186+'at Buf'!H186+'vs Bos(2)'!H186+'vs KC'!H186+'at Den'!H186+'at Oak'!H186+'vs Mia'!H186+'at KC'!H186+'vs Den'!H186+'vs Oak'!H186+'at Mia'!H186+'at Hou'!H186+'vs NY'!H186+'Gm 15'!H186+'Gm 16'!H186</f>
        <v>0</v>
      </c>
    </row>
    <row r="187" spans="3:8" ht="12">
      <c r="C187">
        <f>+'vs Bos'!C187+'vs Hou'!C187+'at Buf'!C187+'vs Bos(2)'!C187+'vs KC'!C187+'at Den'!C187+'at Oak'!C187+'vs Mia'!C187+'at KC'!C187+'vs Den'!C187+'vs Oak'!C187+'at Mia'!C187+'at Hou'!C187+'vs NY'!C187+'Gm 15'!C187+'Gm 16'!C187</f>
        <v>0</v>
      </c>
      <c r="D187">
        <f>+'vs Bos'!D187+'vs Hou'!D187+'at Buf'!D187+'vs Bos(2)'!D187+'vs KC'!D187+'at Den'!D187+'at Oak'!D187+'vs Mia'!D187+'at KC'!D187+'vs Den'!D187+'vs Oak'!D187+'at Mia'!D187+'at Hou'!D187+'vs NY'!D187+'Gm 15'!D187+'Gm 16'!D187</f>
        <v>0</v>
      </c>
      <c r="E187" s="12">
        <f t="shared" si="24"/>
        <v>0</v>
      </c>
      <c r="F187">
        <f>MAX('vs Bos'!F187,'vs Hou'!F187,'at Buf'!F187,'vs Bos(2)'!F187,'vs KC'!F187,'at Den'!F187,'at Oak'!F187,'vs Mia'!F187,'at KC'!F187,'vs Den'!F187,'vs Oak'!F187,'at Mia'!F187,'at Hou'!F187,'vs NY'!F187,'Gm 15'!F187,'Gm 16'!F187)</f>
        <v>0</v>
      </c>
      <c r="G187">
        <f>+'vs Bos'!G187+'vs Hou'!G187+'at Buf'!G187+'vs Bos(2)'!G187+'vs KC'!G187+'at Den'!G187+'at Oak'!G187+'vs Mia'!G187+'at KC'!G187+'vs Den'!G187+'vs Oak'!G187+'at Mia'!G187+'at Hou'!G187+'vs NY'!G187+'Gm 15'!G187+'Gm 16'!G187</f>
        <v>0</v>
      </c>
      <c r="H187">
        <f>+'vs Bos'!H187+'vs Hou'!H187+'at Buf'!H187+'vs Bos(2)'!H187+'vs KC'!H187+'at Den'!H187+'at Oak'!H187+'vs Mia'!H187+'at KC'!H187+'vs Den'!H187+'vs Oak'!H187+'at Mia'!H187+'at Hou'!H187+'vs NY'!H187+'Gm 15'!H187+'Gm 16'!H187</f>
        <v>0</v>
      </c>
    </row>
    <row r="188" ht="12">
      <c r="E188" s="12"/>
    </row>
    <row r="189" spans="1:6" ht="12">
      <c r="A189" s="2" t="s">
        <v>98</v>
      </c>
      <c r="C189" s="3" t="s">
        <v>72</v>
      </c>
      <c r="D189" s="3" t="s">
        <v>74</v>
      </c>
      <c r="F189" s="2" t="s">
        <v>89</v>
      </c>
    </row>
    <row r="190" spans="1:6" ht="12">
      <c r="A190" s="20" t="s">
        <v>156</v>
      </c>
      <c r="B190" t="s">
        <v>184</v>
      </c>
      <c r="C190">
        <f>+'vs Bos'!C190+'vs Hou'!C190+'at Buf'!C190+'vs Bos(2)'!C190+'vs KC'!C190+'at Den'!C190+'at Oak'!C190+'vs Mia'!C190+'at KC'!C190+'vs Den'!C190+'vs Oak'!C190+'at Mia'!C190+'at Hou'!C190+'vs NY'!C190+'Gm 15'!C190+'Gm 16'!C190</f>
        <v>3.5</v>
      </c>
      <c r="D190">
        <f>+'vs Bos'!D190+'vs Hou'!D190+'at Buf'!D190+'vs Bos(2)'!D190+'vs KC'!D190+'at Den'!D190+'at Oak'!D190+'vs Mia'!D190+'at KC'!D190+'vs Den'!D190+'vs Oak'!D190+'at Mia'!D190+'at Hou'!D190+'vs NY'!D190+'Gm 15'!D190+'Gm 16'!D190</f>
        <v>33.5</v>
      </c>
      <c r="F190">
        <v>6</v>
      </c>
    </row>
    <row r="191" spans="1:6" ht="12">
      <c r="A191" s="20" t="s">
        <v>157</v>
      </c>
      <c r="B191" t="s">
        <v>184</v>
      </c>
      <c r="C191">
        <f>+'vs Bos'!C191+'vs Hou'!C191+'at Buf'!C191+'vs Bos(2)'!C191+'vs KC'!C191+'at Den'!C191+'at Oak'!C191+'vs Mia'!C191+'at KC'!C191+'vs Den'!C191+'vs Oak'!C191+'at Mia'!C191+'at Hou'!C191+'vs NY'!C191+'Gm 15'!C191+'Gm 16'!C191</f>
        <v>0.5</v>
      </c>
      <c r="D191">
        <f>+'vs Bos'!D191+'vs Hou'!D191+'at Buf'!D191+'vs Bos(2)'!D191+'vs KC'!D191+'at Den'!D191+'at Oak'!D191+'vs Mia'!D191+'at KC'!D191+'vs Den'!D191+'vs Oak'!D191+'at Mia'!D191+'at Hou'!D191+'vs NY'!D191+'Gm 15'!D191+'Gm 16'!D191</f>
        <v>3.5</v>
      </c>
      <c r="F191">
        <v>2.5</v>
      </c>
    </row>
    <row r="192" spans="1:6" ht="12">
      <c r="A192" s="20" t="s">
        <v>158</v>
      </c>
      <c r="B192" t="s">
        <v>184</v>
      </c>
      <c r="C192">
        <f>+'vs Bos'!C192+'vs Hou'!C192+'at Buf'!C192+'vs Bos(2)'!C192+'vs KC'!C192+'at Den'!C192+'at Oak'!C192+'vs Mia'!C192+'at KC'!C192+'vs Den'!C192+'vs Oak'!C192+'at Mia'!C192+'at Hou'!C192+'vs NY'!C192+'Gm 15'!C192+'Gm 16'!C192</f>
        <v>4</v>
      </c>
      <c r="D192">
        <f>+'vs Bos'!D192+'vs Hou'!D192+'at Buf'!D192+'vs Bos(2)'!D192+'vs KC'!D192+'at Den'!D192+'at Oak'!D192+'vs Mia'!D192+'at KC'!D192+'vs Den'!D192+'vs Oak'!D192+'at Mia'!D192+'at Hou'!D192+'vs NY'!D192+'Gm 15'!D192+'Gm 16'!D192</f>
        <v>29</v>
      </c>
      <c r="F192">
        <v>3.5</v>
      </c>
    </row>
    <row r="193" spans="1:6" ht="12">
      <c r="A193" s="20" t="s">
        <v>159</v>
      </c>
      <c r="B193" t="s">
        <v>184</v>
      </c>
      <c r="C193">
        <f>+'vs Bos'!C193+'vs Hou'!C193+'at Buf'!C193+'vs Bos(2)'!C193+'vs KC'!C193+'at Den'!C193+'at Oak'!C193+'vs Mia'!C193+'at KC'!C193+'vs Den'!C193+'vs Oak'!C193+'at Mia'!C193+'at Hou'!C193+'vs NY'!C193+'Gm 15'!C193+'Gm 16'!C193</f>
        <v>4</v>
      </c>
      <c r="D193">
        <f>+'vs Bos'!D193+'vs Hou'!D193+'at Buf'!D193+'vs Bos(2)'!D193+'vs KC'!D193+'at Den'!D193+'at Oak'!D193+'vs Mia'!D193+'at KC'!D193+'vs Den'!D193+'vs Oak'!D193+'at Mia'!D193+'at Hou'!D193+'vs NY'!D193+'Gm 15'!D193+'Gm 16'!D193</f>
        <v>28</v>
      </c>
      <c r="F193">
        <v>3.5</v>
      </c>
    </row>
    <row r="194" spans="1:6" ht="12">
      <c r="A194" s="20" t="s">
        <v>160</v>
      </c>
      <c r="B194" t="s">
        <v>184</v>
      </c>
      <c r="C194">
        <f>+'vs Bos'!C194+'vs Hou'!C194+'at Buf'!C194+'vs Bos(2)'!C194+'vs KC'!C194+'at Den'!C194+'at Oak'!C194+'vs Mia'!C194+'at KC'!C194+'vs Den'!C194+'vs Oak'!C194+'at Mia'!C194+'at Hou'!C194+'vs NY'!C194+'Gm 15'!C194+'Gm 16'!C194</f>
        <v>2</v>
      </c>
      <c r="D194">
        <f>+'vs Bos'!D194+'vs Hou'!D194+'at Buf'!D194+'vs Bos(2)'!D194+'vs KC'!D194+'at Den'!D194+'at Oak'!D194+'vs Mia'!D194+'at KC'!D194+'vs Den'!D194+'vs Oak'!D194+'at Mia'!D194+'at Hou'!D194+'vs NY'!D194+'Gm 15'!D194+'Gm 16'!D194</f>
        <v>10</v>
      </c>
      <c r="F194">
        <v>2</v>
      </c>
    </row>
    <row r="195" spans="1:6" ht="12">
      <c r="A195" s="20" t="s">
        <v>161</v>
      </c>
      <c r="B195" t="s">
        <v>184</v>
      </c>
      <c r="C195">
        <f>+'vs Bos'!C195+'vs Hou'!C195+'at Buf'!C195+'vs Bos(2)'!C195+'vs KC'!C195+'at Den'!C195+'at Oak'!C195+'vs Mia'!C195+'at KC'!C195+'vs Den'!C195+'vs Oak'!C195+'at Mia'!C195+'at Hou'!C195+'vs NY'!C195+'Gm 15'!C195+'Gm 16'!C195</f>
        <v>1</v>
      </c>
      <c r="D195">
        <f>+'vs Bos'!D195+'vs Hou'!D195+'at Buf'!D195+'vs Bos(2)'!D195+'vs KC'!D195+'at Den'!D195+'at Oak'!D195+'vs Mia'!D195+'at KC'!D195+'vs Den'!D195+'vs Oak'!D195+'at Mia'!D195+'at Hou'!D195+'vs NY'!D195+'Gm 15'!D195+'Gm 16'!D195</f>
        <v>6</v>
      </c>
      <c r="F195">
        <v>1</v>
      </c>
    </row>
    <row r="196" spans="1:6" ht="12">
      <c r="A196" s="20" t="s">
        <v>162</v>
      </c>
      <c r="B196" t="s">
        <v>184</v>
      </c>
      <c r="C196">
        <f>+'vs Bos'!C196+'vs Hou'!C196+'at Buf'!C196+'vs Bos(2)'!C196+'vs KC'!C196+'at Den'!C196+'at Oak'!C196+'vs Mia'!C196+'at KC'!C196+'vs Den'!C196+'vs Oak'!C196+'at Mia'!C196+'at Hou'!C196+'vs NY'!C196+'Gm 15'!C196+'Gm 16'!C196</f>
        <v>3</v>
      </c>
      <c r="D196">
        <f>+'vs Bos'!D196+'vs Hou'!D196+'at Buf'!D196+'vs Bos(2)'!D196+'vs KC'!D196+'at Den'!D196+'at Oak'!D196+'vs Mia'!D196+'at KC'!D196+'vs Den'!D196+'vs Oak'!D196+'at Mia'!D196+'at Hou'!D196+'vs NY'!D196+'Gm 15'!D196+'Gm 16'!D196</f>
        <v>19</v>
      </c>
      <c r="F196">
        <v>3.5</v>
      </c>
    </row>
    <row r="197" spans="1:6" ht="12">
      <c r="A197" s="20" t="s">
        <v>141</v>
      </c>
      <c r="B197" t="s">
        <v>184</v>
      </c>
      <c r="C197">
        <f>+'vs Bos'!C197+'vs Hou'!C197+'at Buf'!C197+'vs Bos(2)'!C197+'vs KC'!C197+'at Den'!C197+'at Oak'!C197+'vs Mia'!C197+'at KC'!C197+'vs Den'!C197+'vs Oak'!C197+'at Mia'!C197+'at Hou'!C197+'vs NY'!C197+'Gm 15'!C197+'Gm 16'!C197</f>
        <v>1</v>
      </c>
      <c r="D197">
        <f>+'vs Bos'!D197+'vs Hou'!D197+'at Buf'!D197+'vs Bos(2)'!D197+'vs KC'!D197+'at Den'!D197+'at Oak'!D197+'vs Mia'!D197+'at KC'!D197+'vs Den'!D197+'vs Oak'!D197+'at Mia'!D197+'at Hou'!D197+'vs NY'!D197+'Gm 15'!D197+'Gm 16'!D197</f>
        <v>14</v>
      </c>
      <c r="F197">
        <v>1.5</v>
      </c>
    </row>
    <row r="198" spans="1:6" ht="12">
      <c r="A198" s="20" t="s">
        <v>163</v>
      </c>
      <c r="B198" t="s">
        <v>184</v>
      </c>
      <c r="C198">
        <f>+'vs Bos'!C198+'vs Hou'!C198+'at Buf'!C198+'vs Bos(2)'!C198+'vs KC'!C198+'at Den'!C198+'at Oak'!C198+'vs Mia'!C198+'at KC'!C198+'vs Den'!C198+'vs Oak'!C198+'at Mia'!C198+'at Hou'!C198+'vs NY'!C198+'Gm 15'!C198+'Gm 16'!C198</f>
        <v>1</v>
      </c>
      <c r="D198">
        <f>+'vs Bos'!D198+'vs Hou'!D198+'at Buf'!D198+'vs Bos(2)'!D198+'vs KC'!D198+'at Den'!D198+'at Oak'!D198+'vs Mia'!D198+'at KC'!D198+'vs Den'!D198+'vs Oak'!D198+'at Mia'!D198+'at Hou'!D198+'vs NY'!D198+'Gm 15'!D198+'Gm 16'!D198</f>
        <v>1</v>
      </c>
      <c r="F198">
        <v>6</v>
      </c>
    </row>
    <row r="199" spans="1:6" ht="12">
      <c r="A199" s="20" t="s">
        <v>164</v>
      </c>
      <c r="B199" t="s">
        <v>184</v>
      </c>
      <c r="C199">
        <f>+'vs Bos'!C199+'vs Hou'!C199+'at Buf'!C199+'vs Bos(2)'!C199+'vs KC'!C199+'at Den'!C199+'at Oak'!C199+'vs Mia'!C199+'at KC'!C199+'vs Den'!C199+'vs Oak'!C199+'at Mia'!C199+'at Hou'!C199+'vs NY'!C199+'Gm 15'!C199+'Gm 16'!C199</f>
        <v>0</v>
      </c>
      <c r="D199">
        <f>+'vs Bos'!D199+'vs Hou'!D199+'at Buf'!D199+'vs Bos(2)'!D199+'vs KC'!D199+'at Den'!D199+'at Oak'!D199+'vs Mia'!D199+'at KC'!D199+'vs Den'!D199+'vs Oak'!D199+'at Mia'!D199+'at Hou'!D199+'vs NY'!D199+'Gm 15'!D199+'Gm 16'!D199</f>
        <v>0</v>
      </c>
      <c r="F199">
        <v>1.5</v>
      </c>
    </row>
    <row r="200" spans="1:4" ht="12">
      <c r="A200" s="20"/>
      <c r="C200">
        <f>+'vs Bos'!C200+'vs Hou'!C200+'at Buf'!C200+'vs Bos(2)'!C200+'vs KC'!C200+'at Den'!C200+'at Oak'!C200+'vs Mia'!C200+'at KC'!C200+'vs Den'!C200+'vs Oak'!C200+'at Mia'!C200+'at Hou'!C200+'vs NY'!C200+'Gm 15'!C200+'Gm 16'!C200</f>
        <v>0</v>
      </c>
      <c r="D200">
        <f>+'vs Bos'!D200+'vs Hou'!D200+'at Buf'!D200+'vs Bos(2)'!D200+'vs KC'!D200+'at Den'!D200+'at Oak'!D200+'vs Mia'!D200+'at KC'!D200+'vs Den'!D200+'vs Oak'!D200+'at Mia'!D200+'at Hou'!D200+'vs NY'!D200+'Gm 15'!D200+'Gm 16'!D200</f>
        <v>0</v>
      </c>
    </row>
    <row r="201" spans="1:4" ht="12">
      <c r="A201" s="20"/>
      <c r="C201">
        <f>+'vs Bos'!C201+'vs Hou'!C201+'at Buf'!C201+'vs Bos(2)'!C201+'vs KC'!C201+'at Den'!C201+'at Oak'!C201+'vs Mia'!C201+'at KC'!C201+'vs Den'!C201+'vs Oak'!C201+'at Mia'!C201+'at Hou'!C201+'vs NY'!C201+'Gm 15'!C201+'Gm 16'!C201</f>
        <v>0</v>
      </c>
      <c r="D201">
        <f>+'vs Bos'!D201+'vs Hou'!D201+'at Buf'!D201+'vs Bos(2)'!D201+'vs KC'!D201+'at Den'!D201+'at Oak'!D201+'vs Mia'!D201+'at KC'!D201+'vs Den'!D201+'vs Oak'!D201+'at Mia'!D201+'at Hou'!D201+'vs NY'!D201+'Gm 15'!D201+'Gm 16'!D201</f>
        <v>0</v>
      </c>
    </row>
    <row r="202" spans="1:4" ht="12">
      <c r="A202" s="20"/>
      <c r="C202">
        <f>+'vs Bos'!C202+'vs Hou'!C202+'at Buf'!C202+'vs Bos(2)'!C202+'vs KC'!C202+'at Den'!C202+'at Oak'!C202+'vs Mia'!C202+'at KC'!C202+'vs Den'!C202+'vs Oak'!C202+'at Mia'!C202+'at Hou'!C202+'vs NY'!C202+'Gm 15'!C202+'Gm 16'!C202</f>
        <v>0</v>
      </c>
      <c r="D202">
        <f>+'vs Bos'!D202+'vs Hou'!D202+'at Buf'!D202+'vs Bos(2)'!D202+'vs KC'!D202+'at Den'!D202+'at Oak'!D202+'vs Mia'!D202+'at KC'!D202+'vs Den'!D202+'vs Oak'!D202+'at Mia'!D202+'at Hou'!D202+'vs NY'!D202+'Gm 15'!D202+'Gm 16'!D202</f>
        <v>0</v>
      </c>
    </row>
    <row r="203" spans="1:4" ht="12">
      <c r="A203" s="20"/>
      <c r="C203">
        <f>+'vs Bos'!C203+'vs Hou'!C203+'at Buf'!C203+'vs Bos(2)'!C203+'vs KC'!C203+'at Den'!C203+'at Oak'!C203+'vs Mia'!C203+'at KC'!C203+'vs Den'!C203+'vs Oak'!C203+'at Mia'!C203+'at Hou'!C203+'vs NY'!C203+'Gm 15'!C203+'Gm 16'!C203</f>
        <v>0</v>
      </c>
      <c r="D203">
        <f>+'vs Bos'!D203+'vs Hou'!D203+'at Buf'!D203+'vs Bos(2)'!D203+'vs KC'!D203+'at Den'!D203+'at Oak'!D203+'vs Mia'!D203+'at KC'!D203+'vs Den'!D203+'vs Oak'!D203+'at Mia'!D203+'at Hou'!D203+'vs NY'!D203+'Gm 15'!D203+'Gm 16'!D203</f>
        <v>0</v>
      </c>
    </row>
    <row r="204" spans="1:4" ht="12">
      <c r="A204" s="2"/>
      <c r="C204">
        <f>+'vs Bos'!C204+'vs Hou'!C204+'at Buf'!C204+'vs Bos(2)'!C204+'vs KC'!C204+'at Den'!C204+'at Oak'!C204+'vs Mia'!C204+'at KC'!C204+'vs Den'!C204+'vs Oak'!C204+'at Mia'!C204+'at Hou'!C204+'vs NY'!C204+'Gm 15'!C204+'Gm 16'!C204</f>
        <v>0</v>
      </c>
      <c r="D204">
        <f>+'vs Bos'!D204+'vs Hou'!D204+'at Buf'!D204+'vs Bos(2)'!D204+'vs KC'!D204+'at Den'!D204+'at Oak'!D204+'vs Mia'!D204+'at KC'!D204+'vs Den'!D204+'vs Oak'!D204+'at Mia'!D204+'at Hou'!D204+'vs NY'!D204+'Gm 15'!D204+'Gm 16'!D204</f>
        <v>0</v>
      </c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spans="1:7" ht="12">
      <c r="A208" t="s">
        <v>165</v>
      </c>
      <c r="B208" t="s">
        <v>184</v>
      </c>
      <c r="C208">
        <f>+'vs Bos'!C208+'vs Hou'!C208+'at Buf'!C208+'vs Bos(2)'!C208+'vs KC'!C208+'at Den'!C208+'at Oak'!C208+'vs Mia'!C208+'at KC'!C208+'vs Den'!C208+'vs Oak'!C208+'at Mia'!C208+'at Hou'!C208+'vs NY'!C208+'Gm 15'!C208+'Gm 16'!C208</f>
        <v>0</v>
      </c>
      <c r="D208">
        <f>+'vs Bos'!D208+'vs Hou'!D208+'at Buf'!D208+'vs Bos(2)'!D208+'vs KC'!D208+'at Den'!D208+'at Oak'!D208+'vs Mia'!D208+'at KC'!D208+'vs Den'!D208+'vs Oak'!D208+'at Mia'!D208+'at Hou'!D208+'vs NY'!D208+'Gm 15'!D208+'Gm 16'!D208</f>
        <v>0</v>
      </c>
      <c r="E208">
        <f>MAX('vs Bos'!E208,'vs Hou'!E208,'at Buf'!E208,'vs Bos(2)'!E208,'vs KC'!E208,'at Den'!E208,'at Oak'!E208,'vs Mia'!E208,'at KC'!E208,'vs Den'!E208,'vs Oak'!E208,'at Mia'!E208,'at Hou'!E208,'vs NY'!E208,'Gm 15'!E208,'Gm 16'!E208)</f>
        <v>0</v>
      </c>
      <c r="F208">
        <f>+'vs Bos'!F208+'vs Hou'!F208+'at Buf'!F208+'vs Bos(2)'!F208+'vs KC'!F208+'at Den'!F208+'at Oak'!F208+'vs Mia'!F208+'at KC'!F208+'vs Den'!F208+'vs Oak'!F208+'at Mia'!F208+'at Hou'!F208+'vs NY'!F208+'Gm 15'!F208+'Gm 16'!F208</f>
        <v>0</v>
      </c>
      <c r="G208">
        <f>+'vs Bos'!G208+'vs Hou'!G208+'at Buf'!G208+'vs Bos(2)'!G208+'vs KC'!G208+'at Den'!G208+'at Oak'!G208+'vs Mia'!G208+'at KC'!G208+'vs Den'!G208+'vs Oak'!G208+'at Mia'!G208+'at Hou'!G208+'vs NY'!G208+'Gm 15'!G208+'Gm 16'!G208</f>
        <v>0</v>
      </c>
    </row>
    <row r="209" spans="1:7" ht="12">
      <c r="A209" t="s">
        <v>154</v>
      </c>
      <c r="B209" t="s">
        <v>184</v>
      </c>
      <c r="C209">
        <f>+'vs Bos'!C209+'vs Hou'!C209+'at Buf'!C209+'vs Bos(2)'!C209+'vs KC'!C209+'at Den'!C209+'at Oak'!C209+'vs Mia'!C209+'at KC'!C209+'vs Den'!C209+'vs Oak'!C209+'at Mia'!C209+'at Hou'!C209+'vs NY'!C209+'Gm 15'!C209+'Gm 16'!C209</f>
        <v>0</v>
      </c>
      <c r="D209">
        <f>+'vs Bos'!D209+'vs Hou'!D209+'at Buf'!D209+'vs Bos(2)'!D209+'vs KC'!D209+'at Den'!D209+'at Oak'!D209+'vs Mia'!D209+'at KC'!D209+'vs Den'!D209+'vs Oak'!D209+'at Mia'!D209+'at Hou'!D209+'vs NY'!D209+'Gm 15'!D209+'Gm 16'!D209</f>
        <v>0</v>
      </c>
      <c r="E209">
        <f>MAX('vs Bos'!E209,'vs Hou'!E209,'at Buf'!E209,'vs Bos(2)'!E209,'vs KC'!E209,'at Den'!E209,'at Oak'!E209,'vs Mia'!E209,'at KC'!E209,'vs Den'!E209,'vs Oak'!E209,'at Mia'!E209,'at Hou'!E209,'vs NY'!E209,'Gm 15'!E209,'Gm 16'!E209)</f>
        <v>0</v>
      </c>
      <c r="F209">
        <f>+'vs Bos'!F209+'vs Hou'!F209+'at Buf'!F209+'vs Bos(2)'!F209+'vs KC'!F209+'at Den'!F209+'at Oak'!F209+'vs Mia'!F209+'at KC'!F209+'vs Den'!F209+'vs Oak'!F209+'at Mia'!F209+'at Hou'!F209+'vs NY'!F209+'Gm 15'!F209+'Gm 16'!F209</f>
        <v>0</v>
      </c>
      <c r="G209">
        <f>+'vs Bos'!G209+'vs Hou'!G209+'at Buf'!G209+'vs Bos(2)'!G209+'vs KC'!G209+'at Den'!G209+'at Oak'!G209+'vs Mia'!G209+'at KC'!G209+'vs Den'!G209+'vs Oak'!G209+'at Mia'!G209+'at Hou'!G209+'vs NY'!G209+'Gm 15'!G209+'Gm 16'!G209</f>
        <v>0</v>
      </c>
    </row>
    <row r="210" spans="1:7" ht="12">
      <c r="A210" t="s">
        <v>133</v>
      </c>
      <c r="B210" t="s">
        <v>184</v>
      </c>
      <c r="C210">
        <f>+'vs Bos'!C210+'vs Hou'!C210+'at Buf'!C210+'vs Bos(2)'!C210+'vs KC'!C210+'at Den'!C210+'at Oak'!C210+'vs Mia'!C210+'at KC'!C210+'vs Den'!C210+'vs Oak'!C210+'at Mia'!C210+'at Hou'!C210+'vs NY'!C210+'Gm 15'!C210+'Gm 16'!C210</f>
        <v>0</v>
      </c>
      <c r="D210">
        <f>+'vs Bos'!D210+'vs Hou'!D210+'at Buf'!D210+'vs Bos(2)'!D210+'vs KC'!D210+'at Den'!D210+'at Oak'!D210+'vs Mia'!D210+'at KC'!D210+'vs Den'!D210+'vs Oak'!D210+'at Mia'!D210+'at Hou'!D210+'vs NY'!D210+'Gm 15'!D210+'Gm 16'!D210</f>
        <v>0</v>
      </c>
      <c r="E210">
        <f>MAX('vs Bos'!E210,'vs Hou'!E210,'at Buf'!E210,'vs Bos(2)'!E210,'vs KC'!E210,'at Den'!E210,'at Oak'!E210,'vs Mia'!E210,'at KC'!E210,'vs Den'!E210,'vs Oak'!E210,'at Mia'!E210,'at Hou'!E210,'vs NY'!E210,'Gm 15'!E210,'Gm 16'!E210)</f>
        <v>0</v>
      </c>
      <c r="F210">
        <f>+'vs Bos'!F210+'vs Hou'!F210+'at Buf'!F210+'vs Bos(2)'!F210+'vs KC'!F210+'at Den'!F210+'at Oak'!F210+'vs Mia'!F210+'at KC'!F210+'vs Den'!F210+'vs Oak'!F210+'at Mia'!F210+'at Hou'!F210+'vs NY'!F210+'Gm 15'!F210+'Gm 16'!F210</f>
        <v>0</v>
      </c>
      <c r="G210">
        <f>+'vs Bos'!G210+'vs Hou'!G210+'at Buf'!G210+'vs Bos(2)'!G210+'vs KC'!G210+'at Den'!G210+'at Oak'!G210+'vs Mia'!G210+'at KC'!G210+'vs Den'!G210+'vs Oak'!G210+'at Mia'!G210+'at Hou'!G210+'vs NY'!G210+'Gm 15'!G210+'Gm 16'!G210</f>
        <v>0</v>
      </c>
    </row>
    <row r="211" spans="1:7" ht="12">
      <c r="A211" t="s">
        <v>134</v>
      </c>
      <c r="B211" t="s">
        <v>184</v>
      </c>
      <c r="C211">
        <f>+'vs Bos'!C211+'vs Hou'!C211+'at Buf'!C211+'vs Bos(2)'!C211+'vs KC'!C211+'at Den'!C211+'at Oak'!C211+'vs Mia'!C211+'at KC'!C211+'vs Den'!C211+'vs Oak'!C211+'at Mia'!C211+'at Hou'!C211+'vs NY'!C211+'Gm 15'!C211+'Gm 16'!C211</f>
        <v>0</v>
      </c>
      <c r="D211">
        <f>+'vs Bos'!D211+'vs Hou'!D211+'at Buf'!D211+'vs Bos(2)'!D211+'vs KC'!D211+'at Den'!D211+'at Oak'!D211+'vs Mia'!D211+'at KC'!D211+'vs Den'!D211+'vs Oak'!D211+'at Mia'!D211+'at Hou'!D211+'vs NY'!D211+'Gm 15'!D211+'Gm 16'!D211</f>
        <v>0</v>
      </c>
      <c r="E211">
        <f>MAX('vs Bos'!E211,'vs Hou'!E211,'at Buf'!E211,'vs Bos(2)'!E211,'vs KC'!E211,'at Den'!E211,'at Oak'!E211,'vs Mia'!E211,'at KC'!E211,'vs Den'!E211,'vs Oak'!E211,'at Mia'!E211,'at Hou'!E211,'vs NY'!E211,'Gm 15'!E211,'Gm 16'!E211)</f>
        <v>0</v>
      </c>
      <c r="F211">
        <f>+'vs Bos'!F211+'vs Hou'!F211+'at Buf'!F211+'vs Bos(2)'!F211+'vs KC'!F211+'at Den'!F211+'at Oak'!F211+'vs Mia'!F211+'at KC'!F211+'vs Den'!F211+'vs Oak'!F211+'at Mia'!F211+'at Hou'!F211+'vs NY'!F211+'Gm 15'!F211+'Gm 16'!F211</f>
        <v>0</v>
      </c>
      <c r="G211">
        <f>+'vs Bos'!G211+'vs Hou'!G211+'at Buf'!G211+'vs Bos(2)'!G211+'vs KC'!G211+'at Den'!G211+'at Oak'!G211+'vs Mia'!G211+'at KC'!G211+'vs Den'!G211+'vs Oak'!G211+'at Mia'!G211+'at Hou'!G211+'vs NY'!G211+'Gm 15'!G211+'Gm 16'!G211</f>
        <v>0</v>
      </c>
    </row>
    <row r="212" spans="1:7" ht="12">
      <c r="A212" t="s">
        <v>156</v>
      </c>
      <c r="B212" t="s">
        <v>184</v>
      </c>
      <c r="C212">
        <f>+'vs Bos'!C212+'vs Hou'!C212+'at Buf'!C212+'vs Bos(2)'!C212+'vs KC'!C212+'at Den'!C212+'at Oak'!C212+'vs Mia'!C212+'at KC'!C212+'vs Den'!C212+'vs Oak'!C212+'at Mia'!C212+'at Hou'!C212+'vs NY'!C212+'Gm 15'!C212+'Gm 16'!C212</f>
        <v>0</v>
      </c>
      <c r="D212">
        <f>+'vs Bos'!D212+'vs Hou'!D212+'at Buf'!D212+'vs Bos(2)'!D212+'vs KC'!D212+'at Den'!D212+'at Oak'!D212+'vs Mia'!D212+'at KC'!D212+'vs Den'!D212+'vs Oak'!D212+'at Mia'!D212+'at Hou'!D212+'vs NY'!D212+'Gm 15'!D212+'Gm 16'!D212</f>
        <v>0</v>
      </c>
      <c r="E212">
        <f>MAX('vs Bos'!E212,'vs Hou'!E212,'at Buf'!E212,'vs Bos(2)'!E212,'vs KC'!E212,'at Den'!E212,'at Oak'!E212,'vs Mia'!E212,'at KC'!E212,'vs Den'!E212,'vs Oak'!E212,'at Mia'!E212,'at Hou'!E212,'vs NY'!E212,'Gm 15'!E212,'Gm 16'!E212)</f>
        <v>0</v>
      </c>
      <c r="F212">
        <f>+'vs Bos'!F212+'vs Hou'!F212+'at Buf'!F212+'vs Bos(2)'!F212+'vs KC'!F212+'at Den'!F212+'at Oak'!F212+'vs Mia'!F212+'at KC'!F212+'vs Den'!F212+'vs Oak'!F212+'at Mia'!F212+'at Hou'!F212+'vs NY'!F212+'Gm 15'!F212+'Gm 16'!F212</f>
        <v>0</v>
      </c>
      <c r="G212">
        <f>+'vs Bos'!G212+'vs Hou'!G212+'at Buf'!G212+'vs Bos(2)'!G212+'vs KC'!G212+'at Den'!G212+'at Oak'!G212+'vs Mia'!G212+'at KC'!G212+'vs Den'!G212+'vs Oak'!G212+'at Mia'!G212+'at Hou'!G212+'vs NY'!G212+'Gm 15'!G212+'Gm 16'!G212</f>
        <v>0</v>
      </c>
    </row>
    <row r="213" spans="1:7" ht="12">
      <c r="A213" t="s">
        <v>166</v>
      </c>
      <c r="B213" t="s">
        <v>184</v>
      </c>
      <c r="C213">
        <f>+'vs Bos'!C213+'vs Hou'!C213+'at Buf'!C213+'vs Bos(2)'!C213+'vs KC'!C213+'at Den'!C213+'at Oak'!C213+'vs Mia'!C213+'at KC'!C213+'vs Den'!C213+'vs Oak'!C213+'at Mia'!C213+'at Hou'!C213+'vs NY'!C213+'Gm 15'!C213+'Gm 16'!C213</f>
        <v>0</v>
      </c>
      <c r="D213">
        <f>+'vs Bos'!D213+'vs Hou'!D213+'at Buf'!D213+'vs Bos(2)'!D213+'vs KC'!D213+'at Den'!D213+'at Oak'!D213+'vs Mia'!D213+'at KC'!D213+'vs Den'!D213+'vs Oak'!D213+'at Mia'!D213+'at Hou'!D213+'vs NY'!D213+'Gm 15'!D213+'Gm 16'!D213</f>
        <v>0</v>
      </c>
      <c r="E213">
        <f>MAX('vs Bos'!E213,'vs Hou'!E213,'at Buf'!E213,'vs Bos(2)'!E213,'vs KC'!E213,'at Den'!E213,'at Oak'!E213,'vs Mia'!E213,'at KC'!E213,'vs Den'!E213,'vs Oak'!E213,'at Mia'!E213,'at Hou'!E213,'vs NY'!E213,'Gm 15'!E213,'Gm 16'!E213)</f>
        <v>0</v>
      </c>
      <c r="F213">
        <f>+'vs Bos'!F213+'vs Hou'!F213+'at Buf'!F213+'vs Bos(2)'!F213+'vs KC'!F213+'at Den'!F213+'at Oak'!F213+'vs Mia'!F213+'at KC'!F213+'vs Den'!F213+'vs Oak'!F213+'at Mia'!F213+'at Hou'!F213+'vs NY'!F213+'Gm 15'!F213+'Gm 16'!F213</f>
        <v>0</v>
      </c>
      <c r="G213">
        <f>+'vs Bos'!G213+'vs Hou'!G213+'at Buf'!G213+'vs Bos(2)'!G213+'vs KC'!G213+'at Den'!G213+'at Oak'!G213+'vs Mia'!G213+'at KC'!G213+'vs Den'!G213+'vs Oak'!G213+'at Mia'!G213+'at Hou'!G213+'vs NY'!G213+'Gm 15'!G213+'Gm 16'!G213</f>
        <v>0</v>
      </c>
    </row>
    <row r="214" spans="1:7" ht="12">
      <c r="A214" t="s">
        <v>155</v>
      </c>
      <c r="B214" t="s">
        <v>184</v>
      </c>
      <c r="C214">
        <f>+'vs Bos'!C214+'vs Hou'!C214+'at Buf'!C214+'vs Bos(2)'!C214+'vs KC'!C214+'at Den'!C214+'at Oak'!C214+'vs Mia'!C214+'at KC'!C214+'vs Den'!C214+'vs Oak'!C214+'at Mia'!C214+'at Hou'!C214+'vs NY'!C214+'Gm 15'!C214+'Gm 16'!C214</f>
        <v>1</v>
      </c>
      <c r="D214">
        <f>+'vs Bos'!D214+'vs Hou'!D214+'at Buf'!D214+'vs Bos(2)'!D214+'vs KC'!D214+'at Den'!D214+'at Oak'!D214+'vs Mia'!D214+'at KC'!D214+'vs Den'!D214+'vs Oak'!D214+'at Mia'!D214+'at Hou'!D214+'vs NY'!D214+'Gm 15'!D214+'Gm 16'!D214</f>
        <v>0</v>
      </c>
      <c r="E214">
        <f>MAX('vs Bos'!E214,'vs Hou'!E214,'at Buf'!E214,'vs Bos(2)'!E214,'vs KC'!E214,'at Den'!E214,'at Oak'!E214,'vs Mia'!E214,'at KC'!E214,'vs Den'!E214,'vs Oak'!E214,'at Mia'!E214,'at Hou'!E214,'vs NY'!E214,'Gm 15'!E214,'Gm 16'!E214)</f>
        <v>0</v>
      </c>
      <c r="F214">
        <f>+'vs Bos'!F214+'vs Hou'!F214+'at Buf'!F214+'vs Bos(2)'!F214+'vs KC'!F214+'at Den'!F214+'at Oak'!F214+'vs Mia'!F214+'at KC'!F214+'vs Den'!F214+'vs Oak'!F214+'at Mia'!F214+'at Hou'!F214+'vs NY'!F214+'Gm 15'!F214+'Gm 16'!F214</f>
        <v>0</v>
      </c>
      <c r="G214">
        <f>+'vs Bos'!G214+'vs Hou'!G214+'at Buf'!G214+'vs Bos(2)'!G214+'vs KC'!G214+'at Den'!G214+'at Oak'!G214+'vs Mia'!G214+'at KC'!G214+'vs Den'!G214+'vs Oak'!G214+'at Mia'!G214+'at Hou'!G214+'vs NY'!G214+'Gm 15'!G214+'Gm 16'!G214</f>
        <v>0</v>
      </c>
    </row>
    <row r="215" spans="1:7" ht="12">
      <c r="A215" t="s">
        <v>157</v>
      </c>
      <c r="B215" t="s">
        <v>184</v>
      </c>
      <c r="C215">
        <f>+'vs Bos'!C215+'vs Hou'!C215+'at Buf'!C215+'vs Bos(2)'!C215+'vs KC'!C215+'at Den'!C215+'at Oak'!C215+'vs Mia'!C215+'at KC'!C215+'vs Den'!C215+'vs Oak'!C215+'at Mia'!C215+'at Hou'!C215+'vs NY'!C215+'Gm 15'!C215+'Gm 16'!C215</f>
        <v>1</v>
      </c>
      <c r="D215">
        <f>+'vs Bos'!D215+'vs Hou'!D215+'at Buf'!D215+'vs Bos(2)'!D215+'vs KC'!D215+'at Den'!D215+'at Oak'!D215+'vs Mia'!D215+'at KC'!D215+'vs Den'!D215+'vs Oak'!D215+'at Mia'!D215+'at Hou'!D215+'vs NY'!D215+'Gm 15'!D215+'Gm 16'!D215</f>
        <v>0</v>
      </c>
      <c r="E215">
        <f>MAX('vs Bos'!E215,'vs Hou'!E215,'at Buf'!E215,'vs Bos(2)'!E215,'vs KC'!E215,'at Den'!E215,'at Oak'!E215,'vs Mia'!E215,'at KC'!E215,'vs Den'!E215,'vs Oak'!E215,'at Mia'!E215,'at Hou'!E215,'vs NY'!E215,'Gm 15'!E215,'Gm 16'!E215)</f>
        <v>0</v>
      </c>
      <c r="F215">
        <f>+'vs Bos'!F215+'vs Hou'!F215+'at Buf'!F215+'vs Bos(2)'!F215+'vs KC'!F215+'at Den'!F215+'at Oak'!F215+'vs Mia'!F215+'at KC'!F215+'vs Den'!F215+'vs Oak'!F215+'at Mia'!F215+'at Hou'!F215+'vs NY'!F215+'Gm 15'!F215+'Gm 16'!F215</f>
        <v>0</v>
      </c>
      <c r="G215">
        <f>+'vs Bos'!G215+'vs Hou'!G215+'at Buf'!G215+'vs Bos(2)'!G215+'vs KC'!G215+'at Den'!G215+'at Oak'!G215+'vs Mia'!G215+'at KC'!G215+'vs Den'!G215+'vs Oak'!G215+'at Mia'!G215+'at Hou'!G215+'vs NY'!G215+'Gm 15'!G215+'Gm 16'!G215</f>
        <v>0</v>
      </c>
    </row>
    <row r="216" spans="1:7" ht="12">
      <c r="A216" t="s">
        <v>158</v>
      </c>
      <c r="B216" t="s">
        <v>184</v>
      </c>
      <c r="C216">
        <f>+'vs Bos'!C216+'vs Hou'!C216+'at Buf'!C216+'vs Bos(2)'!C216+'vs KC'!C216+'at Den'!C216+'at Oak'!C216+'vs Mia'!C216+'at KC'!C216+'vs Den'!C216+'vs Oak'!C216+'at Mia'!C216+'at Hou'!C216+'vs NY'!C216+'Gm 15'!C216+'Gm 16'!C216</f>
        <v>0</v>
      </c>
      <c r="D216">
        <f>+'vs Bos'!D216+'vs Hou'!D216+'at Buf'!D216+'vs Bos(2)'!D216+'vs KC'!D216+'at Den'!D216+'at Oak'!D216+'vs Mia'!D216+'at KC'!D216+'vs Den'!D216+'vs Oak'!D216+'at Mia'!D216+'at Hou'!D216+'vs NY'!D216+'Gm 15'!D216+'Gm 16'!D216</f>
        <v>0</v>
      </c>
      <c r="E216">
        <f>MAX('vs Bos'!E216,'vs Hou'!E216,'at Buf'!E216,'vs Bos(2)'!E216,'vs KC'!E216,'at Den'!E216,'at Oak'!E216,'vs Mia'!E216,'at KC'!E216,'vs Den'!E216,'vs Oak'!E216,'at Mia'!E216,'at Hou'!E216,'vs NY'!E216,'Gm 15'!E216,'Gm 16'!E216)</f>
        <v>0</v>
      </c>
      <c r="F216">
        <f>+'vs Bos'!F216+'vs Hou'!F216+'at Buf'!F216+'vs Bos(2)'!F216+'vs KC'!F216+'at Den'!F216+'at Oak'!F216+'vs Mia'!F216+'at KC'!F216+'vs Den'!F216+'vs Oak'!F216+'at Mia'!F216+'at Hou'!F216+'vs NY'!F216+'Gm 15'!F216+'Gm 16'!F216</f>
        <v>0</v>
      </c>
      <c r="G216">
        <f>+'vs Bos'!G216+'vs Hou'!G216+'at Buf'!G216+'vs Bos(2)'!G216+'vs KC'!G216+'at Den'!G216+'at Oak'!G216+'vs Mia'!G216+'at KC'!G216+'vs Den'!G216+'vs Oak'!G216+'at Mia'!G216+'at Hou'!G216+'vs NY'!G216+'Gm 15'!G216+'Gm 16'!G216</f>
        <v>0</v>
      </c>
    </row>
    <row r="217" spans="1:7" ht="12">
      <c r="A217" t="s">
        <v>152</v>
      </c>
      <c r="B217" t="s">
        <v>184</v>
      </c>
      <c r="C217">
        <f>+'vs Bos'!C217+'vs Hou'!C217+'at Buf'!C217+'vs Bos(2)'!C217+'vs KC'!C217+'at Den'!C217+'at Oak'!C217+'vs Mia'!C217+'at KC'!C217+'vs Den'!C217+'vs Oak'!C217+'at Mia'!C217+'at Hou'!C217+'vs NY'!C217+'Gm 15'!C217+'Gm 16'!C217</f>
        <v>0</v>
      </c>
      <c r="D217">
        <f>+'vs Bos'!D217+'vs Hou'!D217+'at Buf'!D217+'vs Bos(2)'!D217+'vs KC'!D217+'at Den'!D217+'at Oak'!D217+'vs Mia'!D217+'at KC'!D217+'vs Den'!D217+'vs Oak'!D217+'at Mia'!D217+'at Hou'!D217+'vs NY'!D217+'Gm 15'!D217+'Gm 16'!D217</f>
        <v>0</v>
      </c>
      <c r="E217">
        <f>MAX('vs Bos'!E217,'vs Hou'!E217,'at Buf'!E217,'vs Bos(2)'!E217,'vs KC'!E217,'at Den'!E217,'at Oak'!E217,'vs Mia'!E217,'at KC'!E217,'vs Den'!E217,'vs Oak'!E217,'at Mia'!E217,'at Hou'!E217,'vs NY'!E217,'Gm 15'!E217,'Gm 16'!E217)</f>
        <v>0</v>
      </c>
      <c r="F217">
        <f>+'vs Bos'!F217+'vs Hou'!F217+'at Buf'!F217+'vs Bos(2)'!F217+'vs KC'!F217+'at Den'!F217+'at Oak'!F217+'vs Mia'!F217+'at KC'!F217+'vs Den'!F217+'vs Oak'!F217+'at Mia'!F217+'at Hou'!F217+'vs NY'!F217+'Gm 15'!F217+'Gm 16'!F217</f>
        <v>0</v>
      </c>
      <c r="G217">
        <f>+'vs Bos'!G217+'vs Hou'!G217+'at Buf'!G217+'vs Bos(2)'!G217+'vs KC'!G217+'at Den'!G217+'at Oak'!G217+'vs Mia'!G217+'at KC'!G217+'vs Den'!G217+'vs Oak'!G217+'at Mia'!G217+'at Hou'!G217+'vs NY'!G217+'Gm 15'!G217+'Gm 16'!G217</f>
        <v>0</v>
      </c>
    </row>
    <row r="218" spans="1:7" ht="12">
      <c r="A218" t="s">
        <v>159</v>
      </c>
      <c r="B218" t="s">
        <v>184</v>
      </c>
      <c r="C218">
        <f>+'vs Bos'!C218+'vs Hou'!C218+'at Buf'!C218+'vs Bos(2)'!C218+'vs KC'!C218+'at Den'!C218+'at Oak'!C218+'vs Mia'!C218+'at KC'!C218+'vs Den'!C218+'vs Oak'!C218+'at Mia'!C218+'at Hou'!C218+'vs NY'!C218+'Gm 15'!C218+'Gm 16'!C218</f>
        <v>0</v>
      </c>
      <c r="D218">
        <f>+'vs Bos'!D218+'vs Hou'!D218+'at Buf'!D218+'vs Bos(2)'!D218+'vs KC'!D218+'at Den'!D218+'at Oak'!D218+'vs Mia'!D218+'at KC'!D218+'vs Den'!D218+'vs Oak'!D218+'at Mia'!D218+'at Hou'!D218+'vs NY'!D218+'Gm 15'!D218+'Gm 16'!D218</f>
        <v>0</v>
      </c>
      <c r="E218">
        <f>MAX('vs Bos'!E218,'vs Hou'!E218,'at Buf'!E218,'vs Bos(2)'!E218,'vs KC'!E218,'at Den'!E218,'at Oak'!E218,'vs Mia'!E218,'at KC'!E218,'vs Den'!E218,'vs Oak'!E218,'at Mia'!E218,'at Hou'!E218,'vs NY'!E218,'Gm 15'!E218,'Gm 16'!E218)</f>
        <v>0</v>
      </c>
      <c r="F218">
        <f>+'vs Bos'!F218+'vs Hou'!F218+'at Buf'!F218+'vs Bos(2)'!F218+'vs KC'!F218+'at Den'!F218+'at Oak'!F218+'vs Mia'!F218+'at KC'!F218+'vs Den'!F218+'vs Oak'!F218+'at Mia'!F218+'at Hou'!F218+'vs NY'!F218+'Gm 15'!F218+'Gm 16'!F218</f>
        <v>0</v>
      </c>
      <c r="G218">
        <f>+'vs Bos'!G218+'vs Hou'!G218+'at Buf'!G218+'vs Bos(2)'!G218+'vs KC'!G218+'at Den'!G218+'at Oak'!G218+'vs Mia'!G218+'at KC'!G218+'vs Den'!G218+'vs Oak'!G218+'at Mia'!G218+'at Hou'!G218+'vs NY'!G218+'Gm 15'!G218+'Gm 16'!G218</f>
        <v>0</v>
      </c>
    </row>
    <row r="219" spans="1:7" ht="12">
      <c r="A219" t="s">
        <v>167</v>
      </c>
      <c r="B219" t="s">
        <v>184</v>
      </c>
      <c r="C219">
        <f>+'vs Bos'!C219+'vs Hou'!C219+'at Buf'!C219+'vs Bos(2)'!C219+'vs KC'!C219+'at Den'!C219+'at Oak'!C219+'vs Mia'!C219+'at KC'!C219+'vs Den'!C219+'vs Oak'!C219+'at Mia'!C219+'at Hou'!C219+'vs NY'!C219+'Gm 15'!C219+'Gm 16'!C219</f>
        <v>1</v>
      </c>
      <c r="D219">
        <f>+'vs Bos'!D219+'vs Hou'!D219+'at Buf'!D219+'vs Bos(2)'!D219+'vs KC'!D219+'at Den'!D219+'at Oak'!D219+'vs Mia'!D219+'at KC'!D219+'vs Den'!D219+'vs Oak'!D219+'at Mia'!D219+'at Hou'!D219+'vs NY'!D219+'Gm 15'!D219+'Gm 16'!D219</f>
        <v>0</v>
      </c>
      <c r="E219">
        <f>MAX('vs Bos'!E219,'vs Hou'!E219,'at Buf'!E219,'vs Bos(2)'!E219,'vs KC'!E219,'at Den'!E219,'at Oak'!E219,'vs Mia'!E219,'at KC'!E219,'vs Den'!E219,'vs Oak'!E219,'at Mia'!E219,'at Hou'!E219,'vs NY'!E219,'Gm 15'!E219,'Gm 16'!E219)</f>
        <v>0</v>
      </c>
      <c r="F219">
        <f>+'vs Bos'!F219+'vs Hou'!F219+'at Buf'!F219+'vs Bos(2)'!F219+'vs KC'!F219+'at Den'!F219+'at Oak'!F219+'vs Mia'!F219+'at KC'!F219+'vs Den'!F219+'vs Oak'!F219+'at Mia'!F219+'at Hou'!F219+'vs NY'!F219+'Gm 15'!F219+'Gm 16'!F219</f>
        <v>0</v>
      </c>
      <c r="G219">
        <f>+'vs Bos'!G219+'vs Hou'!G219+'at Buf'!G219+'vs Bos(2)'!G219+'vs KC'!G219+'at Den'!G219+'at Oak'!G219+'vs Mia'!G219+'at KC'!G219+'vs Den'!G219+'vs Oak'!G219+'at Mia'!G219+'at Hou'!G219+'vs NY'!G219+'Gm 15'!G219+'Gm 16'!G219</f>
        <v>0</v>
      </c>
    </row>
    <row r="220" spans="1:7" ht="12">
      <c r="A220" t="s">
        <v>148</v>
      </c>
      <c r="B220" t="s">
        <v>184</v>
      </c>
      <c r="C220">
        <f>+'vs Bos'!C220+'vs Hou'!C220+'at Buf'!C220+'vs Bos(2)'!C220+'vs KC'!C220+'at Den'!C220+'at Oak'!C220+'vs Mia'!C220+'at KC'!C220+'vs Den'!C220+'vs Oak'!C220+'at Mia'!C220+'at Hou'!C220+'vs NY'!C220+'Gm 15'!C220+'Gm 16'!C220</f>
        <v>0</v>
      </c>
      <c r="D220">
        <f>+'vs Bos'!D220+'vs Hou'!D220+'at Buf'!D220+'vs Bos(2)'!D220+'vs KC'!D220+'at Den'!D220+'at Oak'!D220+'vs Mia'!D220+'at KC'!D220+'vs Den'!D220+'vs Oak'!D220+'at Mia'!D220+'at Hou'!D220+'vs NY'!D220+'Gm 15'!D220+'Gm 16'!D220</f>
        <v>0</v>
      </c>
      <c r="E220">
        <f>MAX('vs Bos'!E220,'vs Hou'!E220,'at Buf'!E220,'vs Bos(2)'!E220,'vs KC'!E220,'at Den'!E220,'at Oak'!E220,'vs Mia'!E220,'at KC'!E220,'vs Den'!E220,'vs Oak'!E220,'at Mia'!E220,'at Hou'!E220,'vs NY'!E220,'Gm 15'!E220,'Gm 16'!E220)</f>
        <v>0</v>
      </c>
      <c r="F220">
        <f>+'vs Bos'!F220+'vs Hou'!F220+'at Buf'!F220+'vs Bos(2)'!F220+'vs KC'!F220+'at Den'!F220+'at Oak'!F220+'vs Mia'!F220+'at KC'!F220+'vs Den'!F220+'vs Oak'!F220+'at Mia'!F220+'at Hou'!F220+'vs NY'!F220+'Gm 15'!F220+'Gm 16'!F220</f>
        <v>0</v>
      </c>
      <c r="G220">
        <f>+'vs Bos'!G220+'vs Hou'!G220+'at Buf'!G220+'vs Bos(2)'!G220+'vs KC'!G220+'at Den'!G220+'at Oak'!G220+'vs Mia'!G220+'at KC'!G220+'vs Den'!G220+'vs Oak'!G220+'at Mia'!G220+'at Hou'!G220+'vs NY'!G220+'Gm 15'!G220+'Gm 16'!G220</f>
        <v>0</v>
      </c>
    </row>
    <row r="221" spans="1:7" ht="12">
      <c r="A221" t="s">
        <v>168</v>
      </c>
      <c r="B221" t="s">
        <v>184</v>
      </c>
      <c r="C221">
        <f>+'vs Bos'!C221+'vs Hou'!C221+'at Buf'!C221+'vs Bos(2)'!C221+'vs KC'!C221+'at Den'!C221+'at Oak'!C221+'vs Mia'!C221+'at KC'!C221+'vs Den'!C221+'vs Oak'!C221+'at Mia'!C221+'at Hou'!C221+'vs NY'!C221+'Gm 15'!C221+'Gm 16'!C221</f>
        <v>0</v>
      </c>
      <c r="D221">
        <f>+'vs Bos'!D221+'vs Hou'!D221+'at Buf'!D221+'vs Bos(2)'!D221+'vs KC'!D221+'at Den'!D221+'at Oak'!D221+'vs Mia'!D221+'at KC'!D221+'vs Den'!D221+'vs Oak'!D221+'at Mia'!D221+'at Hou'!D221+'vs NY'!D221+'Gm 15'!D221+'Gm 16'!D221</f>
        <v>0</v>
      </c>
      <c r="E221">
        <f>MAX('vs Bos'!E221,'vs Hou'!E221,'at Buf'!E221,'vs Bos(2)'!E221,'vs KC'!E221,'at Den'!E221,'at Oak'!E221,'vs Mia'!E221,'at KC'!E221,'vs Den'!E221,'vs Oak'!E221,'at Mia'!E221,'at Hou'!E221,'vs NY'!E221,'Gm 15'!E221,'Gm 16'!E221)</f>
        <v>0</v>
      </c>
      <c r="F221">
        <f>+'vs Bos'!F221+'vs Hou'!F221+'at Buf'!F221+'vs Bos(2)'!F221+'vs KC'!F221+'at Den'!F221+'at Oak'!F221+'vs Mia'!F221+'at KC'!F221+'vs Den'!F221+'vs Oak'!F221+'at Mia'!F221+'at Hou'!F221+'vs NY'!F221+'Gm 15'!F221+'Gm 16'!F221</f>
        <v>0</v>
      </c>
      <c r="G221">
        <f>+'vs Bos'!G221+'vs Hou'!G221+'at Buf'!G221+'vs Bos(2)'!G221+'vs KC'!G221+'at Den'!G221+'at Oak'!G221+'vs Mia'!G221+'at KC'!G221+'vs Den'!G221+'vs Oak'!G221+'at Mia'!G221+'at Hou'!G221+'vs NY'!G221+'Gm 15'!G221+'Gm 16'!G221</f>
        <v>0</v>
      </c>
    </row>
    <row r="222" spans="1:7" ht="12">
      <c r="A222" t="s">
        <v>150</v>
      </c>
      <c r="B222" t="s">
        <v>184</v>
      </c>
      <c r="C222">
        <f>+'vs Bos'!C222+'vs Hou'!C222+'at Buf'!C222+'vs Bos(2)'!C222+'vs KC'!C222+'at Den'!C222+'at Oak'!C222+'vs Mia'!C222+'at KC'!C222+'vs Den'!C222+'vs Oak'!C222+'at Mia'!C222+'at Hou'!C222+'vs NY'!C222+'Gm 15'!C222+'Gm 16'!C222</f>
        <v>0</v>
      </c>
      <c r="D222">
        <f>+'vs Bos'!D222+'vs Hou'!D222+'at Buf'!D222+'vs Bos(2)'!D222+'vs KC'!D222+'at Den'!D222+'at Oak'!D222+'vs Mia'!D222+'at KC'!D222+'vs Den'!D222+'vs Oak'!D222+'at Mia'!D222+'at Hou'!D222+'vs NY'!D222+'Gm 15'!D222+'Gm 16'!D222</f>
        <v>0</v>
      </c>
      <c r="E222">
        <f>MAX('vs Bos'!E222,'vs Hou'!E222,'at Buf'!E222,'vs Bos(2)'!E222,'vs KC'!E222,'at Den'!E222,'at Oak'!E222,'vs Mia'!E222,'at KC'!E222,'vs Den'!E222,'vs Oak'!E222,'at Mia'!E222,'at Hou'!E222,'vs NY'!E222,'Gm 15'!E222,'Gm 16'!E222)</f>
        <v>0</v>
      </c>
      <c r="F222">
        <f>+'vs Bos'!F222+'vs Hou'!F222+'at Buf'!F222+'vs Bos(2)'!F222+'vs KC'!F222+'at Den'!F222+'at Oak'!F222+'vs Mia'!F222+'at KC'!F222+'vs Den'!F222+'vs Oak'!F222+'at Mia'!F222+'at Hou'!F222+'vs NY'!F222+'Gm 15'!F222+'Gm 16'!F222</f>
        <v>0</v>
      </c>
      <c r="G222">
        <f>+'vs Bos'!G222+'vs Hou'!G222+'at Buf'!G222+'vs Bos(2)'!G222+'vs KC'!G222+'at Den'!G222+'at Oak'!G222+'vs Mia'!G222+'at KC'!G222+'vs Den'!G222+'vs Oak'!G222+'at Mia'!G222+'at Hou'!G222+'vs NY'!G222+'Gm 15'!G222+'Gm 16'!G222</f>
        <v>0</v>
      </c>
    </row>
    <row r="223" spans="1:7" ht="12">
      <c r="A223" t="s">
        <v>135</v>
      </c>
      <c r="B223" t="s">
        <v>184</v>
      </c>
      <c r="C223">
        <f>+'vs Bos'!C223+'vs Hou'!C223+'at Buf'!C223+'vs Bos(2)'!C223+'vs KC'!C223+'at Den'!C223+'at Oak'!C223+'vs Mia'!C223+'at KC'!C223+'vs Den'!C223+'vs Oak'!C223+'at Mia'!C223+'at Hou'!C223+'vs NY'!C223+'Gm 15'!C223+'Gm 16'!C223</f>
        <v>0</v>
      </c>
      <c r="D223">
        <f>+'vs Bos'!D223+'vs Hou'!D223+'at Buf'!D223+'vs Bos(2)'!D223+'vs KC'!D223+'at Den'!D223+'at Oak'!D223+'vs Mia'!D223+'at KC'!D223+'vs Den'!D223+'vs Oak'!D223+'at Mia'!D223+'at Hou'!D223+'vs NY'!D223+'Gm 15'!D223+'Gm 16'!D223</f>
        <v>0</v>
      </c>
      <c r="E223">
        <f>MAX('vs Bos'!E223,'vs Hou'!E223,'at Buf'!E223,'vs Bos(2)'!E223,'vs KC'!E223,'at Den'!E223,'at Oak'!E223,'vs Mia'!E223,'at KC'!E223,'vs Den'!E223,'vs Oak'!E223,'at Mia'!E223,'at Hou'!E223,'vs NY'!E223,'Gm 15'!E223,'Gm 16'!E223)</f>
        <v>0</v>
      </c>
      <c r="F223">
        <f>+'vs Bos'!F223+'vs Hou'!F223+'at Buf'!F223+'vs Bos(2)'!F223+'vs KC'!F223+'at Den'!F223+'at Oak'!F223+'vs Mia'!F223+'at KC'!F223+'vs Den'!F223+'vs Oak'!F223+'at Mia'!F223+'at Hou'!F223+'vs NY'!F223+'Gm 15'!F223+'Gm 16'!F223</f>
        <v>0</v>
      </c>
      <c r="G223">
        <f>+'vs Bos'!G223+'vs Hou'!G223+'at Buf'!G223+'vs Bos(2)'!G223+'vs KC'!G223+'at Den'!G223+'at Oak'!G223+'vs Mia'!G223+'at KC'!G223+'vs Den'!G223+'vs Oak'!G223+'at Mia'!G223+'at Hou'!G223+'vs NY'!G223+'Gm 15'!G223+'Gm 16'!G223</f>
        <v>0</v>
      </c>
    </row>
    <row r="224" spans="1:7" ht="12">
      <c r="A224" t="s">
        <v>144</v>
      </c>
      <c r="B224" t="s">
        <v>184</v>
      </c>
      <c r="C224">
        <f>+'vs Bos'!C224+'vs Hou'!C224+'at Buf'!C224+'vs Bos(2)'!C224+'vs KC'!C224+'at Den'!C224+'at Oak'!C224+'vs Mia'!C224+'at KC'!C224+'vs Den'!C224+'vs Oak'!C224+'at Mia'!C224+'at Hou'!C224+'vs NY'!C224+'Gm 15'!C224+'Gm 16'!C224</f>
        <v>0</v>
      </c>
      <c r="D224">
        <f>+'vs Bos'!D224+'vs Hou'!D224+'at Buf'!D224+'vs Bos(2)'!D224+'vs KC'!D224+'at Den'!D224+'at Oak'!D224+'vs Mia'!D224+'at KC'!D224+'vs Den'!D224+'vs Oak'!D224+'at Mia'!D224+'at Hou'!D224+'vs NY'!D224+'Gm 15'!D224+'Gm 16'!D224</f>
        <v>0</v>
      </c>
      <c r="E224">
        <f>MAX('vs Bos'!E224,'vs Hou'!E224,'at Buf'!E224,'vs Bos(2)'!E224,'vs KC'!E224,'at Den'!E224,'at Oak'!E224,'vs Mia'!E224,'at KC'!E224,'vs Den'!E224,'vs Oak'!E224,'at Mia'!E224,'at Hou'!E224,'vs NY'!E224,'Gm 15'!E224,'Gm 16'!E224)</f>
        <v>0</v>
      </c>
      <c r="F224">
        <f>+'vs Bos'!F224+'vs Hou'!F224+'at Buf'!F224+'vs Bos(2)'!F224+'vs KC'!F224+'at Den'!F224+'at Oak'!F224+'vs Mia'!F224+'at KC'!F224+'vs Den'!F224+'vs Oak'!F224+'at Mia'!F224+'at Hou'!F224+'vs NY'!F224+'Gm 15'!F224+'Gm 16'!F224</f>
        <v>0</v>
      </c>
      <c r="G224">
        <f>+'vs Bos'!G224+'vs Hou'!G224+'at Buf'!G224+'vs Bos(2)'!G224+'vs KC'!G224+'at Den'!G224+'at Oak'!G224+'vs Mia'!G224+'at KC'!G224+'vs Den'!G224+'vs Oak'!G224+'at Mia'!G224+'at Hou'!G224+'vs NY'!G224+'Gm 15'!G224+'Gm 16'!G224</f>
        <v>0</v>
      </c>
    </row>
    <row r="225" spans="1:7" ht="12">
      <c r="A225" t="s">
        <v>136</v>
      </c>
      <c r="B225" t="s">
        <v>184</v>
      </c>
      <c r="C225">
        <f>+'vs Bos'!C225+'vs Hou'!C225+'at Buf'!C225+'vs Bos(2)'!C225+'vs KC'!C225+'at Den'!C225+'at Oak'!C225+'vs Mia'!C225+'at KC'!C225+'vs Den'!C225+'vs Oak'!C225+'at Mia'!C225+'at Hou'!C225+'vs NY'!C225+'Gm 15'!C225+'Gm 16'!C225</f>
        <v>0</v>
      </c>
      <c r="D225">
        <f>+'vs Bos'!D225+'vs Hou'!D225+'at Buf'!D225+'vs Bos(2)'!D225+'vs KC'!D225+'at Den'!D225+'at Oak'!D225+'vs Mia'!D225+'at KC'!D225+'vs Den'!D225+'vs Oak'!D225+'at Mia'!D225+'at Hou'!D225+'vs NY'!D225+'Gm 15'!D225+'Gm 16'!D225</f>
        <v>0</v>
      </c>
      <c r="E225">
        <f>MAX('vs Bos'!E225,'vs Hou'!E225,'at Buf'!E225,'vs Bos(2)'!E225,'vs KC'!E225,'at Den'!E225,'at Oak'!E225,'vs Mia'!E225,'at KC'!E225,'vs Den'!E225,'vs Oak'!E225,'at Mia'!E225,'at Hou'!E225,'vs NY'!E225,'Gm 15'!E225,'Gm 16'!E225)</f>
        <v>0</v>
      </c>
      <c r="F225">
        <f>+'vs Bos'!F225+'vs Hou'!F225+'at Buf'!F225+'vs Bos(2)'!F225+'vs KC'!F225+'at Den'!F225+'at Oak'!F225+'vs Mia'!F225+'at KC'!F225+'vs Den'!F225+'vs Oak'!F225+'at Mia'!F225+'at Hou'!F225+'vs NY'!F225+'Gm 15'!F225+'Gm 16'!F225</f>
        <v>0</v>
      </c>
      <c r="G225">
        <f>+'vs Bos'!G225+'vs Hou'!G225+'at Buf'!G225+'vs Bos(2)'!G225+'vs KC'!G225+'at Den'!G225+'at Oak'!G225+'vs Mia'!G225+'at KC'!G225+'vs Den'!G225+'vs Oak'!G225+'at Mia'!G225+'at Hou'!G225+'vs NY'!G225+'Gm 15'!G225+'Gm 16'!G225</f>
        <v>0</v>
      </c>
    </row>
    <row r="226" spans="1:7" ht="12">
      <c r="A226" t="s">
        <v>149</v>
      </c>
      <c r="B226" t="s">
        <v>184</v>
      </c>
      <c r="C226">
        <f>+'vs Bos'!C226+'vs Hou'!C226+'at Buf'!C226+'vs Bos(2)'!C226+'vs KC'!C226+'at Den'!C226+'at Oak'!C226+'vs Mia'!C226+'at KC'!C226+'vs Den'!C226+'vs Oak'!C226+'at Mia'!C226+'at Hou'!C226+'vs NY'!C226+'Gm 15'!C226+'Gm 16'!C226</f>
        <v>0</v>
      </c>
      <c r="D226">
        <f>+'vs Bos'!D226+'vs Hou'!D226+'at Buf'!D226+'vs Bos(2)'!D226+'vs KC'!D226+'at Den'!D226+'at Oak'!D226+'vs Mia'!D226+'at KC'!D226+'vs Den'!D226+'vs Oak'!D226+'at Mia'!D226+'at Hou'!D226+'vs NY'!D226+'Gm 15'!D226+'Gm 16'!D226</f>
        <v>0</v>
      </c>
      <c r="E226">
        <f>MAX('vs Bos'!E226,'vs Hou'!E226,'at Buf'!E226,'vs Bos(2)'!E226,'vs KC'!E226,'at Den'!E226,'at Oak'!E226,'vs Mia'!E226,'at KC'!E226,'vs Den'!E226,'vs Oak'!E226,'at Mia'!E226,'at Hou'!E226,'vs NY'!E226,'Gm 15'!E226,'Gm 16'!E226)</f>
        <v>0</v>
      </c>
      <c r="F226">
        <f>+'vs Bos'!F226+'vs Hou'!F226+'at Buf'!F226+'vs Bos(2)'!F226+'vs KC'!F226+'at Den'!F226+'at Oak'!F226+'vs Mia'!F226+'at KC'!F226+'vs Den'!F226+'vs Oak'!F226+'at Mia'!F226+'at Hou'!F226+'vs NY'!F226+'Gm 15'!F226+'Gm 16'!F226</f>
        <v>0</v>
      </c>
      <c r="G226">
        <f>+'vs Bos'!G226+'vs Hou'!G226+'at Buf'!G226+'vs Bos(2)'!G226+'vs KC'!G226+'at Den'!G226+'at Oak'!G226+'vs Mia'!G226+'at KC'!G226+'vs Den'!G226+'vs Oak'!G226+'at Mia'!G226+'at Hou'!G226+'vs NY'!G226+'Gm 15'!G226+'Gm 16'!G226</f>
        <v>0</v>
      </c>
    </row>
    <row r="227" spans="1:7" ht="12">
      <c r="A227" t="s">
        <v>161</v>
      </c>
      <c r="B227" t="s">
        <v>184</v>
      </c>
      <c r="C227">
        <f>+'vs Bos'!C227+'vs Hou'!C227+'at Buf'!C227+'vs Bos(2)'!C227+'vs KC'!C227+'at Den'!C227+'at Oak'!C227+'vs Mia'!C227+'at KC'!C227+'vs Den'!C227+'vs Oak'!C227+'at Mia'!C227+'at Hou'!C227+'vs NY'!C227+'Gm 15'!C227+'Gm 16'!C227</f>
        <v>0</v>
      </c>
      <c r="D227">
        <f>+'vs Bos'!D227+'vs Hou'!D227+'at Buf'!D227+'vs Bos(2)'!D227+'vs KC'!D227+'at Den'!D227+'at Oak'!D227+'vs Mia'!D227+'at KC'!D227+'vs Den'!D227+'vs Oak'!D227+'at Mia'!D227+'at Hou'!D227+'vs NY'!D227+'Gm 15'!D227+'Gm 16'!D227</f>
        <v>0</v>
      </c>
      <c r="E227">
        <f>MAX('vs Bos'!E227,'vs Hou'!E227,'at Buf'!E227,'vs Bos(2)'!E227,'vs KC'!E227,'at Den'!E227,'at Oak'!E227,'vs Mia'!E227,'at KC'!E227,'vs Den'!E227,'vs Oak'!E227,'at Mia'!E227,'at Hou'!E227,'vs NY'!E227,'Gm 15'!E227,'Gm 16'!E227)</f>
        <v>0</v>
      </c>
      <c r="F227">
        <f>+'vs Bos'!F227+'vs Hou'!F227+'at Buf'!F227+'vs Bos(2)'!F227+'vs KC'!F227+'at Den'!F227+'at Oak'!F227+'vs Mia'!F227+'at KC'!F227+'vs Den'!F227+'vs Oak'!F227+'at Mia'!F227+'at Hou'!F227+'vs NY'!F227+'Gm 15'!F227+'Gm 16'!F227</f>
        <v>0</v>
      </c>
      <c r="G227">
        <f>+'vs Bos'!G227+'vs Hou'!G227+'at Buf'!G227+'vs Bos(2)'!G227+'vs KC'!G227+'at Den'!G227+'at Oak'!G227+'vs Mia'!G227+'at KC'!G227+'vs Den'!G227+'vs Oak'!G227+'at Mia'!G227+'at Hou'!G227+'vs NY'!G227+'Gm 15'!G227+'Gm 16'!G227</f>
        <v>0</v>
      </c>
    </row>
    <row r="228" spans="1:7" ht="12">
      <c r="A228" t="s">
        <v>162</v>
      </c>
      <c r="B228" t="s">
        <v>184</v>
      </c>
      <c r="C228">
        <f>+'vs Bos'!C228+'vs Hou'!C228+'at Buf'!C228+'vs Bos(2)'!C228+'vs KC'!C228+'at Den'!C228+'at Oak'!C228+'vs Mia'!C228+'at KC'!C228+'vs Den'!C228+'vs Oak'!C228+'at Mia'!C228+'at Hou'!C228+'vs NY'!C228+'Gm 15'!C228+'Gm 16'!C228</f>
        <v>0</v>
      </c>
      <c r="D228">
        <f>+'vs Bos'!D228+'vs Hou'!D228+'at Buf'!D228+'vs Bos(2)'!D228+'vs KC'!D228+'at Den'!D228+'at Oak'!D228+'vs Mia'!D228+'at KC'!D228+'vs Den'!D228+'vs Oak'!D228+'at Mia'!D228+'at Hou'!D228+'vs NY'!D228+'Gm 15'!D228+'Gm 16'!D228</f>
        <v>0</v>
      </c>
      <c r="E228">
        <f>MAX('vs Bos'!E228,'vs Hou'!E228,'at Buf'!E228,'vs Bos(2)'!E228,'vs KC'!E228,'at Den'!E228,'at Oak'!E228,'vs Mia'!E228,'at KC'!E228,'vs Den'!E228,'vs Oak'!E228,'at Mia'!E228,'at Hou'!E228,'vs NY'!E228,'Gm 15'!E228,'Gm 16'!E228)</f>
        <v>0</v>
      </c>
      <c r="F228">
        <f>+'vs Bos'!F228+'vs Hou'!F228+'at Buf'!F228+'vs Bos(2)'!F228+'vs KC'!F228+'at Den'!F228+'at Oak'!F228+'vs Mia'!F228+'at KC'!F228+'vs Den'!F228+'vs Oak'!F228+'at Mia'!F228+'at Hou'!F228+'vs NY'!F228+'Gm 15'!F228+'Gm 16'!F228</f>
        <v>0</v>
      </c>
      <c r="G228">
        <f>+'vs Bos'!G228+'vs Hou'!G228+'at Buf'!G228+'vs Bos(2)'!G228+'vs KC'!G228+'at Den'!G228+'at Oak'!G228+'vs Mia'!G228+'at KC'!G228+'vs Den'!G228+'vs Oak'!G228+'at Mia'!G228+'at Hou'!G228+'vs NY'!G228+'Gm 15'!G228+'Gm 16'!G228</f>
        <v>0</v>
      </c>
    </row>
    <row r="229" spans="1:7" ht="12">
      <c r="A229" t="s">
        <v>169</v>
      </c>
      <c r="B229" t="s">
        <v>184</v>
      </c>
      <c r="C229">
        <f>+'vs Bos'!C229+'vs Hou'!C229+'at Buf'!C229+'vs Bos(2)'!C229+'vs KC'!C229+'at Den'!C229+'at Oak'!C229+'vs Mia'!C229+'at KC'!C229+'vs Den'!C229+'vs Oak'!C229+'at Mia'!C229+'at Hou'!C229+'vs NY'!C229+'Gm 15'!C229+'Gm 16'!C229</f>
        <v>0</v>
      </c>
      <c r="D229">
        <f>+'vs Bos'!D229+'vs Hou'!D229+'at Buf'!D229+'vs Bos(2)'!D229+'vs KC'!D229+'at Den'!D229+'at Oak'!D229+'vs Mia'!D229+'at KC'!D229+'vs Den'!D229+'vs Oak'!D229+'at Mia'!D229+'at Hou'!D229+'vs NY'!D229+'Gm 15'!D229+'Gm 16'!D229</f>
        <v>0</v>
      </c>
      <c r="E229">
        <f>MAX('vs Bos'!E229,'vs Hou'!E229,'at Buf'!E229,'vs Bos(2)'!E229,'vs KC'!E229,'at Den'!E229,'at Oak'!E229,'vs Mia'!E229,'at KC'!E229,'vs Den'!E229,'vs Oak'!E229,'at Mia'!E229,'at Hou'!E229,'vs NY'!E229,'Gm 15'!E229,'Gm 16'!E229)</f>
        <v>0</v>
      </c>
      <c r="F229">
        <f>+'vs Bos'!F229+'vs Hou'!F229+'at Buf'!F229+'vs Bos(2)'!F229+'vs KC'!F229+'at Den'!F229+'at Oak'!F229+'vs Mia'!F229+'at KC'!F229+'vs Den'!F229+'vs Oak'!F229+'at Mia'!F229+'at Hou'!F229+'vs NY'!F229+'Gm 15'!F229+'Gm 16'!F229</f>
        <v>0</v>
      </c>
      <c r="G229">
        <f>+'vs Bos'!G229+'vs Hou'!G229+'at Buf'!G229+'vs Bos(2)'!G229+'vs KC'!G229+'at Den'!G229+'at Oak'!G229+'vs Mia'!G229+'at KC'!G229+'vs Den'!G229+'vs Oak'!G229+'at Mia'!G229+'at Hou'!G229+'vs NY'!G229+'Gm 15'!G229+'Gm 16'!G229</f>
        <v>0</v>
      </c>
    </row>
    <row r="230" spans="1:7" ht="12">
      <c r="A230" t="s">
        <v>137</v>
      </c>
      <c r="B230" t="s">
        <v>184</v>
      </c>
      <c r="C230">
        <f>+'vs Bos'!C230+'vs Hou'!C230+'at Buf'!C230+'vs Bos(2)'!C230+'vs KC'!C230+'at Den'!C230+'at Oak'!C230+'vs Mia'!C230+'at KC'!C230+'vs Den'!C230+'vs Oak'!C230+'at Mia'!C230+'at Hou'!C230+'vs NY'!C230+'Gm 15'!C230+'Gm 16'!C230</f>
        <v>1</v>
      </c>
      <c r="D230">
        <f>+'vs Bos'!D230+'vs Hou'!D230+'at Buf'!D230+'vs Bos(2)'!D230+'vs KC'!D230+'at Den'!D230+'at Oak'!D230+'vs Mia'!D230+'at KC'!D230+'vs Den'!D230+'vs Oak'!D230+'at Mia'!D230+'at Hou'!D230+'vs NY'!D230+'Gm 15'!D230+'Gm 16'!D230</f>
        <v>0</v>
      </c>
      <c r="E230">
        <f>MAX('vs Bos'!E230,'vs Hou'!E230,'at Buf'!E230,'vs Bos(2)'!E230,'vs KC'!E230,'at Den'!E230,'at Oak'!E230,'vs Mia'!E230,'at KC'!E230,'vs Den'!E230,'vs Oak'!E230,'at Mia'!E230,'at Hou'!E230,'vs NY'!E230,'Gm 15'!E230,'Gm 16'!E230)</f>
        <v>0</v>
      </c>
      <c r="F230">
        <f>+'vs Bos'!F230+'vs Hou'!F230+'at Buf'!F230+'vs Bos(2)'!F230+'vs KC'!F230+'at Den'!F230+'at Oak'!F230+'vs Mia'!F230+'at KC'!F230+'vs Den'!F230+'vs Oak'!F230+'at Mia'!F230+'at Hou'!F230+'vs NY'!F230+'Gm 15'!F230+'Gm 16'!F230</f>
        <v>0</v>
      </c>
      <c r="G230">
        <f>+'vs Bos'!G230+'vs Hou'!G230+'at Buf'!G230+'vs Bos(2)'!G230+'vs KC'!G230+'at Den'!G230+'at Oak'!G230+'vs Mia'!G230+'at KC'!G230+'vs Den'!G230+'vs Oak'!G230+'at Mia'!G230+'at Hou'!G230+'vs NY'!G230+'Gm 15'!G230+'Gm 16'!G230</f>
        <v>0</v>
      </c>
    </row>
    <row r="231" spans="1:7" ht="12">
      <c r="A231" t="s">
        <v>170</v>
      </c>
      <c r="B231" t="s">
        <v>184</v>
      </c>
      <c r="C231">
        <f>+'vs Bos'!C231+'vs Hou'!C231+'at Buf'!C231+'vs Bos(2)'!C231+'vs KC'!C231+'at Den'!C231+'at Oak'!C231+'vs Mia'!C231+'at KC'!C231+'vs Den'!C231+'vs Oak'!C231+'at Mia'!C231+'at Hou'!C231+'vs NY'!C231+'Gm 15'!C231+'Gm 16'!C231</f>
        <v>1</v>
      </c>
      <c r="D231">
        <f>+'vs Bos'!D231+'vs Hou'!D231+'at Buf'!D231+'vs Bos(2)'!D231+'vs KC'!D231+'at Den'!D231+'at Oak'!D231+'vs Mia'!D231+'at KC'!D231+'vs Den'!D231+'vs Oak'!D231+'at Mia'!D231+'at Hou'!D231+'vs NY'!D231+'Gm 15'!D231+'Gm 16'!D231</f>
        <v>0</v>
      </c>
      <c r="E231">
        <f>MAX('vs Bos'!E231,'vs Hou'!E231,'at Buf'!E231,'vs Bos(2)'!E231,'vs KC'!E231,'at Den'!E231,'at Oak'!E231,'vs Mia'!E231,'at KC'!E231,'vs Den'!E231,'vs Oak'!E231,'at Mia'!E231,'at Hou'!E231,'vs NY'!E231,'Gm 15'!E231,'Gm 16'!E231)</f>
        <v>0</v>
      </c>
      <c r="F231">
        <f>+'vs Bos'!F231+'vs Hou'!F231+'at Buf'!F231+'vs Bos(2)'!F231+'vs KC'!F231+'at Den'!F231+'at Oak'!F231+'vs Mia'!F231+'at KC'!F231+'vs Den'!F231+'vs Oak'!F231+'at Mia'!F231+'at Hou'!F231+'vs NY'!F231+'Gm 15'!F231+'Gm 16'!F231</f>
        <v>0</v>
      </c>
      <c r="G231">
        <f>+'vs Bos'!G231+'vs Hou'!G231+'at Buf'!G231+'vs Bos(2)'!G231+'vs KC'!G231+'at Den'!G231+'at Oak'!G231+'vs Mia'!G231+'at KC'!G231+'vs Den'!G231+'vs Oak'!G231+'at Mia'!G231+'at Hou'!G231+'vs NY'!G231+'Gm 15'!G231+'Gm 16'!G231</f>
        <v>0</v>
      </c>
    </row>
    <row r="232" spans="1:7" ht="12">
      <c r="A232" t="s">
        <v>138</v>
      </c>
      <c r="B232" t="s">
        <v>184</v>
      </c>
      <c r="C232">
        <f>+'vs Bos'!C232+'vs Hou'!C232+'at Buf'!C232+'vs Bos(2)'!C232+'vs KC'!C232+'at Den'!C232+'at Oak'!C232+'vs Mia'!C232+'at KC'!C232+'vs Den'!C232+'vs Oak'!C232+'at Mia'!C232+'at Hou'!C232+'vs NY'!C232+'Gm 15'!C232+'Gm 16'!C232</f>
        <v>0</v>
      </c>
      <c r="D232">
        <f>+'vs Bos'!D232+'vs Hou'!D232+'at Buf'!D232+'vs Bos(2)'!D232+'vs KC'!D232+'at Den'!D232+'at Oak'!D232+'vs Mia'!D232+'at KC'!D232+'vs Den'!D232+'vs Oak'!D232+'at Mia'!D232+'at Hou'!D232+'vs NY'!D232+'Gm 15'!D232+'Gm 16'!D232</f>
        <v>0</v>
      </c>
      <c r="E232">
        <f>MAX('vs Bos'!E232,'vs Hou'!E232,'at Buf'!E232,'vs Bos(2)'!E232,'vs KC'!E232,'at Den'!E232,'at Oak'!E232,'vs Mia'!E232,'at KC'!E232,'vs Den'!E232,'vs Oak'!E232,'at Mia'!E232,'at Hou'!E232,'vs NY'!E232,'Gm 15'!E232,'Gm 16'!E232)</f>
        <v>0</v>
      </c>
      <c r="F232">
        <f>+'vs Bos'!F232+'vs Hou'!F232+'at Buf'!F232+'vs Bos(2)'!F232+'vs KC'!F232+'at Den'!F232+'at Oak'!F232+'vs Mia'!F232+'at KC'!F232+'vs Den'!F232+'vs Oak'!F232+'at Mia'!F232+'at Hou'!F232+'vs NY'!F232+'Gm 15'!F232+'Gm 16'!F232</f>
        <v>0</v>
      </c>
      <c r="G232">
        <f>+'vs Bos'!G232+'vs Hou'!G232+'at Buf'!G232+'vs Bos(2)'!G232+'vs KC'!G232+'at Den'!G232+'at Oak'!G232+'vs Mia'!G232+'at KC'!G232+'vs Den'!G232+'vs Oak'!G232+'at Mia'!G232+'at Hou'!G232+'vs NY'!G232+'Gm 15'!G232+'Gm 16'!G232</f>
        <v>0</v>
      </c>
    </row>
    <row r="233" spans="1:7" ht="12">
      <c r="A233" t="s">
        <v>171</v>
      </c>
      <c r="B233" t="s">
        <v>184</v>
      </c>
      <c r="C233">
        <f>+'vs Bos'!C233+'vs Hou'!C233+'at Buf'!C233+'vs Bos(2)'!C233+'vs KC'!C233+'at Den'!C233+'at Oak'!C233+'vs Mia'!C233+'at KC'!C233+'vs Den'!C233+'vs Oak'!C233+'at Mia'!C233+'at Hou'!C233+'vs NY'!C233+'Gm 15'!C233+'Gm 16'!C233</f>
        <v>0</v>
      </c>
      <c r="D233">
        <f>+'vs Bos'!D233+'vs Hou'!D233+'at Buf'!D233+'vs Bos(2)'!D233+'vs KC'!D233+'at Den'!D233+'at Oak'!D233+'vs Mia'!D233+'at KC'!D233+'vs Den'!D233+'vs Oak'!D233+'at Mia'!D233+'at Hou'!D233+'vs NY'!D233+'Gm 15'!D233+'Gm 16'!D233</f>
        <v>0</v>
      </c>
      <c r="E233">
        <f>MAX('vs Bos'!E233,'vs Hou'!E233,'at Buf'!E233,'vs Bos(2)'!E233,'vs KC'!E233,'at Den'!E233,'at Oak'!E233,'vs Mia'!E233,'at KC'!E233,'vs Den'!E233,'vs Oak'!E233,'at Mia'!E233,'at Hou'!E233,'vs NY'!E233,'Gm 15'!E233,'Gm 16'!E233)</f>
        <v>0</v>
      </c>
      <c r="F233">
        <f>+'vs Bos'!F233+'vs Hou'!F233+'at Buf'!F233+'vs Bos(2)'!F233+'vs KC'!F233+'at Den'!F233+'at Oak'!F233+'vs Mia'!F233+'at KC'!F233+'vs Den'!F233+'vs Oak'!F233+'at Mia'!F233+'at Hou'!F233+'vs NY'!F233+'Gm 15'!F233+'Gm 16'!F233</f>
        <v>0</v>
      </c>
      <c r="G233">
        <f>+'vs Bos'!G233+'vs Hou'!G233+'at Buf'!G233+'vs Bos(2)'!G233+'vs KC'!G233+'at Den'!G233+'at Oak'!G233+'vs Mia'!G233+'at KC'!G233+'vs Den'!G233+'vs Oak'!G233+'at Mia'!G233+'at Hou'!G233+'vs NY'!G233+'Gm 15'!G233+'Gm 16'!G233</f>
        <v>0</v>
      </c>
    </row>
    <row r="234" spans="1:7" ht="12">
      <c r="A234" t="s">
        <v>172</v>
      </c>
      <c r="B234" t="s">
        <v>184</v>
      </c>
      <c r="C234">
        <f>+'vs Bos'!C234+'vs Hou'!C234+'at Buf'!C234+'vs Bos(2)'!C234+'vs KC'!C234+'at Den'!C234+'at Oak'!C234+'vs Mia'!C234+'at KC'!C234+'vs Den'!C234+'vs Oak'!C234+'at Mia'!C234+'at Hou'!C234+'vs NY'!C234+'Gm 15'!C234+'Gm 16'!C234</f>
        <v>0</v>
      </c>
      <c r="D234">
        <f>+'vs Bos'!D234+'vs Hou'!D234+'at Buf'!D234+'vs Bos(2)'!D234+'vs KC'!D234+'at Den'!D234+'at Oak'!D234+'vs Mia'!D234+'at KC'!D234+'vs Den'!D234+'vs Oak'!D234+'at Mia'!D234+'at Hou'!D234+'vs NY'!D234+'Gm 15'!D234+'Gm 16'!D234</f>
        <v>0</v>
      </c>
      <c r="E234">
        <f>MAX('vs Bos'!E234,'vs Hou'!E234,'at Buf'!E234,'vs Bos(2)'!E234,'vs KC'!E234,'at Den'!E234,'at Oak'!E234,'vs Mia'!E234,'at KC'!E234,'vs Den'!E234,'vs Oak'!E234,'at Mia'!E234,'at Hou'!E234,'vs NY'!E234,'Gm 15'!E234,'Gm 16'!E234)</f>
        <v>0</v>
      </c>
      <c r="F234">
        <f>+'vs Bos'!F234+'vs Hou'!F234+'at Buf'!F234+'vs Bos(2)'!F234+'vs KC'!F234+'at Den'!F234+'at Oak'!F234+'vs Mia'!F234+'at KC'!F234+'vs Den'!F234+'vs Oak'!F234+'at Mia'!F234+'at Hou'!F234+'vs NY'!F234+'Gm 15'!F234+'Gm 16'!F234</f>
        <v>0</v>
      </c>
      <c r="G234">
        <f>+'vs Bos'!G234+'vs Hou'!G234+'at Buf'!G234+'vs Bos(2)'!G234+'vs KC'!G234+'at Den'!G234+'at Oak'!G234+'vs Mia'!G234+'at KC'!G234+'vs Den'!G234+'vs Oak'!G234+'at Mia'!G234+'at Hou'!G234+'vs NY'!G234+'Gm 15'!G234+'Gm 16'!G234</f>
        <v>0</v>
      </c>
    </row>
    <row r="235" spans="1:7" ht="12">
      <c r="A235" t="s">
        <v>173</v>
      </c>
      <c r="B235" t="s">
        <v>184</v>
      </c>
      <c r="C235">
        <f>+'vs Bos'!C235+'vs Hou'!C235+'at Buf'!C235+'vs Bos(2)'!C235+'vs KC'!C235+'at Den'!C235+'at Oak'!C235+'vs Mia'!C235+'at KC'!C235+'vs Den'!C235+'vs Oak'!C235+'at Mia'!C235+'at Hou'!C235+'vs NY'!C235+'Gm 15'!C235+'Gm 16'!C235</f>
        <v>0</v>
      </c>
      <c r="D235">
        <f>+'vs Bos'!D235+'vs Hou'!D235+'at Buf'!D235+'vs Bos(2)'!D235+'vs KC'!D235+'at Den'!D235+'at Oak'!D235+'vs Mia'!D235+'at KC'!D235+'vs Den'!D235+'vs Oak'!D235+'at Mia'!D235+'at Hou'!D235+'vs NY'!D235+'Gm 15'!D235+'Gm 16'!D235</f>
        <v>0</v>
      </c>
      <c r="E235">
        <f>MAX('vs Bos'!E235,'vs Hou'!E235,'at Buf'!E235,'vs Bos(2)'!E235,'vs KC'!E235,'at Den'!E235,'at Oak'!E235,'vs Mia'!E235,'at KC'!E235,'vs Den'!E235,'vs Oak'!E235,'at Mia'!E235,'at Hou'!E235,'vs NY'!E235,'Gm 15'!E235,'Gm 16'!E235)</f>
        <v>0</v>
      </c>
      <c r="F235">
        <f>+'vs Bos'!F235+'vs Hou'!F235+'at Buf'!F235+'vs Bos(2)'!F235+'vs KC'!F235+'at Den'!F235+'at Oak'!F235+'vs Mia'!F235+'at KC'!F235+'vs Den'!F235+'vs Oak'!F235+'at Mia'!F235+'at Hou'!F235+'vs NY'!F235+'Gm 15'!F235+'Gm 16'!F235</f>
        <v>0</v>
      </c>
      <c r="G235">
        <f>+'vs Bos'!G235+'vs Hou'!G235+'at Buf'!G235+'vs Bos(2)'!G235+'vs KC'!G235+'at Den'!G235+'at Oak'!G235+'vs Mia'!G235+'at KC'!G235+'vs Den'!G235+'vs Oak'!G235+'at Mia'!G235+'at Hou'!G235+'vs NY'!G235+'Gm 15'!G235+'Gm 16'!G235</f>
        <v>0</v>
      </c>
    </row>
    <row r="236" spans="1:7" ht="12">
      <c r="A236" t="s">
        <v>174</v>
      </c>
      <c r="B236" t="s">
        <v>184</v>
      </c>
      <c r="C236">
        <f>+'vs Bos'!C236+'vs Hou'!C236+'at Buf'!C236+'vs Bos(2)'!C236+'vs KC'!C236+'at Den'!C236+'at Oak'!C236+'vs Mia'!C236+'at KC'!C236+'vs Den'!C236+'vs Oak'!C236+'at Mia'!C236+'at Hou'!C236+'vs NY'!C236+'Gm 15'!C236+'Gm 16'!C236</f>
        <v>0</v>
      </c>
      <c r="D236">
        <f>+'vs Bos'!D236+'vs Hou'!D236+'at Buf'!D236+'vs Bos(2)'!D236+'vs KC'!D236+'at Den'!D236+'at Oak'!D236+'vs Mia'!D236+'at KC'!D236+'vs Den'!D236+'vs Oak'!D236+'at Mia'!D236+'at Hou'!D236+'vs NY'!D236+'Gm 15'!D236+'Gm 16'!D236</f>
        <v>0</v>
      </c>
      <c r="E236">
        <f>MAX('vs Bos'!E236,'vs Hou'!E236,'at Buf'!E236,'vs Bos(2)'!E236,'vs KC'!E236,'at Den'!E236,'at Oak'!E236,'vs Mia'!E236,'at KC'!E236,'vs Den'!E236,'vs Oak'!E236,'at Mia'!E236,'at Hou'!E236,'vs NY'!E236,'Gm 15'!E236,'Gm 16'!E236)</f>
        <v>0</v>
      </c>
      <c r="F236">
        <f>+'vs Bos'!F236+'vs Hou'!F236+'at Buf'!F236+'vs Bos(2)'!F236+'vs KC'!F236+'at Den'!F236+'at Oak'!F236+'vs Mia'!F236+'at KC'!F236+'vs Den'!F236+'vs Oak'!F236+'at Mia'!F236+'at Hou'!F236+'vs NY'!F236+'Gm 15'!F236+'Gm 16'!F236</f>
        <v>0</v>
      </c>
      <c r="G236">
        <f>+'vs Bos'!G236+'vs Hou'!G236+'at Buf'!G236+'vs Bos(2)'!G236+'vs KC'!G236+'at Den'!G236+'at Oak'!G236+'vs Mia'!G236+'at KC'!G236+'vs Den'!G236+'vs Oak'!G236+'at Mia'!G236+'at Hou'!G236+'vs NY'!G236+'Gm 15'!G236+'Gm 16'!G236</f>
        <v>0</v>
      </c>
    </row>
    <row r="237" spans="1:7" ht="12">
      <c r="A237" t="s">
        <v>139</v>
      </c>
      <c r="B237" t="s">
        <v>184</v>
      </c>
      <c r="C237">
        <f>+'vs Bos'!C237+'vs Hou'!C237+'at Buf'!C237+'vs Bos(2)'!C237+'vs KC'!C237+'at Den'!C237+'at Oak'!C237+'vs Mia'!C237+'at KC'!C237+'vs Den'!C237+'vs Oak'!C237+'at Mia'!C237+'at Hou'!C237+'vs NY'!C237+'Gm 15'!C237+'Gm 16'!C237</f>
        <v>0</v>
      </c>
      <c r="D237">
        <f>+'vs Bos'!D237+'vs Hou'!D237+'at Buf'!D237+'vs Bos(2)'!D237+'vs KC'!D237+'at Den'!D237+'at Oak'!D237+'vs Mia'!D237+'at KC'!D237+'vs Den'!D237+'vs Oak'!D237+'at Mia'!D237+'at Hou'!D237+'vs NY'!D237+'Gm 15'!D237+'Gm 16'!D237</f>
        <v>0</v>
      </c>
      <c r="E237">
        <f>MAX('vs Bos'!E237,'vs Hou'!E237,'at Buf'!E237,'vs Bos(2)'!E237,'vs KC'!E237,'at Den'!E237,'at Oak'!E237,'vs Mia'!E237,'at KC'!E237,'vs Den'!E237,'vs Oak'!E237,'at Mia'!E237,'at Hou'!E237,'vs NY'!E237,'Gm 15'!E237,'Gm 16'!E237)</f>
        <v>0</v>
      </c>
      <c r="F237">
        <f>+'vs Bos'!F237+'vs Hou'!F237+'at Buf'!F237+'vs Bos(2)'!F237+'vs KC'!F237+'at Den'!F237+'at Oak'!F237+'vs Mia'!F237+'at KC'!F237+'vs Den'!F237+'vs Oak'!F237+'at Mia'!F237+'at Hou'!F237+'vs NY'!F237+'Gm 15'!F237+'Gm 16'!F237</f>
        <v>0</v>
      </c>
      <c r="G237">
        <f>+'vs Bos'!G237+'vs Hou'!G237+'at Buf'!G237+'vs Bos(2)'!G237+'vs KC'!G237+'at Den'!G237+'at Oak'!G237+'vs Mia'!G237+'at KC'!G237+'vs Den'!G237+'vs Oak'!G237+'at Mia'!G237+'at Hou'!G237+'vs NY'!G237+'Gm 15'!G237+'Gm 16'!G237</f>
        <v>0</v>
      </c>
    </row>
    <row r="238" spans="1:7" ht="12">
      <c r="A238" t="s">
        <v>145</v>
      </c>
      <c r="B238" t="s">
        <v>184</v>
      </c>
      <c r="C238">
        <f>+'vs Bos'!C238+'vs Hou'!C238+'at Buf'!C238+'vs Bos(2)'!C238+'vs KC'!C238+'at Den'!C238+'at Oak'!C238+'vs Mia'!C238+'at KC'!C238+'vs Den'!C238+'vs Oak'!C238+'at Mia'!C238+'at Hou'!C238+'vs NY'!C238+'Gm 15'!C238+'Gm 16'!C238</f>
        <v>0</v>
      </c>
      <c r="D238">
        <f>+'vs Bos'!D238+'vs Hou'!D238+'at Buf'!D238+'vs Bos(2)'!D238+'vs KC'!D238+'at Den'!D238+'at Oak'!D238+'vs Mia'!D238+'at KC'!D238+'vs Den'!D238+'vs Oak'!D238+'at Mia'!D238+'at Hou'!D238+'vs NY'!D238+'Gm 15'!D238+'Gm 16'!D238</f>
        <v>0</v>
      </c>
      <c r="E238">
        <f>MAX('vs Bos'!E238,'vs Hou'!E238,'at Buf'!E238,'vs Bos(2)'!E238,'vs KC'!E238,'at Den'!E238,'at Oak'!E238,'vs Mia'!E238,'at KC'!E238,'vs Den'!E238,'vs Oak'!E238,'at Mia'!E238,'at Hou'!E238,'vs NY'!E238,'Gm 15'!E238,'Gm 16'!E238)</f>
        <v>0</v>
      </c>
      <c r="F238">
        <f>+'vs Bos'!F238+'vs Hou'!F238+'at Buf'!F238+'vs Bos(2)'!F238+'vs KC'!F238+'at Den'!F238+'at Oak'!F238+'vs Mia'!F238+'at KC'!F238+'vs Den'!F238+'vs Oak'!F238+'at Mia'!F238+'at Hou'!F238+'vs NY'!F238+'Gm 15'!F238+'Gm 16'!F238</f>
        <v>0</v>
      </c>
      <c r="G238">
        <f>+'vs Bos'!G238+'vs Hou'!G238+'at Buf'!G238+'vs Bos(2)'!G238+'vs KC'!G238+'at Den'!G238+'at Oak'!G238+'vs Mia'!G238+'at KC'!G238+'vs Den'!G238+'vs Oak'!G238+'at Mia'!G238+'at Hou'!G238+'vs NY'!G238+'Gm 15'!G238+'Gm 16'!G238</f>
        <v>0</v>
      </c>
    </row>
    <row r="239" spans="1:7" ht="12">
      <c r="A239" t="s">
        <v>175</v>
      </c>
      <c r="B239" t="s">
        <v>184</v>
      </c>
      <c r="C239">
        <f>+'vs Bos'!C239+'vs Hou'!C239+'at Buf'!C239+'vs Bos(2)'!C239+'vs KC'!C239+'at Den'!C239+'at Oak'!C239+'vs Mia'!C239+'at KC'!C239+'vs Den'!C239+'vs Oak'!C239+'at Mia'!C239+'at Hou'!C239+'vs NY'!C239+'Gm 15'!C239+'Gm 16'!C239</f>
        <v>0</v>
      </c>
      <c r="D239">
        <f>+'vs Bos'!D239+'vs Hou'!D239+'at Buf'!D239+'vs Bos(2)'!D239+'vs KC'!D239+'at Den'!D239+'at Oak'!D239+'vs Mia'!D239+'at KC'!D239+'vs Den'!D239+'vs Oak'!D239+'at Mia'!D239+'at Hou'!D239+'vs NY'!D239+'Gm 15'!D239+'Gm 16'!D239</f>
        <v>0</v>
      </c>
      <c r="E239">
        <f>MAX('vs Bos'!E239,'vs Hou'!E239,'at Buf'!E239,'vs Bos(2)'!E239,'vs KC'!E239,'at Den'!E239,'at Oak'!E239,'vs Mia'!E239,'at KC'!E239,'vs Den'!E239,'vs Oak'!E239,'at Mia'!E239,'at Hou'!E239,'vs NY'!E239,'Gm 15'!E239,'Gm 16'!E239)</f>
        <v>0</v>
      </c>
      <c r="F239">
        <f>+'vs Bos'!F239+'vs Hou'!F239+'at Buf'!F239+'vs Bos(2)'!F239+'vs KC'!F239+'at Den'!F239+'at Oak'!F239+'vs Mia'!F239+'at KC'!F239+'vs Den'!F239+'vs Oak'!F239+'at Mia'!F239+'at Hou'!F239+'vs NY'!F239+'Gm 15'!F239+'Gm 16'!F239</f>
        <v>0</v>
      </c>
      <c r="G239">
        <f>+'vs Bos'!G239+'vs Hou'!G239+'at Buf'!G239+'vs Bos(2)'!G239+'vs KC'!G239+'at Den'!G239+'at Oak'!G239+'vs Mia'!G239+'at KC'!G239+'vs Den'!G239+'vs Oak'!G239+'at Mia'!G239+'at Hou'!G239+'vs NY'!G239+'Gm 15'!G239+'Gm 16'!G239</f>
        <v>0</v>
      </c>
    </row>
    <row r="240" spans="1:7" ht="12">
      <c r="A240" t="s">
        <v>176</v>
      </c>
      <c r="B240" t="s">
        <v>184</v>
      </c>
      <c r="C240">
        <f>+'vs Bos'!C240+'vs Hou'!C240+'at Buf'!C240+'vs Bos(2)'!C240+'vs KC'!C240+'at Den'!C240+'at Oak'!C240+'vs Mia'!C240+'at KC'!C240+'vs Den'!C240+'vs Oak'!C240+'at Mia'!C240+'at Hou'!C240+'vs NY'!C240+'Gm 15'!C240+'Gm 16'!C240</f>
        <v>0</v>
      </c>
      <c r="D240">
        <f>+'vs Bos'!D240+'vs Hou'!D240+'at Buf'!D240+'vs Bos(2)'!D240+'vs KC'!D240+'at Den'!D240+'at Oak'!D240+'vs Mia'!D240+'at KC'!D240+'vs Den'!D240+'vs Oak'!D240+'at Mia'!D240+'at Hou'!D240+'vs NY'!D240+'Gm 15'!D240+'Gm 16'!D240</f>
        <v>0</v>
      </c>
      <c r="E240">
        <f>MAX('vs Bos'!E240,'vs Hou'!E240,'at Buf'!E240,'vs Bos(2)'!E240,'vs KC'!E240,'at Den'!E240,'at Oak'!E240,'vs Mia'!E240,'at KC'!E240,'vs Den'!E240,'vs Oak'!E240,'at Mia'!E240,'at Hou'!E240,'vs NY'!E240,'Gm 15'!E240,'Gm 16'!E240)</f>
        <v>0</v>
      </c>
      <c r="F240">
        <f>+'vs Bos'!F240+'vs Hou'!F240+'at Buf'!F240+'vs Bos(2)'!F240+'vs KC'!F240+'at Den'!F240+'at Oak'!F240+'vs Mia'!F240+'at KC'!F240+'vs Den'!F240+'vs Oak'!F240+'at Mia'!F240+'at Hou'!F240+'vs NY'!F240+'Gm 15'!F240+'Gm 16'!F240</f>
        <v>0</v>
      </c>
      <c r="G240">
        <f>+'vs Bos'!G240+'vs Hou'!G240+'at Buf'!G240+'vs Bos(2)'!G240+'vs KC'!G240+'at Den'!G240+'at Oak'!G240+'vs Mia'!G240+'at KC'!G240+'vs Den'!G240+'vs Oak'!G240+'at Mia'!G240+'at Hou'!G240+'vs NY'!G240+'Gm 15'!G240+'Gm 16'!G240</f>
        <v>0</v>
      </c>
    </row>
    <row r="241" spans="1:7" ht="12">
      <c r="A241" t="s">
        <v>177</v>
      </c>
      <c r="B241" t="s">
        <v>184</v>
      </c>
      <c r="C241">
        <f>+'vs Bos'!C241+'vs Hou'!C241+'at Buf'!C241+'vs Bos(2)'!C241+'vs KC'!C241+'at Den'!C241+'at Oak'!C241+'vs Mia'!C241+'at KC'!C241+'vs Den'!C241+'vs Oak'!C241+'at Mia'!C241+'at Hou'!C241+'vs NY'!C241+'Gm 15'!C241+'Gm 16'!C241</f>
        <v>0</v>
      </c>
      <c r="D241">
        <f>+'vs Bos'!D241+'vs Hou'!D241+'at Buf'!D241+'vs Bos(2)'!D241+'vs KC'!D241+'at Den'!D241+'at Oak'!D241+'vs Mia'!D241+'at KC'!D241+'vs Den'!D241+'vs Oak'!D241+'at Mia'!D241+'at Hou'!D241+'vs NY'!D241+'Gm 15'!D241+'Gm 16'!D241</f>
        <v>0</v>
      </c>
      <c r="E241">
        <f>MAX('vs Bos'!E241,'vs Hou'!E241,'at Buf'!E241,'vs Bos(2)'!E241,'vs KC'!E241,'at Den'!E241,'at Oak'!E241,'vs Mia'!E241,'at KC'!E241,'vs Den'!E241,'vs Oak'!E241,'at Mia'!E241,'at Hou'!E241,'vs NY'!E241,'Gm 15'!E241,'Gm 16'!E241)</f>
        <v>0</v>
      </c>
      <c r="F241">
        <f>+'vs Bos'!F241+'vs Hou'!F241+'at Buf'!F241+'vs Bos(2)'!F241+'vs KC'!F241+'at Den'!F241+'at Oak'!F241+'vs Mia'!F241+'at KC'!F241+'vs Den'!F241+'vs Oak'!F241+'at Mia'!F241+'at Hou'!F241+'vs NY'!F241+'Gm 15'!F241+'Gm 16'!F241</f>
        <v>0</v>
      </c>
      <c r="G241">
        <f>+'vs Bos'!G241+'vs Hou'!G241+'at Buf'!G241+'vs Bos(2)'!G241+'vs KC'!G241+'at Den'!G241+'at Oak'!G241+'vs Mia'!G241+'at KC'!G241+'vs Den'!G241+'vs Oak'!G241+'at Mia'!G241+'at Hou'!G241+'vs NY'!G241+'Gm 15'!G241+'Gm 16'!G241</f>
        <v>0</v>
      </c>
    </row>
    <row r="242" spans="1:7" ht="12">
      <c r="A242" t="s">
        <v>178</v>
      </c>
      <c r="B242" t="s">
        <v>184</v>
      </c>
      <c r="C242">
        <f>+'vs Bos'!C242+'vs Hou'!C242+'at Buf'!C242+'vs Bos(2)'!C242+'vs KC'!C242+'at Den'!C242+'at Oak'!C242+'vs Mia'!C242+'at KC'!C242+'vs Den'!C242+'vs Oak'!C242+'at Mia'!C242+'at Hou'!C242+'vs NY'!C242+'Gm 15'!C242+'Gm 16'!C242</f>
        <v>1</v>
      </c>
      <c r="D242">
        <f>+'vs Bos'!D242+'vs Hou'!D242+'at Buf'!D242+'vs Bos(2)'!D242+'vs KC'!D242+'at Den'!D242+'at Oak'!D242+'vs Mia'!D242+'at KC'!D242+'vs Den'!D242+'vs Oak'!D242+'at Mia'!D242+'at Hou'!D242+'vs NY'!D242+'Gm 15'!D242+'Gm 16'!D242</f>
        <v>0</v>
      </c>
      <c r="E242">
        <f>MAX('vs Bos'!E242,'vs Hou'!E242,'at Buf'!E242,'vs Bos(2)'!E242,'vs KC'!E242,'at Den'!E242,'at Oak'!E242,'vs Mia'!E242,'at KC'!E242,'vs Den'!E242,'vs Oak'!E242,'at Mia'!E242,'at Hou'!E242,'vs NY'!E242,'Gm 15'!E242,'Gm 16'!E242)</f>
        <v>0</v>
      </c>
      <c r="F242">
        <f>+'vs Bos'!F242+'vs Hou'!F242+'at Buf'!F242+'vs Bos(2)'!F242+'vs KC'!F242+'at Den'!F242+'at Oak'!F242+'vs Mia'!F242+'at KC'!F242+'vs Den'!F242+'vs Oak'!F242+'at Mia'!F242+'at Hou'!F242+'vs NY'!F242+'Gm 15'!F242+'Gm 16'!F242</f>
        <v>0</v>
      </c>
      <c r="G242">
        <f>+'vs Bos'!G242+'vs Hou'!G242+'at Buf'!G242+'vs Bos(2)'!G242+'vs KC'!G242+'at Den'!G242+'at Oak'!G242+'vs Mia'!G242+'at KC'!G242+'vs Den'!G242+'vs Oak'!G242+'at Mia'!G242+'at Hou'!G242+'vs NY'!G242+'Gm 15'!G242+'Gm 16'!G242</f>
        <v>0</v>
      </c>
    </row>
    <row r="243" spans="1:7" ht="12">
      <c r="A243" t="s">
        <v>146</v>
      </c>
      <c r="B243" t="s">
        <v>184</v>
      </c>
      <c r="C243">
        <f>+'vs Bos'!C243+'vs Hou'!C243+'at Buf'!C243+'vs Bos(2)'!C243+'vs KC'!C243+'at Den'!C243+'at Oak'!C243+'vs Mia'!C243+'at KC'!C243+'vs Den'!C243+'vs Oak'!C243+'at Mia'!C243+'at Hou'!C243+'vs NY'!C243+'Gm 15'!C243+'Gm 16'!C243</f>
        <v>0</v>
      </c>
      <c r="D243">
        <f>+'vs Bos'!D243+'vs Hou'!D243+'at Buf'!D243+'vs Bos(2)'!D243+'vs KC'!D243+'at Den'!D243+'at Oak'!D243+'vs Mia'!D243+'at KC'!D243+'vs Den'!D243+'vs Oak'!D243+'at Mia'!D243+'at Hou'!D243+'vs NY'!D243+'Gm 15'!D243+'Gm 16'!D243</f>
        <v>0</v>
      </c>
      <c r="E243">
        <f>MAX('vs Bos'!E243,'vs Hou'!E243,'at Buf'!E243,'vs Bos(2)'!E243,'vs KC'!E243,'at Den'!E243,'at Oak'!E243,'vs Mia'!E243,'at KC'!E243,'vs Den'!E243,'vs Oak'!E243,'at Mia'!E243,'at Hou'!E243,'vs NY'!E243,'Gm 15'!E243,'Gm 16'!E243)</f>
        <v>0</v>
      </c>
      <c r="F243">
        <f>+'vs Bos'!F243+'vs Hou'!F243+'at Buf'!F243+'vs Bos(2)'!F243+'vs KC'!F243+'at Den'!F243+'at Oak'!F243+'vs Mia'!F243+'at KC'!F243+'vs Den'!F243+'vs Oak'!F243+'at Mia'!F243+'at Hou'!F243+'vs NY'!F243+'Gm 15'!F243+'Gm 16'!F243</f>
        <v>0</v>
      </c>
      <c r="G243">
        <f>+'vs Bos'!G243+'vs Hou'!G243+'at Buf'!G243+'vs Bos(2)'!G243+'vs KC'!G243+'at Den'!G243+'at Oak'!G243+'vs Mia'!G243+'at KC'!G243+'vs Den'!G243+'vs Oak'!G243+'at Mia'!G243+'at Hou'!G243+'vs NY'!G243+'Gm 15'!G243+'Gm 16'!G243</f>
        <v>0</v>
      </c>
    </row>
    <row r="244" spans="1:7" ht="12">
      <c r="A244" t="s">
        <v>179</v>
      </c>
      <c r="B244" t="s">
        <v>184</v>
      </c>
      <c r="C244">
        <f>+'vs Bos'!C244+'vs Hou'!C244+'at Buf'!C244+'vs Bos(2)'!C244+'vs KC'!C244+'at Den'!C244+'at Oak'!C244+'vs Mia'!C244+'at KC'!C244+'vs Den'!C244+'vs Oak'!C244+'at Mia'!C244+'at Hou'!C244+'vs NY'!C244+'Gm 15'!C244+'Gm 16'!C244</f>
        <v>0</v>
      </c>
      <c r="D244">
        <f>+'vs Bos'!D244+'vs Hou'!D244+'at Buf'!D244+'vs Bos(2)'!D244+'vs KC'!D244+'at Den'!D244+'at Oak'!D244+'vs Mia'!D244+'at KC'!D244+'vs Den'!D244+'vs Oak'!D244+'at Mia'!D244+'at Hou'!D244+'vs NY'!D244+'Gm 15'!D244+'Gm 16'!D244</f>
        <v>0</v>
      </c>
      <c r="E244">
        <f>MAX('vs Bos'!E244,'vs Hou'!E244,'at Buf'!E244,'vs Bos(2)'!E244,'vs KC'!E244,'at Den'!E244,'at Oak'!E244,'vs Mia'!E244,'at KC'!E244,'vs Den'!E244,'vs Oak'!E244,'at Mia'!E244,'at Hou'!E244,'vs NY'!E244,'Gm 15'!E244,'Gm 16'!E244)</f>
        <v>0</v>
      </c>
      <c r="F244">
        <f>+'vs Bos'!F244+'vs Hou'!F244+'at Buf'!F244+'vs Bos(2)'!F244+'vs KC'!F244+'at Den'!F244+'at Oak'!F244+'vs Mia'!F244+'at KC'!F244+'vs Den'!F244+'vs Oak'!F244+'at Mia'!F244+'at Hou'!F244+'vs NY'!F244+'Gm 15'!F244+'Gm 16'!F244</f>
        <v>0</v>
      </c>
      <c r="G244">
        <f>+'vs Bos'!G244+'vs Hou'!G244+'at Buf'!G244+'vs Bos(2)'!G244+'vs KC'!G244+'at Den'!G244+'at Oak'!G244+'vs Mia'!G244+'at KC'!G244+'vs Den'!G244+'vs Oak'!G244+'at Mia'!G244+'at Hou'!G244+'vs NY'!G244+'Gm 15'!G244+'Gm 16'!G244</f>
        <v>0</v>
      </c>
    </row>
    <row r="245" spans="1:7" ht="12">
      <c r="A245" t="s">
        <v>140</v>
      </c>
      <c r="B245" t="s">
        <v>184</v>
      </c>
      <c r="C245">
        <f>+'vs Bos'!C245+'vs Hou'!C245+'at Buf'!C245+'vs Bos(2)'!C245+'vs KC'!C245+'at Den'!C245+'at Oak'!C245+'vs Mia'!C245+'at KC'!C245+'vs Den'!C245+'vs Oak'!C245+'at Mia'!C245+'at Hou'!C245+'vs NY'!C245+'Gm 15'!C245+'Gm 16'!C245</f>
        <v>0</v>
      </c>
      <c r="D245">
        <f>+'vs Bos'!D245+'vs Hou'!D245+'at Buf'!D245+'vs Bos(2)'!D245+'vs KC'!D245+'at Den'!D245+'at Oak'!D245+'vs Mia'!D245+'at KC'!D245+'vs Den'!D245+'vs Oak'!D245+'at Mia'!D245+'at Hou'!D245+'vs NY'!D245+'Gm 15'!D245+'Gm 16'!D245</f>
        <v>0</v>
      </c>
      <c r="E245">
        <f>MAX('vs Bos'!E245,'vs Hou'!E245,'at Buf'!E245,'vs Bos(2)'!E245,'vs KC'!E245,'at Den'!E245,'at Oak'!E245,'vs Mia'!E245,'at KC'!E245,'vs Den'!E245,'vs Oak'!E245,'at Mia'!E245,'at Hou'!E245,'vs NY'!E245,'Gm 15'!E245,'Gm 16'!E245)</f>
        <v>0</v>
      </c>
      <c r="F245">
        <f>+'vs Bos'!F245+'vs Hou'!F245+'at Buf'!F245+'vs Bos(2)'!F245+'vs KC'!F245+'at Den'!F245+'at Oak'!F245+'vs Mia'!F245+'at KC'!F245+'vs Den'!F245+'vs Oak'!F245+'at Mia'!F245+'at Hou'!F245+'vs NY'!F245+'Gm 15'!F245+'Gm 16'!F245</f>
        <v>0</v>
      </c>
      <c r="G245">
        <f>+'vs Bos'!G245+'vs Hou'!G245+'at Buf'!G245+'vs Bos(2)'!G245+'vs KC'!G245+'at Den'!G245+'at Oak'!G245+'vs Mia'!G245+'at KC'!G245+'vs Den'!G245+'vs Oak'!G245+'at Mia'!G245+'at Hou'!G245+'vs NY'!G245+'Gm 15'!G245+'Gm 16'!G245</f>
        <v>0</v>
      </c>
    </row>
    <row r="246" spans="1:7" ht="12">
      <c r="A246" t="s">
        <v>180</v>
      </c>
      <c r="B246" t="s">
        <v>184</v>
      </c>
      <c r="C246">
        <f>+'vs Bos'!C246+'vs Hou'!C246+'at Buf'!C246+'vs Bos(2)'!C246+'vs KC'!C246+'at Den'!C246+'at Oak'!C246+'vs Mia'!C246+'at KC'!C246+'vs Den'!C246+'vs Oak'!C246+'at Mia'!C246+'at Hou'!C246+'vs NY'!C246+'Gm 15'!C246+'Gm 16'!C246</f>
        <v>0</v>
      </c>
      <c r="D246">
        <f>+'vs Bos'!D246+'vs Hou'!D246+'at Buf'!D246+'vs Bos(2)'!D246+'vs KC'!D246+'at Den'!D246+'at Oak'!D246+'vs Mia'!D246+'at KC'!D246+'vs Den'!D246+'vs Oak'!D246+'at Mia'!D246+'at Hou'!D246+'vs NY'!D246+'Gm 15'!D246+'Gm 16'!D246</f>
        <v>0</v>
      </c>
      <c r="E246">
        <f>MAX('vs Bos'!E246,'vs Hou'!E246,'at Buf'!E246,'vs Bos(2)'!E246,'vs KC'!E246,'at Den'!E246,'at Oak'!E246,'vs Mia'!E246,'at KC'!E246,'vs Den'!E246,'vs Oak'!E246,'at Mia'!E246,'at Hou'!E246,'vs NY'!E246,'Gm 15'!E246,'Gm 16'!E246)</f>
        <v>0</v>
      </c>
      <c r="F246">
        <f>+'vs Bos'!F246+'vs Hou'!F246+'at Buf'!F246+'vs Bos(2)'!F246+'vs KC'!F246+'at Den'!F246+'at Oak'!F246+'vs Mia'!F246+'at KC'!F246+'vs Den'!F246+'vs Oak'!F246+'at Mia'!F246+'at Hou'!F246+'vs NY'!F246+'Gm 15'!F246+'Gm 16'!F246</f>
        <v>0</v>
      </c>
      <c r="G246">
        <f>+'vs Bos'!G246+'vs Hou'!G246+'at Buf'!G246+'vs Bos(2)'!G246+'vs KC'!G246+'at Den'!G246+'at Oak'!G246+'vs Mia'!G246+'at KC'!G246+'vs Den'!G246+'vs Oak'!G246+'at Mia'!G246+'at Hou'!G246+'vs NY'!G246+'Gm 15'!G246+'Gm 16'!G246</f>
        <v>0</v>
      </c>
    </row>
    <row r="247" spans="1:7" ht="12">
      <c r="A247" t="s">
        <v>181</v>
      </c>
      <c r="B247" t="s">
        <v>184</v>
      </c>
      <c r="C247">
        <f>+'vs Bos'!C247+'vs Hou'!C247+'at Buf'!C247+'vs Bos(2)'!C247+'vs KC'!C247+'at Den'!C247+'at Oak'!C247+'vs Mia'!C247+'at KC'!C247+'vs Den'!C247+'vs Oak'!C247+'at Mia'!C247+'at Hou'!C247+'vs NY'!C247+'Gm 15'!C247+'Gm 16'!C247</f>
        <v>0</v>
      </c>
      <c r="D247">
        <f>+'vs Bos'!D247+'vs Hou'!D247+'at Buf'!D247+'vs Bos(2)'!D247+'vs KC'!D247+'at Den'!D247+'at Oak'!D247+'vs Mia'!D247+'at KC'!D247+'vs Den'!D247+'vs Oak'!D247+'at Mia'!D247+'at Hou'!D247+'vs NY'!D247+'Gm 15'!D247+'Gm 16'!D247</f>
        <v>0</v>
      </c>
      <c r="E247">
        <f>MAX('vs Bos'!E247,'vs Hou'!E247,'at Buf'!E247,'vs Bos(2)'!E247,'vs KC'!E247,'at Den'!E247,'at Oak'!E247,'vs Mia'!E247,'at KC'!E247,'vs Den'!E247,'vs Oak'!E247,'at Mia'!E247,'at Hou'!E247,'vs NY'!E247,'Gm 15'!E247,'Gm 16'!E247)</f>
        <v>0</v>
      </c>
      <c r="F247">
        <f>+'vs Bos'!F247+'vs Hou'!F247+'at Buf'!F247+'vs Bos(2)'!F247+'vs KC'!F247+'at Den'!F247+'at Oak'!F247+'vs Mia'!F247+'at KC'!F247+'vs Den'!F247+'vs Oak'!F247+'at Mia'!F247+'at Hou'!F247+'vs NY'!F247+'Gm 15'!F247+'Gm 16'!F247</f>
        <v>0</v>
      </c>
      <c r="G247">
        <f>+'vs Bos'!G247+'vs Hou'!G247+'at Buf'!G247+'vs Bos(2)'!G247+'vs KC'!G247+'at Den'!G247+'at Oak'!G247+'vs Mia'!G247+'at KC'!G247+'vs Den'!G247+'vs Oak'!G247+'at Mia'!G247+'at Hou'!G247+'vs NY'!G247+'Gm 15'!G247+'Gm 16'!G247</f>
        <v>0</v>
      </c>
    </row>
    <row r="248" spans="1:7" ht="12">
      <c r="A248" t="s">
        <v>141</v>
      </c>
      <c r="B248" t="s">
        <v>184</v>
      </c>
      <c r="C248">
        <f>+'vs Bos'!C248+'vs Hou'!C248+'at Buf'!C248+'vs Bos(2)'!C248+'vs KC'!C248+'at Den'!C248+'at Oak'!C248+'vs Mia'!C248+'at KC'!C248+'vs Den'!C248+'vs Oak'!C248+'at Mia'!C248+'at Hou'!C248+'vs NY'!C248+'Gm 15'!C248+'Gm 16'!C248</f>
        <v>0</v>
      </c>
      <c r="D248">
        <f>+'vs Bos'!D248+'vs Hou'!D248+'at Buf'!D248+'vs Bos(2)'!D248+'vs KC'!D248+'at Den'!D248+'at Oak'!D248+'vs Mia'!D248+'at KC'!D248+'vs Den'!D248+'vs Oak'!D248+'at Mia'!D248+'at Hou'!D248+'vs NY'!D248+'Gm 15'!D248+'Gm 16'!D248</f>
        <v>0</v>
      </c>
      <c r="E248">
        <f>MAX('vs Bos'!E248,'vs Hou'!E248,'at Buf'!E248,'vs Bos(2)'!E248,'vs KC'!E248,'at Den'!E248,'at Oak'!E248,'vs Mia'!E248,'at KC'!E248,'vs Den'!E248,'vs Oak'!E248,'at Mia'!E248,'at Hou'!E248,'vs NY'!E248,'Gm 15'!E248,'Gm 16'!E248)</f>
        <v>0</v>
      </c>
      <c r="F248">
        <f>+'vs Bos'!F248+'vs Hou'!F248+'at Buf'!F248+'vs Bos(2)'!F248+'vs KC'!F248+'at Den'!F248+'at Oak'!F248+'vs Mia'!F248+'at KC'!F248+'vs Den'!F248+'vs Oak'!F248+'at Mia'!F248+'at Hou'!F248+'vs NY'!F248+'Gm 15'!F248+'Gm 16'!F248</f>
        <v>0</v>
      </c>
      <c r="G248">
        <f>+'vs Bos'!G248+'vs Hou'!G248+'at Buf'!G248+'vs Bos(2)'!G248+'vs KC'!G248+'at Den'!G248+'at Oak'!G248+'vs Mia'!G248+'at KC'!G248+'vs Den'!G248+'vs Oak'!G248+'at Mia'!G248+'at Hou'!G248+'vs NY'!G248+'Gm 15'!G248+'Gm 16'!G248</f>
        <v>0</v>
      </c>
    </row>
    <row r="249" spans="1:7" ht="12">
      <c r="A249" t="s">
        <v>163</v>
      </c>
      <c r="B249" t="s">
        <v>184</v>
      </c>
      <c r="C249">
        <f>+'vs Bos'!C249+'vs Hou'!C249+'at Buf'!C249+'vs Bos(2)'!C249+'vs KC'!C249+'at Den'!C249+'at Oak'!C249+'vs Mia'!C249+'at KC'!C249+'vs Den'!C249+'vs Oak'!C249+'at Mia'!C249+'at Hou'!C249+'vs NY'!C249+'Gm 15'!C249+'Gm 16'!C249</f>
        <v>1</v>
      </c>
      <c r="D249">
        <f>+'vs Bos'!D249+'vs Hou'!D249+'at Buf'!D249+'vs Bos(2)'!D249+'vs KC'!D249+'at Den'!D249+'at Oak'!D249+'vs Mia'!D249+'at KC'!D249+'vs Den'!D249+'vs Oak'!D249+'at Mia'!D249+'at Hou'!D249+'vs NY'!D249+'Gm 15'!D249+'Gm 16'!D249</f>
        <v>0</v>
      </c>
      <c r="E249">
        <f>MAX('vs Bos'!E249,'vs Hou'!E249,'at Buf'!E249,'vs Bos(2)'!E249,'vs KC'!E249,'at Den'!E249,'at Oak'!E249,'vs Mia'!E249,'at KC'!E249,'vs Den'!E249,'vs Oak'!E249,'at Mia'!E249,'at Hou'!E249,'vs NY'!E249,'Gm 15'!E249,'Gm 16'!E249)</f>
        <v>0</v>
      </c>
      <c r="F249">
        <f>+'vs Bos'!F249+'vs Hou'!F249+'at Buf'!F249+'vs Bos(2)'!F249+'vs KC'!F249+'at Den'!F249+'at Oak'!F249+'vs Mia'!F249+'at KC'!F249+'vs Den'!F249+'vs Oak'!F249+'at Mia'!F249+'at Hou'!F249+'vs NY'!F249+'Gm 15'!F249+'Gm 16'!F249</f>
        <v>0</v>
      </c>
      <c r="G249">
        <f>+'vs Bos'!G249+'vs Hou'!G249+'at Buf'!G249+'vs Bos(2)'!G249+'vs KC'!G249+'at Den'!G249+'at Oak'!G249+'vs Mia'!G249+'at KC'!G249+'vs Den'!G249+'vs Oak'!G249+'at Mia'!G249+'at Hou'!G249+'vs NY'!G249+'Gm 15'!G249+'Gm 16'!G249</f>
        <v>0</v>
      </c>
    </row>
    <row r="250" spans="1:7" ht="12">
      <c r="A250" t="s">
        <v>142</v>
      </c>
      <c r="B250" t="s">
        <v>184</v>
      </c>
      <c r="C250">
        <f>+'vs Bos'!C250+'vs Hou'!C250+'at Buf'!C250+'vs Bos(2)'!C250+'vs KC'!C250+'at Den'!C250+'at Oak'!C250+'vs Mia'!C250+'at KC'!C250+'vs Den'!C250+'vs Oak'!C250+'at Mia'!C250+'at Hou'!C250+'vs NY'!C250+'Gm 15'!C250+'Gm 16'!C250</f>
        <v>0</v>
      </c>
      <c r="D250">
        <f>+'vs Bos'!D250+'vs Hou'!D250+'at Buf'!D250+'vs Bos(2)'!D250+'vs KC'!D250+'at Den'!D250+'at Oak'!D250+'vs Mia'!D250+'at KC'!D250+'vs Den'!D250+'vs Oak'!D250+'at Mia'!D250+'at Hou'!D250+'vs NY'!D250+'Gm 15'!D250+'Gm 16'!D250</f>
        <v>0</v>
      </c>
      <c r="E250">
        <f>MAX('vs Bos'!E250,'vs Hou'!E250,'at Buf'!E250,'vs Bos(2)'!E250,'vs KC'!E250,'at Den'!E250,'at Oak'!E250,'vs Mia'!E250,'at KC'!E250,'vs Den'!E250,'vs Oak'!E250,'at Mia'!E250,'at Hou'!E250,'vs NY'!E250,'Gm 15'!E250,'Gm 16'!E250)</f>
        <v>0</v>
      </c>
      <c r="F250">
        <f>+'vs Bos'!F250+'vs Hou'!F250+'at Buf'!F250+'vs Bos(2)'!F250+'vs KC'!F250+'at Den'!F250+'at Oak'!F250+'vs Mia'!F250+'at KC'!F250+'vs Den'!F250+'vs Oak'!F250+'at Mia'!F250+'at Hou'!F250+'vs NY'!F250+'Gm 15'!F250+'Gm 16'!F250</f>
        <v>0</v>
      </c>
      <c r="G250">
        <f>+'vs Bos'!G250+'vs Hou'!G250+'at Buf'!G250+'vs Bos(2)'!G250+'vs KC'!G250+'at Den'!G250+'at Oak'!G250+'vs Mia'!G250+'at KC'!G250+'vs Den'!G250+'vs Oak'!G250+'at Mia'!G250+'at Hou'!G250+'vs NY'!G250+'Gm 15'!G250+'Gm 16'!G250</f>
        <v>0</v>
      </c>
    </row>
    <row r="251" spans="1:7" ht="12">
      <c r="A251" t="s">
        <v>164</v>
      </c>
      <c r="B251" t="s">
        <v>184</v>
      </c>
      <c r="C251">
        <f>+'vs Bos'!C251+'vs Hou'!C251+'at Buf'!C251+'vs Bos(2)'!C251+'vs KC'!C251+'at Den'!C251+'at Oak'!C251+'vs Mia'!C251+'at KC'!C251+'vs Den'!C251+'vs Oak'!C251+'at Mia'!C251+'at Hou'!C251+'vs NY'!C251+'Gm 15'!C251+'Gm 16'!C251</f>
        <v>0</v>
      </c>
      <c r="D251">
        <f>+'vs Bos'!D251+'vs Hou'!D251+'at Buf'!D251+'vs Bos(2)'!D251+'vs KC'!D251+'at Den'!D251+'at Oak'!D251+'vs Mia'!D251+'at KC'!D251+'vs Den'!D251+'vs Oak'!D251+'at Mia'!D251+'at Hou'!D251+'vs NY'!D251+'Gm 15'!D251+'Gm 16'!D251</f>
        <v>0</v>
      </c>
      <c r="E251">
        <f>MAX('vs Bos'!E251,'vs Hou'!E251,'at Buf'!E251,'vs Bos(2)'!E251,'vs KC'!E251,'at Den'!E251,'at Oak'!E251,'vs Mia'!E251,'at KC'!E251,'vs Den'!E251,'vs Oak'!E251,'at Mia'!E251,'at Hou'!E251,'vs NY'!E251,'Gm 15'!E251,'Gm 16'!E251)</f>
        <v>0</v>
      </c>
      <c r="F251">
        <f>+'vs Bos'!F251+'vs Hou'!F251+'at Buf'!F251+'vs Bos(2)'!F251+'vs KC'!F251+'at Den'!F251+'at Oak'!F251+'vs Mia'!F251+'at KC'!F251+'vs Den'!F251+'vs Oak'!F251+'at Mia'!F251+'at Hou'!F251+'vs NY'!F251+'Gm 15'!F251+'Gm 16'!F251</f>
        <v>0</v>
      </c>
      <c r="G251">
        <f>+'vs Bos'!G251+'vs Hou'!G251+'at Buf'!G251+'vs Bos(2)'!G251+'vs KC'!G251+'at Den'!G251+'at Oak'!G251+'vs Mia'!G251+'at KC'!G251+'vs Den'!G251+'vs Oak'!G251+'at Mia'!G251+'at Hou'!G251+'vs NY'!G251+'Gm 15'!G251+'Gm 16'!G251</f>
        <v>0</v>
      </c>
    </row>
    <row r="252" spans="1:7" ht="12">
      <c r="A252" t="s">
        <v>143</v>
      </c>
      <c r="B252" t="s">
        <v>184</v>
      </c>
      <c r="C252">
        <f>+'vs Bos'!C252+'vs Hou'!C252+'at Buf'!C252+'vs Bos(2)'!C252+'vs KC'!C252+'at Den'!C252+'at Oak'!C252+'vs Mia'!C252+'at KC'!C252+'vs Den'!C252+'vs Oak'!C252+'at Mia'!C252+'at Hou'!C252+'vs NY'!C252+'Gm 15'!C252+'Gm 16'!C252</f>
        <v>0</v>
      </c>
      <c r="D252">
        <f>+'vs Bos'!D252+'vs Hou'!D252+'at Buf'!D252+'vs Bos(2)'!D252+'vs KC'!D252+'at Den'!D252+'at Oak'!D252+'vs Mia'!D252+'at KC'!D252+'vs Den'!D252+'vs Oak'!D252+'at Mia'!D252+'at Hou'!D252+'vs NY'!D252+'Gm 15'!D252+'Gm 16'!D252</f>
        <v>0</v>
      </c>
      <c r="E252">
        <f>MAX('vs Bos'!E252,'vs Hou'!E252,'at Buf'!E252,'vs Bos(2)'!E252,'vs KC'!E252,'at Den'!E252,'at Oak'!E252,'vs Mia'!E252,'at KC'!E252,'vs Den'!E252,'vs Oak'!E252,'at Mia'!E252,'at Hou'!E252,'vs NY'!E252,'Gm 15'!E252,'Gm 16'!E252)</f>
        <v>0</v>
      </c>
      <c r="F252">
        <f>+'vs Bos'!F252+'vs Hou'!F252+'at Buf'!F252+'vs Bos(2)'!F252+'vs KC'!F252+'at Den'!F252+'at Oak'!F252+'vs Mia'!F252+'at KC'!F252+'vs Den'!F252+'vs Oak'!F252+'at Mia'!F252+'at Hou'!F252+'vs NY'!F252+'Gm 15'!F252+'Gm 16'!F252</f>
        <v>0</v>
      </c>
      <c r="G252">
        <f>+'vs Bos'!G252+'vs Hou'!G252+'at Buf'!G252+'vs Bos(2)'!G252+'vs KC'!G252+'at Den'!G252+'at Oak'!G252+'vs Mia'!G252+'at KC'!G252+'vs Den'!G252+'vs Oak'!G252+'at Mia'!G252+'at Hou'!G252+'vs NY'!G252+'Gm 15'!G252+'Gm 16'!G252</f>
        <v>0</v>
      </c>
    </row>
    <row r="253" spans="1:7" ht="12">
      <c r="A253" t="s">
        <v>182</v>
      </c>
      <c r="B253" t="s">
        <v>184</v>
      </c>
      <c r="C253">
        <f>+'vs Bos'!C253+'vs Hou'!C253+'at Buf'!C253+'vs Bos(2)'!C253+'vs KC'!C253+'at Den'!C253+'at Oak'!C253+'vs Mia'!C253+'at KC'!C253+'vs Den'!C253+'vs Oak'!C253+'at Mia'!C253+'at Hou'!C253+'vs NY'!C253+'Gm 15'!C253+'Gm 16'!C253</f>
        <v>2</v>
      </c>
      <c r="D253">
        <f>+'vs Bos'!D253+'vs Hou'!D253+'at Buf'!D253+'vs Bos(2)'!D253+'vs KC'!D253+'at Den'!D253+'at Oak'!D253+'vs Mia'!D253+'at KC'!D253+'vs Den'!D253+'vs Oak'!D253+'at Mia'!D253+'at Hou'!D253+'vs NY'!D253+'Gm 15'!D253+'Gm 16'!D253</f>
        <v>0</v>
      </c>
      <c r="E253">
        <f>MAX('vs Bos'!E253,'vs Hou'!E253,'at Buf'!E253,'vs Bos(2)'!E253,'vs KC'!E253,'at Den'!E253,'at Oak'!E253,'vs Mia'!E253,'at KC'!E253,'vs Den'!E253,'vs Oak'!E253,'at Mia'!E253,'at Hou'!E253,'vs NY'!E253,'Gm 15'!E253,'Gm 16'!E253)</f>
        <v>0</v>
      </c>
      <c r="F253">
        <f>+'vs Bos'!F253+'vs Hou'!F253+'at Buf'!F253+'vs Bos(2)'!F253+'vs KC'!F253+'at Den'!F253+'at Oak'!F253+'vs Mia'!F253+'at KC'!F253+'vs Den'!F253+'vs Oak'!F253+'at Mia'!F253+'at Hou'!F253+'vs NY'!F253+'Gm 15'!F253+'Gm 16'!F253</f>
        <v>0</v>
      </c>
      <c r="G253">
        <f>+'vs Bos'!G253+'vs Hou'!G253+'at Buf'!G253+'vs Bos(2)'!G253+'vs KC'!G253+'at Den'!G253+'at Oak'!G253+'vs Mia'!G253+'at KC'!G253+'vs Den'!G253+'vs Oak'!G253+'at Mia'!G253+'at Hou'!G253+'vs NY'!G253+'Gm 15'!G253+'Gm 16'!G253</f>
        <v>0</v>
      </c>
    </row>
    <row r="254" spans="1:7" ht="12">
      <c r="A254" t="s">
        <v>151</v>
      </c>
      <c r="B254" t="s">
        <v>184</v>
      </c>
      <c r="C254">
        <f>+'vs Bos'!C254+'vs Hou'!C254+'at Buf'!C254+'vs Bos(2)'!C254+'vs KC'!C254+'at Den'!C254+'at Oak'!C254+'vs Mia'!C254+'at KC'!C254+'vs Den'!C254+'vs Oak'!C254+'at Mia'!C254+'at Hou'!C254+'vs NY'!C254+'Gm 15'!C254+'Gm 16'!C254</f>
        <v>1</v>
      </c>
      <c r="D254">
        <f>+'vs Bos'!D254+'vs Hou'!D254+'at Buf'!D254+'vs Bos(2)'!D254+'vs KC'!D254+'at Den'!D254+'at Oak'!D254+'vs Mia'!D254+'at KC'!D254+'vs Den'!D254+'vs Oak'!D254+'at Mia'!D254+'at Hou'!D254+'vs NY'!D254+'Gm 15'!D254+'Gm 16'!D254</f>
        <v>0</v>
      </c>
      <c r="E254">
        <f>MAX('vs Bos'!E254,'vs Hou'!E254,'at Buf'!E254,'vs Bos(2)'!E254,'vs KC'!E254,'at Den'!E254,'at Oak'!E254,'vs Mia'!E254,'at KC'!E254,'vs Den'!E254,'vs Oak'!E254,'at Mia'!E254,'at Hou'!E254,'vs NY'!E254,'Gm 15'!E254,'Gm 16'!E254)</f>
        <v>0</v>
      </c>
      <c r="F254">
        <f>+'vs Bos'!F254+'vs Hou'!F254+'at Buf'!F254+'vs Bos(2)'!F254+'vs KC'!F254+'at Den'!F254+'at Oak'!F254+'vs Mia'!F254+'at KC'!F254+'vs Den'!F254+'vs Oak'!F254+'at Mia'!F254+'at Hou'!F254+'vs NY'!F254+'Gm 15'!F254+'Gm 16'!F254</f>
        <v>0</v>
      </c>
      <c r="G254">
        <f>+'vs Bos'!G254+'vs Hou'!G254+'at Buf'!G254+'vs Bos(2)'!G254+'vs KC'!G254+'at Den'!G254+'at Oak'!G254+'vs Mia'!G254+'at KC'!G254+'vs Den'!G254+'vs Oak'!G254+'at Mia'!G254+'at Hou'!G254+'vs NY'!G254+'Gm 15'!G254+'Gm 16'!G254</f>
        <v>0</v>
      </c>
    </row>
    <row r="255" spans="1:7" ht="12">
      <c r="A255" t="s">
        <v>153</v>
      </c>
      <c r="B255" t="s">
        <v>184</v>
      </c>
      <c r="C255">
        <f>+'vs Bos'!C255+'vs Hou'!C255+'at Buf'!C255+'vs Bos(2)'!C255+'vs KC'!C255+'at Den'!C255+'at Oak'!C255+'vs Mia'!C255+'at KC'!C255+'vs Den'!C255+'vs Oak'!C255+'at Mia'!C255+'at Hou'!C255+'vs NY'!C255+'Gm 15'!C255+'Gm 16'!C255</f>
        <v>0</v>
      </c>
      <c r="D255">
        <f>+'vs Bos'!D255+'vs Hou'!D255+'at Buf'!D255+'vs Bos(2)'!D255+'vs KC'!D255+'at Den'!D255+'at Oak'!D255+'vs Mia'!D255+'at KC'!D255+'vs Den'!D255+'vs Oak'!D255+'at Mia'!D255+'at Hou'!D255+'vs NY'!D255+'Gm 15'!D255+'Gm 16'!D255</f>
        <v>0</v>
      </c>
      <c r="E255">
        <f>MAX('vs Bos'!E255,'vs Hou'!E255,'at Buf'!E255,'vs Bos(2)'!E255,'vs KC'!E255,'at Den'!E255,'at Oak'!E255,'vs Mia'!E255,'at KC'!E255,'vs Den'!E255,'vs Oak'!E255,'at Mia'!E255,'at Hou'!E255,'vs NY'!E255,'Gm 15'!E255,'Gm 16'!E255)</f>
        <v>0</v>
      </c>
      <c r="F255">
        <f>+'vs Bos'!F255+'vs Hou'!F255+'at Buf'!F255+'vs Bos(2)'!F255+'vs KC'!F255+'at Den'!F255+'at Oak'!F255+'vs Mia'!F255+'at KC'!F255+'vs Den'!F255+'vs Oak'!F255+'at Mia'!F255+'at Hou'!F255+'vs NY'!F255+'Gm 15'!F255+'Gm 16'!F255</f>
        <v>0</v>
      </c>
      <c r="G255">
        <f>+'vs Bos'!G255+'vs Hou'!G255+'at Buf'!G255+'vs Bos(2)'!G255+'vs KC'!G255+'at Den'!G255+'at Oak'!G255+'vs Mia'!G255+'at KC'!G255+'vs Den'!G255+'vs Oak'!G255+'at Mia'!G255+'at Hou'!G255+'vs NY'!G255+'Gm 15'!G255+'Gm 16'!G255</f>
        <v>0</v>
      </c>
    </row>
    <row r="256" spans="1:7" ht="12">
      <c r="A256" t="s">
        <v>147</v>
      </c>
      <c r="B256" t="s">
        <v>184</v>
      </c>
      <c r="C256">
        <f>+'vs Bos'!C256+'vs Hou'!C256+'at Buf'!C256+'vs Bos(2)'!C256+'vs KC'!C256+'at Den'!C256+'at Oak'!C256+'vs Mia'!C256+'at KC'!C256+'vs Den'!C256+'vs Oak'!C256+'at Mia'!C256+'at Hou'!C256+'vs NY'!C256+'Gm 15'!C256+'Gm 16'!C256</f>
        <v>0</v>
      </c>
      <c r="D256">
        <f>+'vs Bos'!D256+'vs Hou'!D256+'at Buf'!D256+'vs Bos(2)'!D256+'vs KC'!D256+'at Den'!D256+'at Oak'!D256+'vs Mia'!D256+'at KC'!D256+'vs Den'!D256+'vs Oak'!D256+'at Mia'!D256+'at Hou'!D256+'vs NY'!D256+'Gm 15'!D256+'Gm 16'!D256</f>
        <v>0</v>
      </c>
      <c r="E256">
        <f>MAX('vs Bos'!E256,'vs Hou'!E256,'at Buf'!E256,'vs Bos(2)'!E256,'vs KC'!E256,'at Den'!E256,'at Oak'!E256,'vs Mia'!E256,'at KC'!E256,'vs Den'!E256,'vs Oak'!E256,'at Mia'!E256,'at Hou'!E256,'vs NY'!E256,'Gm 15'!E256,'Gm 16'!E256)</f>
        <v>0</v>
      </c>
      <c r="F256">
        <f>+'vs Bos'!F256+'vs Hou'!F256+'at Buf'!F256+'vs Bos(2)'!F256+'vs KC'!F256+'at Den'!F256+'at Oak'!F256+'vs Mia'!F256+'at KC'!F256+'vs Den'!F256+'vs Oak'!F256+'at Mia'!F256+'at Hou'!F256+'vs NY'!F256+'Gm 15'!F256+'Gm 16'!F256</f>
        <v>0</v>
      </c>
      <c r="G256">
        <f>+'vs Bos'!G256+'vs Hou'!G256+'at Buf'!G256+'vs Bos(2)'!G256+'vs KC'!G256+'at Den'!G256+'at Oak'!G256+'vs Mia'!G256+'at KC'!G256+'vs Den'!G256+'vs Oak'!G256+'at Mia'!G256+'at Hou'!G256+'vs NY'!G256+'Gm 15'!G256+'Gm 16'!G256</f>
        <v>0</v>
      </c>
    </row>
    <row r="257" spans="1:7" ht="12">
      <c r="A257" t="s">
        <v>183</v>
      </c>
      <c r="B257" t="s">
        <v>184</v>
      </c>
      <c r="C257">
        <f>+'vs Bos'!C257+'vs Hou'!C257+'at Buf'!C257+'vs Bos(2)'!C257+'vs KC'!C257+'at Den'!C257+'at Oak'!C257+'vs Mia'!C257+'at KC'!C257+'vs Den'!C257+'vs Oak'!C257+'at Mia'!C257+'at Hou'!C257+'vs NY'!C257+'Gm 15'!C257+'Gm 16'!C257</f>
        <v>0</v>
      </c>
      <c r="D257">
        <f>+'vs Bos'!D257+'vs Hou'!D257+'at Buf'!D257+'vs Bos(2)'!D257+'vs KC'!D257+'at Den'!D257+'at Oak'!D257+'vs Mia'!D257+'at KC'!D257+'vs Den'!D257+'vs Oak'!D257+'at Mia'!D257+'at Hou'!D257+'vs NY'!D257+'Gm 15'!D257+'Gm 16'!D257</f>
        <v>0</v>
      </c>
      <c r="E257">
        <f>MAX('vs Bos'!E257,'vs Hou'!E257,'at Buf'!E257,'vs Bos(2)'!E257,'vs KC'!E257,'at Den'!E257,'at Oak'!E257,'vs Mia'!E257,'at KC'!E257,'vs Den'!E257,'vs Oak'!E257,'at Mia'!E257,'at Hou'!E257,'vs NY'!E257,'Gm 15'!E257,'Gm 16'!E257)</f>
        <v>0</v>
      </c>
      <c r="F257">
        <f>+'vs Bos'!F257+'vs Hou'!F257+'at Buf'!F257+'vs Bos(2)'!F257+'vs KC'!F257+'at Den'!F257+'at Oak'!F257+'vs Mia'!F257+'at KC'!F257+'vs Den'!F257+'vs Oak'!F257+'at Mia'!F257+'at Hou'!F257+'vs NY'!F257+'Gm 15'!F257+'Gm 16'!F257</f>
        <v>0</v>
      </c>
      <c r="G257">
        <f>+'vs Bos'!G257+'vs Hou'!G257+'at Buf'!G257+'vs Bos(2)'!G257+'vs KC'!G257+'at Den'!G257+'at Oak'!G257+'vs Mia'!G257+'at KC'!G257+'vs Den'!G257+'vs Oak'!G257+'at Mia'!G257+'at Hou'!G257+'vs NY'!G257+'Gm 15'!G257+'Gm 16'!G257</f>
        <v>0</v>
      </c>
    </row>
    <row r="258" spans="3:7" ht="12">
      <c r="C258">
        <f>+'vs Bos'!C258+'vs Hou'!C258+'at Buf'!C258+'vs Bos(2)'!C258+'vs KC'!C258+'at Den'!C258+'at Oak'!C258+'vs Mia'!C258+'at KC'!C258+'vs Den'!C258+'vs Oak'!C258+'at Mia'!C258+'at Hou'!C258+'vs NY'!C258+'Gm 15'!C258+'Gm 16'!C258</f>
        <v>0</v>
      </c>
      <c r="D258">
        <f>+'vs Bos'!D258+'vs Hou'!D258+'at Buf'!D258+'vs Bos(2)'!D258+'vs KC'!D258+'at Den'!D258+'at Oak'!D258+'vs Mia'!D258+'at KC'!D258+'vs Den'!D258+'vs Oak'!D258+'at Mia'!D258+'at Hou'!D258+'vs NY'!D258+'Gm 15'!D258+'Gm 16'!D258</f>
        <v>0</v>
      </c>
      <c r="E258">
        <f>MAX('vs Bos'!E258,'vs Hou'!E258,'at Buf'!E258,'vs Bos(2)'!E258,'vs KC'!E258,'at Den'!E258,'at Oak'!E258,'vs Mia'!E258,'at KC'!E258,'vs Den'!E258,'vs Oak'!E258,'at Mia'!E258,'at Hou'!E258,'vs NY'!E258,'Gm 15'!E258,'Gm 16'!E258)</f>
        <v>0</v>
      </c>
      <c r="F258">
        <f>+'vs Bos'!F258+'vs Hou'!F258+'at Buf'!F258+'vs Bos(2)'!F258+'vs KC'!F258+'at Den'!F258+'at Oak'!F258+'vs Mia'!F258+'at KC'!F258+'vs Den'!F258+'vs Oak'!F258+'at Mia'!F258+'at Hou'!F258+'vs NY'!F258+'Gm 15'!F258+'Gm 16'!F258</f>
        <v>0</v>
      </c>
      <c r="G258">
        <f>+'vs Bos'!G258+'vs Hou'!G258+'at Buf'!G258+'vs Bos(2)'!G258+'vs KC'!G258+'at Den'!G258+'at Oak'!G258+'vs Mia'!G258+'at KC'!G258+'vs Den'!G258+'vs Oak'!G258+'at Mia'!G258+'at Hou'!G258+'vs NY'!G258+'Gm 15'!G258+'Gm 16'!G258</f>
        <v>0</v>
      </c>
    </row>
    <row r="259" spans="3:7" ht="12">
      <c r="C259">
        <f>+'vs Bos'!C259+'vs Hou'!C259+'at Buf'!C259+'vs Bos(2)'!C259+'vs KC'!C259+'at Den'!C259+'at Oak'!C259+'vs Mia'!C259+'at KC'!C259+'vs Den'!C259+'vs Oak'!C259+'at Mia'!C259+'at Hou'!C259+'vs NY'!C259+'Gm 15'!C259+'Gm 16'!C259</f>
        <v>0</v>
      </c>
      <c r="D259">
        <f>+'vs Bos'!D259+'vs Hou'!D259+'at Buf'!D259+'vs Bos(2)'!D259+'vs KC'!D259+'at Den'!D259+'at Oak'!D259+'vs Mia'!D259+'at KC'!D259+'vs Den'!D259+'vs Oak'!D259+'at Mia'!D259+'at Hou'!D259+'vs NY'!D259+'Gm 15'!D259+'Gm 16'!D259</f>
        <v>0</v>
      </c>
      <c r="E259">
        <f>MAX('vs Bos'!E259,'vs Hou'!E259,'at Buf'!E259,'vs Bos(2)'!E259,'vs KC'!E259,'at Den'!E259,'at Oak'!E259,'vs Mia'!E259,'at KC'!E259,'vs Den'!E259,'vs Oak'!E259,'at Mia'!E259,'at Hou'!E259,'vs NY'!E259,'Gm 15'!E259,'Gm 16'!E259)</f>
        <v>0</v>
      </c>
      <c r="F259">
        <f>+'vs Bos'!F259+'vs Hou'!F259+'at Buf'!F259+'vs Bos(2)'!F259+'vs KC'!F259+'at Den'!F259+'at Oak'!F259+'vs Mia'!F259+'at KC'!F259+'vs Den'!F259+'vs Oak'!F259+'at Mia'!F259+'at Hou'!F259+'vs NY'!F259+'Gm 15'!F259+'Gm 16'!F259</f>
        <v>0</v>
      </c>
      <c r="G259">
        <f>+'vs Bos'!G259+'vs Hou'!G259+'at Buf'!G259+'vs Bos(2)'!G259+'vs KC'!G259+'at Den'!G259+'at Oak'!G259+'vs Mia'!G259+'at KC'!G259+'vs Den'!G259+'vs Oak'!G259+'at Mia'!G259+'at Hou'!G259+'vs NY'!G259+'Gm 15'!G259+'Gm 16'!G259</f>
        <v>0</v>
      </c>
    </row>
    <row r="260" spans="3:7" ht="12">
      <c r="C260">
        <f>+'vs Bos'!C260+'vs Hou'!C260+'at Buf'!C260+'vs Bos(2)'!C260+'vs KC'!C260+'at Den'!C260+'at Oak'!C260+'vs Mia'!C260+'at KC'!C260+'vs Den'!C260+'vs Oak'!C260+'at Mia'!C260+'at Hou'!C260+'vs NY'!C260+'Gm 15'!C260+'Gm 16'!C260</f>
        <v>0</v>
      </c>
      <c r="D260">
        <f>+'vs Bos'!D260+'vs Hou'!D260+'at Buf'!D260+'vs Bos(2)'!D260+'vs KC'!D260+'at Den'!D260+'at Oak'!D260+'vs Mia'!D260+'at KC'!D260+'vs Den'!D260+'vs Oak'!D260+'at Mia'!D260+'at Hou'!D260+'vs NY'!D260+'Gm 15'!D260+'Gm 16'!D260</f>
        <v>0</v>
      </c>
      <c r="E260">
        <f>MAX('vs Bos'!E260,'vs Hou'!E260,'at Buf'!E260,'vs Bos(2)'!E260,'vs KC'!E260,'at Den'!E260,'at Oak'!E260,'vs Mia'!E260,'at KC'!E260,'vs Den'!E260,'vs Oak'!E260,'at Mia'!E260,'at Hou'!E260,'vs NY'!E260,'Gm 15'!E260,'Gm 16'!E260)</f>
        <v>0</v>
      </c>
      <c r="F260">
        <f>+'vs Bos'!F260+'vs Hou'!F260+'at Buf'!F260+'vs Bos(2)'!F260+'vs KC'!F260+'at Den'!F260+'at Oak'!F260+'vs Mia'!F260+'at KC'!F260+'vs Den'!F260+'vs Oak'!F260+'at Mia'!F260+'at Hou'!F260+'vs NY'!F260+'Gm 15'!F260+'Gm 16'!F260</f>
        <v>0</v>
      </c>
      <c r="G260">
        <f>+'vs Bos'!G260+'vs Hou'!G260+'at Buf'!G260+'vs Bos(2)'!G260+'vs KC'!G260+'at Den'!G260+'at Oak'!G260+'vs Mia'!G260+'at KC'!G260+'vs Den'!G260+'vs Oak'!G260+'at Mia'!G260+'at Hou'!G260+'vs NY'!G260+'Gm 15'!G260+'Gm 16'!G260</f>
        <v>0</v>
      </c>
    </row>
    <row r="261" spans="3:7" ht="12">
      <c r="C261">
        <f>+'vs Bos'!C261+'vs Hou'!C261+'at Buf'!C261+'vs Bos(2)'!C261+'vs KC'!C261+'at Den'!C261+'at Oak'!C261+'vs Mia'!C261+'at KC'!C261+'vs Den'!C261+'vs Oak'!C261+'at Mia'!C261+'at Hou'!C261+'vs NY'!C261+'Gm 15'!C261+'Gm 16'!C261</f>
        <v>0</v>
      </c>
      <c r="D261">
        <f>+'vs Bos'!D261+'vs Hou'!D261+'at Buf'!D261+'vs Bos(2)'!D261+'vs KC'!D261+'at Den'!D261+'at Oak'!D261+'vs Mia'!D261+'at KC'!D261+'vs Den'!D261+'vs Oak'!D261+'at Mia'!D261+'at Hou'!D261+'vs NY'!D261+'Gm 15'!D261+'Gm 16'!D261</f>
        <v>0</v>
      </c>
      <c r="E261">
        <f>MAX('vs Bos'!E261,'vs Hou'!E261,'at Buf'!E261,'vs Bos(2)'!E261,'vs KC'!E261,'at Den'!E261,'at Oak'!E261,'vs Mia'!E261,'at KC'!E261,'vs Den'!E261,'vs Oak'!E261,'at Mia'!E261,'at Hou'!E261,'vs NY'!E261,'Gm 15'!E261,'Gm 16'!E261)</f>
        <v>0</v>
      </c>
      <c r="F261">
        <f>+'vs Bos'!F261+'vs Hou'!F261+'at Buf'!F261+'vs Bos(2)'!F261+'vs KC'!F261+'at Den'!F261+'at Oak'!F261+'vs Mia'!F261+'at KC'!F261+'vs Den'!F261+'vs Oak'!F261+'at Mia'!F261+'at Hou'!F261+'vs NY'!F261+'Gm 15'!F261+'Gm 16'!F261</f>
        <v>0</v>
      </c>
      <c r="G261">
        <f>+'vs Bos'!G261+'vs Hou'!G261+'at Buf'!G261+'vs Bos(2)'!G261+'vs KC'!G261+'at Den'!G261+'at Oak'!G261+'vs Mia'!G261+'at KC'!G261+'vs Den'!G261+'vs Oak'!G261+'at Mia'!G261+'at Hou'!G261+'vs NY'!G261+'Gm 15'!G261+'Gm 16'!G261</f>
        <v>0</v>
      </c>
    </row>
    <row r="262" spans="3:7" ht="12">
      <c r="C262">
        <f>+'vs Bos'!C262+'vs Hou'!C262+'at Buf'!C262+'vs Bos(2)'!C262+'vs KC'!C262+'at Den'!C262+'at Oak'!C262+'vs Mia'!C262+'at KC'!C262+'vs Den'!C262+'vs Oak'!C262+'at Mia'!C262+'at Hou'!C262+'vs NY'!C262+'Gm 15'!C262+'Gm 16'!C262</f>
        <v>0</v>
      </c>
      <c r="D262">
        <f>+'vs Bos'!D262+'vs Hou'!D262+'at Buf'!D262+'vs Bos(2)'!D262+'vs KC'!D262+'at Den'!D262+'at Oak'!D262+'vs Mia'!D262+'at KC'!D262+'vs Den'!D262+'vs Oak'!D262+'at Mia'!D262+'at Hou'!D262+'vs NY'!D262+'Gm 15'!D262+'Gm 16'!D262</f>
        <v>0</v>
      </c>
      <c r="E262">
        <f>MAX('vs Bos'!E262,'vs Hou'!E262,'at Buf'!E262,'vs Bos(2)'!E262,'vs KC'!E262,'at Den'!E262,'at Oak'!E262,'vs Mia'!E262,'at KC'!E262,'vs Den'!E262,'vs Oak'!E262,'at Mia'!E262,'at Hou'!E262,'vs NY'!E262,'Gm 15'!E262,'Gm 16'!E262)</f>
        <v>0</v>
      </c>
      <c r="F262">
        <f>+'vs Bos'!F262+'vs Hou'!F262+'at Buf'!F262+'vs Bos(2)'!F262+'vs KC'!F262+'at Den'!F262+'at Oak'!F262+'vs Mia'!F262+'at KC'!F262+'vs Den'!F262+'vs Oak'!F262+'at Mia'!F262+'at Hou'!F262+'vs NY'!F262+'Gm 15'!F262+'Gm 16'!F262</f>
        <v>0</v>
      </c>
      <c r="G262">
        <f>+'vs Bos'!G262+'vs Hou'!G262+'at Buf'!G262+'vs Bos(2)'!G262+'vs KC'!G262+'at Den'!G262+'at Oak'!G262+'vs Mia'!G262+'at KC'!G262+'vs Den'!G262+'vs Oak'!G262+'at Mia'!G262+'at Hou'!G262+'vs NY'!G262+'Gm 15'!G262+'Gm 16'!G262</f>
        <v>0</v>
      </c>
    </row>
    <row r="263" spans="3:7" ht="12">
      <c r="C263">
        <f>+'vs Bos'!C263+'vs Hou'!C263+'at Buf'!C263+'vs Bos(2)'!C263+'vs KC'!C263+'at Den'!C263+'at Oak'!C263+'vs Mia'!C263+'at KC'!C263+'vs Den'!C263+'vs Oak'!C263+'at Mia'!C263+'at Hou'!C263+'vs NY'!C263+'Gm 15'!C263+'Gm 16'!C263</f>
        <v>0</v>
      </c>
      <c r="D263">
        <f>+'vs Bos'!D263+'vs Hou'!D263+'at Buf'!D263+'vs Bos(2)'!D263+'vs KC'!D263+'at Den'!D263+'at Oak'!D263+'vs Mia'!D263+'at KC'!D263+'vs Den'!D263+'vs Oak'!D263+'at Mia'!D263+'at Hou'!D263+'vs NY'!D263+'Gm 15'!D263+'Gm 16'!D263</f>
        <v>0</v>
      </c>
      <c r="E263">
        <f>MAX('vs Bos'!E263,'vs Hou'!E263,'at Buf'!E263,'vs Bos(2)'!E263,'vs KC'!E263,'at Den'!E263,'at Oak'!E263,'vs Mia'!E263,'at KC'!E263,'vs Den'!E263,'vs Oak'!E263,'at Mia'!E263,'at Hou'!E263,'vs NY'!E263,'Gm 15'!E263,'Gm 16'!E263)</f>
        <v>0</v>
      </c>
      <c r="F263">
        <f>+'vs Bos'!F263+'vs Hou'!F263+'at Buf'!F263+'vs Bos(2)'!F263+'vs KC'!F263+'at Den'!F263+'at Oak'!F263+'vs Mia'!F263+'at KC'!F263+'vs Den'!F263+'vs Oak'!F263+'at Mia'!F263+'at Hou'!F263+'vs NY'!F263+'Gm 15'!F263+'Gm 16'!F263</f>
        <v>0</v>
      </c>
      <c r="G263">
        <f>+'vs Bos'!G263+'vs Hou'!G263+'at Buf'!G263+'vs Bos(2)'!G263+'vs KC'!G263+'at Den'!G263+'at Oak'!G263+'vs Mia'!G263+'at KC'!G263+'vs Den'!G263+'vs Oak'!G263+'at Mia'!G263+'at Hou'!G263+'vs NY'!G263+'Gm 15'!G263+'Gm 16'!G263</f>
        <v>0</v>
      </c>
    </row>
    <row r="264" spans="3:7" ht="12">
      <c r="C264">
        <f>+'vs Bos'!C264+'vs Hou'!C264+'at Buf'!C264+'vs Bos(2)'!C264+'vs KC'!C264+'at Den'!C264+'at Oak'!C264+'vs Mia'!C264+'at KC'!C264+'vs Den'!C264+'vs Oak'!C264+'at Mia'!C264+'at Hou'!C264+'vs NY'!C264+'Gm 15'!C264+'Gm 16'!C264</f>
        <v>0</v>
      </c>
      <c r="D264">
        <f>+'vs Bos'!D264+'vs Hou'!D264+'at Buf'!D264+'vs Bos(2)'!D264+'vs KC'!D264+'at Den'!D264+'at Oak'!D264+'vs Mia'!D264+'at KC'!D264+'vs Den'!D264+'vs Oak'!D264+'at Mia'!D264+'at Hou'!D264+'vs NY'!D264+'Gm 15'!D264+'Gm 16'!D264</f>
        <v>0</v>
      </c>
      <c r="E264">
        <f>MAX('vs Bos'!E264,'vs Hou'!E264,'at Buf'!E264,'vs Bos(2)'!E264,'vs KC'!E264,'at Den'!E264,'at Oak'!E264,'vs Mia'!E264,'at KC'!E264,'vs Den'!E264,'vs Oak'!E264,'at Mia'!E264,'at Hou'!E264,'vs NY'!E264,'Gm 15'!E264,'Gm 16'!E264)</f>
        <v>0</v>
      </c>
      <c r="F264">
        <f>+'vs Bos'!F264+'vs Hou'!F264+'at Buf'!F264+'vs Bos(2)'!F264+'vs KC'!F264+'at Den'!F264+'at Oak'!F264+'vs Mia'!F264+'at KC'!F264+'vs Den'!F264+'vs Oak'!F264+'at Mia'!F264+'at Hou'!F264+'vs NY'!F264+'Gm 15'!F264+'Gm 16'!F264</f>
        <v>0</v>
      </c>
      <c r="G264">
        <f>+'vs Bos'!G264+'vs Hou'!G264+'at Buf'!G264+'vs Bos(2)'!G264+'vs KC'!G264+'at Den'!G264+'at Oak'!G264+'vs Mia'!G264+'at KC'!G264+'vs Den'!G264+'vs Oak'!G264+'at Mia'!G264+'at Hou'!G264+'vs NY'!G264+'Gm 15'!G264+'Gm 16'!G264</f>
        <v>0</v>
      </c>
    </row>
    <row r="265" spans="3:7" ht="12">
      <c r="C265">
        <f>+'vs Bos'!C265+'vs Hou'!C265+'at Buf'!C265+'vs Bos(2)'!C265+'vs KC'!C265+'at Den'!C265+'at Oak'!C265+'vs Mia'!C265+'at KC'!C265+'vs Den'!C265+'vs Oak'!C265+'at Mia'!C265+'at Hou'!C265+'vs NY'!C265+'Gm 15'!C265+'Gm 16'!C265</f>
        <v>0</v>
      </c>
      <c r="D265">
        <f>+'vs Bos'!D265+'vs Hou'!D265+'at Buf'!D265+'vs Bos(2)'!D265+'vs KC'!D265+'at Den'!D265+'at Oak'!D265+'vs Mia'!D265+'at KC'!D265+'vs Den'!D265+'vs Oak'!D265+'at Mia'!D265+'at Hou'!D265+'vs NY'!D265+'Gm 15'!D265+'Gm 16'!D265</f>
        <v>0</v>
      </c>
      <c r="E265">
        <f>MAX('vs Bos'!E265,'vs Hou'!E265,'at Buf'!E265,'vs Bos(2)'!E265,'vs KC'!E265,'at Den'!E265,'at Oak'!E265,'vs Mia'!E265,'at KC'!E265,'vs Den'!E265,'vs Oak'!E265,'at Mia'!E265,'at Hou'!E265,'vs NY'!E265,'Gm 15'!E265,'Gm 16'!E265)</f>
        <v>0</v>
      </c>
      <c r="F265">
        <f>+'vs Bos'!F265+'vs Hou'!F265+'at Buf'!F265+'vs Bos(2)'!F265+'vs KC'!F265+'at Den'!F265+'at Oak'!F265+'vs Mia'!F265+'at KC'!F265+'vs Den'!F265+'vs Oak'!F265+'at Mia'!F265+'at Hou'!F265+'vs NY'!F265+'Gm 15'!F265+'Gm 16'!F265</f>
        <v>0</v>
      </c>
      <c r="G265">
        <f>+'vs Bos'!G265+'vs Hou'!G265+'at Buf'!G265+'vs Bos(2)'!G265+'vs KC'!G265+'at Den'!G265+'at Oak'!G265+'vs Mia'!G265+'at KC'!G265+'vs Den'!G265+'vs Oak'!G265+'at Mia'!G265+'at Hou'!G265+'vs NY'!G265+'Gm 15'!G265+'Gm 16'!G265</f>
        <v>0</v>
      </c>
    </row>
    <row r="266" spans="3:7" ht="12">
      <c r="C266">
        <f>+'vs Bos'!C266+'vs Hou'!C266+'at Buf'!C266+'vs Bos(2)'!C266+'vs KC'!C266+'at Den'!C266+'at Oak'!C266+'vs Mia'!C266+'at KC'!C266+'vs Den'!C266+'vs Oak'!C266+'at Mia'!C266+'at Hou'!C266+'vs NY'!C266+'Gm 15'!C266+'Gm 16'!C266</f>
        <v>0</v>
      </c>
      <c r="D266">
        <f>+'vs Bos'!D266+'vs Hou'!D266+'at Buf'!D266+'vs Bos(2)'!D266+'vs KC'!D266+'at Den'!D266+'at Oak'!D266+'vs Mia'!D266+'at KC'!D266+'vs Den'!D266+'vs Oak'!D266+'at Mia'!D266+'at Hou'!D266+'vs NY'!D266+'Gm 15'!D266+'Gm 16'!D266</f>
        <v>0</v>
      </c>
      <c r="E266">
        <f>MAX('vs Bos'!E266,'vs Hou'!E266,'at Buf'!E266,'vs Bos(2)'!E266,'vs KC'!E266,'at Den'!E266,'at Oak'!E266,'vs Mia'!E266,'at KC'!E266,'vs Den'!E266,'vs Oak'!E266,'at Mia'!E266,'at Hou'!E266,'vs NY'!E266,'Gm 15'!E266,'Gm 16'!E266)</f>
        <v>0</v>
      </c>
      <c r="F266">
        <f>+'vs Bos'!F266+'vs Hou'!F266+'at Buf'!F266+'vs Bos(2)'!F266+'vs KC'!F266+'at Den'!F266+'at Oak'!F266+'vs Mia'!F266+'at KC'!F266+'vs Den'!F266+'vs Oak'!F266+'at Mia'!F266+'at Hou'!F266+'vs NY'!F266+'Gm 15'!F266+'Gm 16'!F266</f>
        <v>0</v>
      </c>
      <c r="G266">
        <f>+'vs Bos'!G266+'vs Hou'!G266+'at Buf'!G266+'vs Bos(2)'!G266+'vs KC'!G266+'at Den'!G266+'at Oak'!G266+'vs Mia'!G266+'at KC'!G266+'vs Den'!G266+'vs Oak'!G266+'at Mia'!G266+'at Hou'!G266+'vs NY'!G266+'Gm 15'!G266+'Gm 16'!G266</f>
        <v>0</v>
      </c>
    </row>
    <row r="267" spans="3:7" ht="12">
      <c r="C267">
        <f>+'vs Bos'!C267+'vs Hou'!C267+'at Buf'!C267+'vs Bos(2)'!C267+'vs KC'!C267+'at Den'!C267+'at Oak'!C267+'vs Mia'!C267+'at KC'!C267+'vs Den'!C267+'vs Oak'!C267+'at Mia'!C267+'at Hou'!C267+'vs NY'!C267+'Gm 15'!C267+'Gm 16'!C267</f>
        <v>0</v>
      </c>
      <c r="D267">
        <f>+'vs Bos'!D267+'vs Hou'!D267+'at Buf'!D267+'vs Bos(2)'!D267+'vs KC'!D267+'at Den'!D267+'at Oak'!D267+'vs Mia'!D267+'at KC'!D267+'vs Den'!D267+'vs Oak'!D267+'at Mia'!D267+'at Hou'!D267+'vs NY'!D267+'Gm 15'!D267+'Gm 16'!D267</f>
        <v>0</v>
      </c>
      <c r="E267">
        <f>MAX('vs Bos'!E267,'vs Hou'!E267,'at Buf'!E267,'vs Bos(2)'!E267,'vs KC'!E267,'at Den'!E267,'at Oak'!E267,'vs Mia'!E267,'at KC'!E267,'vs Den'!E267,'vs Oak'!E267,'at Mia'!E267,'at Hou'!E267,'vs NY'!E267,'Gm 15'!E267,'Gm 16'!E267)</f>
        <v>0</v>
      </c>
      <c r="F267">
        <f>+'vs Bos'!F267+'vs Hou'!F267+'at Buf'!F267+'vs Bos(2)'!F267+'vs KC'!F267+'at Den'!F267+'at Oak'!F267+'vs Mia'!F267+'at KC'!F267+'vs Den'!F267+'vs Oak'!F267+'at Mia'!F267+'at Hou'!F267+'vs NY'!F267+'Gm 15'!F267+'Gm 16'!F267</f>
        <v>0</v>
      </c>
      <c r="G267">
        <f>+'vs Bos'!G267+'vs Hou'!G267+'at Buf'!G267+'vs Bos(2)'!G267+'vs KC'!G267+'at Den'!G267+'at Oak'!G267+'vs Mia'!G267+'at KC'!G267+'vs Den'!G267+'vs Oak'!G267+'at Mia'!G267+'at Hou'!G267+'vs NY'!G267+'Gm 15'!G267+'Gm 16'!G267</f>
        <v>0</v>
      </c>
    </row>
    <row r="268" spans="3:7" ht="12">
      <c r="C268">
        <f>+'vs Bos'!C268+'vs Hou'!C268+'at Buf'!C268+'vs Bos(2)'!C268+'vs KC'!C268+'at Den'!C268+'at Oak'!C268+'vs Mia'!C268+'at KC'!C268+'vs Den'!C268+'vs Oak'!C268+'at Mia'!C268+'at Hou'!C268+'vs NY'!C268+'Gm 15'!C268+'Gm 16'!C268</f>
        <v>0</v>
      </c>
      <c r="D268">
        <f>+'vs Bos'!D268+'vs Hou'!D268+'at Buf'!D268+'vs Bos(2)'!D268+'vs KC'!D268+'at Den'!D268+'at Oak'!D268+'vs Mia'!D268+'at KC'!D268+'vs Den'!D268+'vs Oak'!D268+'at Mia'!D268+'at Hou'!D268+'vs NY'!D268+'Gm 15'!D268+'Gm 16'!D268</f>
        <v>0</v>
      </c>
      <c r="E268">
        <f>MAX('vs Bos'!E268,'vs Hou'!E268,'at Buf'!E268,'vs Bos(2)'!E268,'vs KC'!E268,'at Den'!E268,'at Oak'!E268,'vs Mia'!E268,'at KC'!E268,'vs Den'!E268,'vs Oak'!E268,'at Mia'!E268,'at Hou'!E268,'vs NY'!E268,'Gm 15'!E268,'Gm 16'!E268)</f>
        <v>0</v>
      </c>
      <c r="F268">
        <f>+'vs Bos'!F268+'vs Hou'!F268+'at Buf'!F268+'vs Bos(2)'!F268+'vs KC'!F268+'at Den'!F268+'at Oak'!F268+'vs Mia'!F268+'at KC'!F268+'vs Den'!F268+'vs Oak'!F268+'at Mia'!F268+'at Hou'!F268+'vs NY'!F268+'Gm 15'!F268+'Gm 16'!F268</f>
        <v>0</v>
      </c>
      <c r="G268">
        <f>+'vs Bos'!G268+'vs Hou'!G268+'at Buf'!G268+'vs Bos(2)'!G268+'vs KC'!G268+'at Den'!G268+'at Oak'!G268+'vs Mia'!G268+'at KC'!G268+'vs Den'!G268+'vs Oak'!G268+'at Mia'!G268+'at Hou'!G268+'vs NY'!G268+'Gm 15'!G268+'Gm 16'!G268</f>
        <v>0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5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26</v>
      </c>
      <c r="H6" s="1" t="s">
        <v>29</v>
      </c>
      <c r="M6" s="2">
        <v>18</v>
      </c>
    </row>
    <row r="7" spans="1:13" ht="12">
      <c r="A7" s="16" t="s">
        <v>95</v>
      </c>
      <c r="D7" s="2">
        <v>6</v>
      </c>
      <c r="H7" s="16" t="s">
        <v>95</v>
      </c>
      <c r="M7" s="2">
        <v>5</v>
      </c>
    </row>
    <row r="8" spans="1:13" ht="12">
      <c r="A8" s="16" t="s">
        <v>96</v>
      </c>
      <c r="D8" s="2">
        <v>16</v>
      </c>
      <c r="H8" s="16" t="s">
        <v>96</v>
      </c>
      <c r="M8" s="2">
        <v>12</v>
      </c>
    </row>
    <row r="9" spans="1:13" ht="12">
      <c r="A9" s="16" t="s">
        <v>97</v>
      </c>
      <c r="D9" s="2">
        <v>4</v>
      </c>
      <c r="H9" s="16" t="s">
        <v>97</v>
      </c>
      <c r="M9" s="2">
        <v>1</v>
      </c>
    </row>
    <row r="10" spans="1:14" ht="12">
      <c r="A10" s="18" t="s">
        <v>108</v>
      </c>
      <c r="C10">
        <v>3</v>
      </c>
      <c r="D10" s="2">
        <v>9</v>
      </c>
      <c r="E10" s="19">
        <f>+C10/D10</f>
        <v>0.3333333333333333</v>
      </c>
      <c r="H10" s="18" t="s">
        <v>108</v>
      </c>
      <c r="L10">
        <v>6</v>
      </c>
      <c r="M10" s="2">
        <v>11</v>
      </c>
      <c r="N10" s="19">
        <f>+L10/M10</f>
        <v>0.5454545454545454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14+14+2</f>
        <v>30</v>
      </c>
      <c r="H13" t="s">
        <v>1</v>
      </c>
      <c r="M13" s="2">
        <f>17+7+3+5</f>
        <v>32</v>
      </c>
      <c r="V13">
        <f>+D13</f>
        <v>30</v>
      </c>
      <c r="W13">
        <f>+M13</f>
        <v>32</v>
      </c>
    </row>
    <row r="14" spans="1:23" ht="12">
      <c r="A14" t="s">
        <v>2</v>
      </c>
      <c r="D14" s="2">
        <f>43+59+2</f>
        <v>104</v>
      </c>
      <c r="H14" t="s">
        <v>2</v>
      </c>
      <c r="M14" s="2">
        <f>78+40+5+15</f>
        <v>138</v>
      </c>
      <c r="P14" s="13"/>
      <c r="U14" s="13"/>
      <c r="V14">
        <f>+D18</f>
        <v>20</v>
      </c>
      <c r="W14">
        <f>+M18</f>
        <v>15</v>
      </c>
    </row>
    <row r="15" spans="1:23" ht="12">
      <c r="A15" s="1" t="s">
        <v>3</v>
      </c>
      <c r="D15" s="8">
        <f>+D14/D13</f>
        <v>3.466666666666667</v>
      </c>
      <c r="H15" s="1" t="s">
        <v>3</v>
      </c>
      <c r="M15" s="8">
        <f>+M14/M13</f>
        <v>4.3125</v>
      </c>
      <c r="V15">
        <f>+(D17-D18)/2</f>
        <v>8</v>
      </c>
      <c r="W15">
        <f>+(M17-M18)/2</f>
        <v>7.5</v>
      </c>
    </row>
    <row r="16" spans="22:23" ht="12">
      <c r="V16">
        <f>+D40/2</f>
        <v>1</v>
      </c>
      <c r="W16">
        <f>+M40/2</f>
        <v>1.5</v>
      </c>
    </row>
    <row r="17" spans="1:23" ht="12">
      <c r="A17" t="s">
        <v>4</v>
      </c>
      <c r="D17" s="2">
        <v>36</v>
      </c>
      <c r="H17" t="s">
        <v>4</v>
      </c>
      <c r="M17" s="2">
        <v>30</v>
      </c>
      <c r="V17">
        <f>+D44/2</f>
        <v>1.5</v>
      </c>
      <c r="W17">
        <f>+M44/2</f>
        <v>0</v>
      </c>
    </row>
    <row r="18" spans="1:23" ht="12">
      <c r="A18" t="s">
        <v>5</v>
      </c>
      <c r="D18" s="2">
        <v>20</v>
      </c>
      <c r="H18" t="s">
        <v>5</v>
      </c>
      <c r="M18" s="2">
        <v>15</v>
      </c>
      <c r="V18">
        <f>+D50/2</f>
        <v>3.5</v>
      </c>
      <c r="W18">
        <f>+M50/2</f>
        <v>3</v>
      </c>
    </row>
    <row r="19" spans="1:13" ht="12">
      <c r="A19" t="s">
        <v>6</v>
      </c>
      <c r="D19" s="8">
        <f>+D18/D17*100</f>
        <v>55.55555555555556</v>
      </c>
      <c r="H19" t="s">
        <v>6</v>
      </c>
      <c r="M19" s="8">
        <f>+M18/M17*100</f>
        <v>50</v>
      </c>
    </row>
    <row r="20" spans="1:24" ht="12">
      <c r="A20" t="s">
        <v>7</v>
      </c>
      <c r="D20" s="2">
        <v>293</v>
      </c>
      <c r="H20" t="s">
        <v>7</v>
      </c>
      <c r="M20" s="2">
        <v>184</v>
      </c>
      <c r="V20">
        <f>SUM(V13:V18)</f>
        <v>64</v>
      </c>
      <c r="W20">
        <f>SUM(W13:W18)</f>
        <v>59</v>
      </c>
      <c r="X20">
        <f>+W20+V20</f>
        <v>123</v>
      </c>
    </row>
    <row r="21" spans="1:23" ht="12">
      <c r="A21" t="s">
        <v>8</v>
      </c>
      <c r="D21" s="2">
        <v>1</v>
      </c>
      <c r="H21" t="s">
        <v>8</v>
      </c>
      <c r="M21" s="2">
        <v>0</v>
      </c>
      <c r="V21">
        <f>+V20/X20</f>
        <v>0.5203252032520326</v>
      </c>
      <c r="W21">
        <f>+W20/X20</f>
        <v>0.4796747967479675</v>
      </c>
    </row>
    <row r="22" spans="1:23" ht="12">
      <c r="A22" t="s">
        <v>9</v>
      </c>
      <c r="D22" s="2">
        <v>2</v>
      </c>
      <c r="H22" t="s">
        <v>9</v>
      </c>
      <c r="M22" s="2">
        <v>0</v>
      </c>
      <c r="V22">
        <f>+V21*60</f>
        <v>31.219512195121954</v>
      </c>
      <c r="W22">
        <f>+W21*60</f>
        <v>28.78048780487805</v>
      </c>
    </row>
    <row r="23" spans="1:23" ht="12">
      <c r="A23" t="s">
        <v>10</v>
      </c>
      <c r="D23">
        <f>+D20-D22</f>
        <v>291</v>
      </c>
      <c r="H23" t="s">
        <v>10</v>
      </c>
      <c r="M23">
        <f>+M20-M22</f>
        <v>184</v>
      </c>
      <c r="V23">
        <f>+V22-INT(V22)</f>
        <v>0.21951219512195408</v>
      </c>
      <c r="W23">
        <f>+W22-INT(W22)</f>
        <v>0.7804878048780495</v>
      </c>
    </row>
    <row r="24" spans="1:23" ht="12">
      <c r="A24" t="s">
        <v>11</v>
      </c>
      <c r="D24" s="7">
        <f>+D23/(D17+D21)</f>
        <v>7.864864864864865</v>
      </c>
      <c r="H24" t="s">
        <v>11</v>
      </c>
      <c r="M24" s="7">
        <f>+M23/(M17+M21)</f>
        <v>6.133333333333334</v>
      </c>
      <c r="V24">
        <f>+V23*60</f>
        <v>13.170731707317245</v>
      </c>
      <c r="W24">
        <f>+W23*60</f>
        <v>46.82926829268297</v>
      </c>
    </row>
    <row r="25" spans="1:23" ht="12">
      <c r="A25" t="s">
        <v>12</v>
      </c>
      <c r="D25" s="7">
        <f>+D20/D18</f>
        <v>14.65</v>
      </c>
      <c r="H25" t="s">
        <v>12</v>
      </c>
      <c r="M25" s="7">
        <f>+M20/M18</f>
        <v>12.266666666666667</v>
      </c>
      <c r="Q25" s="11"/>
      <c r="U25">
        <v>0</v>
      </c>
      <c r="V25" s="11">
        <f>ROUND(V24,0)</f>
        <v>13</v>
      </c>
      <c r="W25">
        <f>ROUND(W24,0)</f>
        <v>47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395</v>
      </c>
      <c r="H28" t="s">
        <v>14</v>
      </c>
      <c r="M28">
        <f>+M23+M14</f>
        <v>322</v>
      </c>
      <c r="Q28" s="14"/>
      <c r="R28" s="9"/>
      <c r="V28" s="14" t="str">
        <f>+V26&amp;V27&amp;V25</f>
        <v>31:13</v>
      </c>
      <c r="W28" s="9" t="str">
        <f>+W26&amp;W27&amp;W25</f>
        <v>28:47</v>
      </c>
    </row>
    <row r="29" spans="1:23" ht="12">
      <c r="A29" t="s">
        <v>15</v>
      </c>
      <c r="D29" s="7">
        <f>+D14/D28*100</f>
        <v>26.329113924050635</v>
      </c>
      <c r="H29" t="s">
        <v>15</v>
      </c>
      <c r="M29" s="7">
        <f>+M14/M28*100</f>
        <v>42.857142857142854</v>
      </c>
      <c r="Q29" s="9"/>
      <c r="R29" s="9"/>
      <c r="V29" s="9" t="str">
        <f>IF(V25&lt;10,+V26&amp;V27&amp;$U$25&amp;V25,+V26&amp;V27&amp;V25)</f>
        <v>31:13</v>
      </c>
      <c r="W29" s="9" t="str">
        <f>IF(W25&lt;10,+W26&amp;W27&amp;$U$25&amp;W25,+W26&amp;W27&amp;W25)</f>
        <v>28:47</v>
      </c>
    </row>
    <row r="30" spans="1:16" ht="12">
      <c r="A30" s="1" t="s">
        <v>90</v>
      </c>
      <c r="D30" s="7">
        <f>+D23/D28*100</f>
        <v>73.67088607594937</v>
      </c>
      <c r="H30" s="1" t="s">
        <v>90</v>
      </c>
      <c r="M30" s="7">
        <f>+M23/M28*100</f>
        <v>57.14285714285714</v>
      </c>
      <c r="P30" s="13"/>
    </row>
    <row r="32" spans="1:13" ht="12">
      <c r="A32" t="s">
        <v>16</v>
      </c>
      <c r="D32">
        <f>+D13+D17+D21</f>
        <v>67</v>
      </c>
      <c r="H32" t="s">
        <v>16</v>
      </c>
      <c r="M32">
        <f>+M13+M17+M21</f>
        <v>62</v>
      </c>
    </row>
    <row r="33" spans="1:13" ht="12">
      <c r="A33" t="s">
        <v>17</v>
      </c>
      <c r="D33" s="8">
        <f>+D28/D32</f>
        <v>5.895522388059701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5.193548387096774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1</v>
      </c>
      <c r="H36" t="s">
        <v>19</v>
      </c>
      <c r="M36" s="2">
        <v>3</v>
      </c>
    </row>
    <row r="37" spans="1:13" ht="12">
      <c r="A37" t="s">
        <v>20</v>
      </c>
      <c r="D37" s="2">
        <v>20</v>
      </c>
      <c r="H37" t="s">
        <v>20</v>
      </c>
      <c r="M37" s="2">
        <f>-1+21+25</f>
        <v>45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2</v>
      </c>
      <c r="H40" t="s">
        <v>22</v>
      </c>
      <c r="M40" s="2">
        <v>3</v>
      </c>
    </row>
    <row r="41" spans="1:13" ht="12">
      <c r="A41" t="s">
        <v>23</v>
      </c>
      <c r="D41" s="2">
        <v>94</v>
      </c>
      <c r="H41" t="s">
        <v>23</v>
      </c>
      <c r="M41" s="2">
        <f>54+41+31</f>
        <v>126</v>
      </c>
    </row>
    <row r="42" spans="1:13" ht="12">
      <c r="A42" t="s">
        <v>24</v>
      </c>
      <c r="D42" s="8">
        <f>+D41/D40</f>
        <v>47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42</v>
      </c>
    </row>
    <row r="44" spans="1:13" ht="12">
      <c r="A44" t="s">
        <v>25</v>
      </c>
      <c r="D44" s="2">
        <v>3</v>
      </c>
      <c r="H44" t="s">
        <v>25</v>
      </c>
      <c r="M44" s="2">
        <v>0</v>
      </c>
    </row>
    <row r="45" spans="1:13" ht="12">
      <c r="A45" t="s">
        <v>26</v>
      </c>
      <c r="D45" s="2">
        <f>12+17+8</f>
        <v>37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12.333333333333334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7</v>
      </c>
      <c r="H50" t="s">
        <v>30</v>
      </c>
      <c r="M50" s="2">
        <v>6</v>
      </c>
    </row>
    <row r="51" spans="1:13" ht="12">
      <c r="A51" t="s">
        <v>26</v>
      </c>
      <c r="D51" s="2">
        <f>15+15+26+25+28+24+6</f>
        <v>139</v>
      </c>
      <c r="H51" t="s">
        <v>26</v>
      </c>
      <c r="M51" s="2">
        <f>11+68+17+52+68+13</f>
        <v>229</v>
      </c>
    </row>
    <row r="52" spans="1:13" ht="12">
      <c r="A52" t="s">
        <v>27</v>
      </c>
      <c r="D52" s="8">
        <f>+D51/D50</f>
        <v>19.857142857142858</v>
      </c>
      <c r="H52" t="s">
        <v>27</v>
      </c>
      <c r="M52" s="8">
        <f>+M51/M50</f>
        <v>38.166666666666664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8</v>
      </c>
      <c r="G55" t="str">
        <f>IF(D55-D56=M50,"ok","err")</f>
        <v>ok</v>
      </c>
      <c r="H55" t="s">
        <v>127</v>
      </c>
      <c r="K55" s="2"/>
      <c r="M55" s="2">
        <v>8</v>
      </c>
      <c r="P55" s="2"/>
    </row>
    <row r="56" spans="1:16" ht="12">
      <c r="A56" t="s">
        <v>128</v>
      </c>
      <c r="D56" s="2">
        <v>2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0.25</v>
      </c>
      <c r="H57" t="s">
        <v>129</v>
      </c>
      <c r="M57">
        <f>+M56/M55</f>
        <v>0.125</v>
      </c>
    </row>
    <row r="59" spans="1:13" ht="12">
      <c r="A59" t="s">
        <v>31</v>
      </c>
      <c r="D59" s="2">
        <v>5</v>
      </c>
      <c r="H59" t="s">
        <v>31</v>
      </c>
      <c r="M59" s="2">
        <v>5</v>
      </c>
    </row>
    <row r="60" spans="1:13" ht="12">
      <c r="A60" t="s">
        <v>32</v>
      </c>
      <c r="D60" s="2">
        <v>31</v>
      </c>
      <c r="H60" t="s">
        <v>32</v>
      </c>
      <c r="M60" s="2">
        <v>89</v>
      </c>
    </row>
    <row r="62" spans="1:13" ht="12">
      <c r="A62" t="s">
        <v>33</v>
      </c>
      <c r="D62" s="2">
        <v>2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2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41</v>
      </c>
      <c r="H68" t="s">
        <v>38</v>
      </c>
      <c r="M68" s="2">
        <v>44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5</v>
      </c>
      <c r="H69" t="s">
        <v>39</v>
      </c>
      <c r="M69" s="2">
        <v>5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4</v>
      </c>
      <c r="H71" t="s">
        <v>41</v>
      </c>
      <c r="M71" s="2">
        <v>4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5</v>
      </c>
      <c r="H73" t="s">
        <v>43</v>
      </c>
      <c r="M73" s="2">
        <v>5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3</v>
      </c>
    </row>
    <row r="77" spans="1:13" ht="12">
      <c r="A77" t="s">
        <v>46</v>
      </c>
      <c r="D77" s="2">
        <v>4</v>
      </c>
      <c r="H77" t="s">
        <v>46</v>
      </c>
      <c r="M77" s="2">
        <v>3</v>
      </c>
    </row>
    <row r="78" spans="1:13" ht="12">
      <c r="A78" t="s">
        <v>47</v>
      </c>
      <c r="D78" s="8">
        <f>+D76/D77*100</f>
        <v>50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100</v>
      </c>
    </row>
    <row r="79" spans="1:13" ht="12">
      <c r="A79" t="s">
        <v>93</v>
      </c>
      <c r="D79" s="10" t="str">
        <f>IF(V25&lt;10,V29,V28)</f>
        <v>31:13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14</v>
      </c>
      <c r="D88">
        <v>59</v>
      </c>
      <c r="E88" s="12">
        <f t="shared" si="0"/>
        <v>4.214285714285714</v>
      </c>
      <c r="F88">
        <v>14</v>
      </c>
      <c r="G88">
        <v>1</v>
      </c>
      <c r="H88">
        <v>2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14</v>
      </c>
      <c r="D90">
        <v>43</v>
      </c>
      <c r="E90" s="12">
        <f t="shared" si="0"/>
        <v>3.0714285714285716</v>
      </c>
      <c r="F90">
        <v>10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2</v>
      </c>
      <c r="D92">
        <v>2</v>
      </c>
      <c r="E92" s="12">
        <f t="shared" si="0"/>
        <v>1</v>
      </c>
      <c r="F92">
        <v>2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3</v>
      </c>
      <c r="D101">
        <v>51</v>
      </c>
      <c r="E101" s="12">
        <f aca="true" t="shared" si="1" ref="E101:E112">+D101/C101</f>
        <v>17</v>
      </c>
      <c r="F101">
        <v>29</v>
      </c>
      <c r="G101">
        <v>0</v>
      </c>
      <c r="H101">
        <v>0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8</v>
      </c>
      <c r="D103">
        <v>97</v>
      </c>
      <c r="E103" s="12">
        <f t="shared" si="1"/>
        <v>12.125</v>
      </c>
      <c r="F103">
        <v>35</v>
      </c>
      <c r="G103">
        <v>2</v>
      </c>
      <c r="H103">
        <v>0</v>
      </c>
    </row>
    <row r="104" spans="1:8" ht="12">
      <c r="A104" t="s">
        <v>136</v>
      </c>
      <c r="C104">
        <v>3</v>
      </c>
      <c r="D104">
        <v>54</v>
      </c>
      <c r="E104" s="12">
        <f t="shared" si="1"/>
        <v>18</v>
      </c>
      <c r="F104">
        <v>24</v>
      </c>
      <c r="G104">
        <v>1</v>
      </c>
      <c r="H104">
        <v>0</v>
      </c>
    </row>
    <row r="105" spans="1:8" ht="12">
      <c r="A105" t="s">
        <v>138</v>
      </c>
      <c r="C105">
        <v>2</v>
      </c>
      <c r="D105">
        <v>29</v>
      </c>
      <c r="E105" s="12">
        <f t="shared" si="1"/>
        <v>14.5</v>
      </c>
      <c r="F105">
        <v>21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24</v>
      </c>
      <c r="E107" s="12">
        <f t="shared" si="1"/>
        <v>24</v>
      </c>
      <c r="F107">
        <v>24</v>
      </c>
      <c r="G107">
        <v>0</v>
      </c>
      <c r="H107">
        <v>0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3</v>
      </c>
      <c r="D109">
        <v>38</v>
      </c>
      <c r="E109" s="12">
        <f t="shared" si="1"/>
        <v>12.666666666666666</v>
      </c>
      <c r="F109">
        <v>15</v>
      </c>
      <c r="G109">
        <v>1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35</v>
      </c>
      <c r="D123">
        <v>20</v>
      </c>
      <c r="E123" s="12">
        <f t="shared" si="2"/>
        <v>57.14285714285714</v>
      </c>
      <c r="F123">
        <v>293</v>
      </c>
      <c r="G123">
        <v>4</v>
      </c>
      <c r="H123">
        <v>35</v>
      </c>
      <c r="I123">
        <v>1</v>
      </c>
      <c r="J123" s="8">
        <f t="shared" si="3"/>
        <v>11.428571428571429</v>
      </c>
      <c r="K123" s="12">
        <f t="shared" si="4"/>
        <v>2.857142857142857</v>
      </c>
      <c r="L123" s="12">
        <f t="shared" si="5"/>
        <v>8.371428571428572</v>
      </c>
      <c r="M123" s="12">
        <f t="shared" si="6"/>
        <v>110.77380952380952</v>
      </c>
      <c r="N123">
        <v>0</v>
      </c>
      <c r="O123">
        <v>1</v>
      </c>
      <c r="R123">
        <f t="shared" si="7"/>
        <v>1.357142857142857</v>
      </c>
      <c r="S123" s="2">
        <f t="shared" si="8"/>
        <v>1.357142857142857</v>
      </c>
      <c r="T123" s="6">
        <f t="shared" si="9"/>
        <v>1.342857142857143</v>
      </c>
      <c r="U123" s="2">
        <f t="shared" si="10"/>
        <v>1.342857142857143</v>
      </c>
      <c r="V123">
        <f t="shared" si="11"/>
        <v>2.2857142857142856</v>
      </c>
      <c r="W123" s="2">
        <f t="shared" si="12"/>
        <v>2.2857142857142856</v>
      </c>
      <c r="X123">
        <f t="shared" si="13"/>
        <v>1.6607142857142856</v>
      </c>
      <c r="Y123" s="2">
        <f t="shared" si="14"/>
        <v>1.6607142857142856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C125">
        <v>1</v>
      </c>
      <c r="D125">
        <v>0</v>
      </c>
      <c r="E125" s="12">
        <f t="shared" si="2"/>
        <v>0</v>
      </c>
      <c r="F125">
        <v>0</v>
      </c>
      <c r="G125">
        <v>0</v>
      </c>
      <c r="H125">
        <v>0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0</v>
      </c>
      <c r="M125" s="12">
        <f t="shared" si="6"/>
        <v>39.583333333333336</v>
      </c>
      <c r="N125">
        <v>0</v>
      </c>
      <c r="O125">
        <v>0</v>
      </c>
      <c r="R125">
        <f t="shared" si="7"/>
        <v>-1.5</v>
      </c>
      <c r="S125" s="2">
        <f t="shared" si="8"/>
        <v>0</v>
      </c>
      <c r="T125" s="6">
        <f t="shared" si="9"/>
        <v>-0.75</v>
      </c>
      <c r="U125" s="2">
        <f t="shared" si="10"/>
        <v>0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3</v>
      </c>
      <c r="E131">
        <v>37</v>
      </c>
      <c r="F131" s="12">
        <f aca="true" t="shared" si="15" ref="F131:F136">+E131/C131</f>
        <v>12.333333333333334</v>
      </c>
      <c r="G131">
        <v>17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6" ht="12">
      <c r="A141" t="s">
        <v>148</v>
      </c>
      <c r="C141">
        <v>1</v>
      </c>
      <c r="D141">
        <v>24</v>
      </c>
      <c r="E141" s="12">
        <f aca="true" t="shared" si="16" ref="E141:E146">+D141/C141</f>
        <v>24</v>
      </c>
      <c r="F141">
        <v>24</v>
      </c>
    </row>
    <row r="142" spans="1:6" ht="12">
      <c r="A142" t="s">
        <v>150</v>
      </c>
      <c r="C142">
        <v>1</v>
      </c>
      <c r="D142">
        <v>6</v>
      </c>
      <c r="E142" s="12">
        <f t="shared" si="16"/>
        <v>6</v>
      </c>
      <c r="F142">
        <v>6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3</v>
      </c>
      <c r="D144">
        <f>15+15+26</f>
        <v>56</v>
      </c>
      <c r="E144" s="12">
        <f t="shared" si="16"/>
        <v>18.666666666666668</v>
      </c>
      <c r="F144">
        <v>26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2</v>
      </c>
      <c r="D146">
        <f>25+28</f>
        <v>53</v>
      </c>
      <c r="E146" s="12">
        <f t="shared" si="16"/>
        <v>26.5</v>
      </c>
      <c r="F146">
        <v>28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2</v>
      </c>
      <c r="D158">
        <v>94</v>
      </c>
      <c r="F158">
        <v>52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8" ht="12">
      <c r="A164" t="s">
        <v>153</v>
      </c>
      <c r="C164">
        <v>8</v>
      </c>
      <c r="D164">
        <v>2</v>
      </c>
      <c r="E164">
        <v>5</v>
      </c>
      <c r="F164">
        <v>5</v>
      </c>
      <c r="G164">
        <v>4</v>
      </c>
      <c r="H164">
        <v>2</v>
      </c>
      <c r="I164" s="12">
        <f aca="true" t="shared" si="18" ref="I164:I171">+H164/G164*100</f>
        <v>50</v>
      </c>
      <c r="J164">
        <v>22</v>
      </c>
      <c r="L164">
        <v>1</v>
      </c>
      <c r="M164">
        <v>1</v>
      </c>
      <c r="N164">
        <v>2</v>
      </c>
      <c r="O164">
        <v>1</v>
      </c>
      <c r="R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6" ht="12">
      <c r="A176" t="s">
        <v>155</v>
      </c>
      <c r="C176">
        <v>1</v>
      </c>
      <c r="D176">
        <v>25</v>
      </c>
      <c r="E176" s="12">
        <f aca="true" t="shared" si="19" ref="E176:E182">+D176/C176</f>
        <v>25</v>
      </c>
      <c r="F176">
        <v>25</v>
      </c>
    </row>
    <row r="177" spans="1:6" ht="12">
      <c r="A177" t="s">
        <v>148</v>
      </c>
      <c r="C177">
        <v>1</v>
      </c>
      <c r="D177">
        <v>-1</v>
      </c>
      <c r="E177" s="12">
        <f t="shared" si="19"/>
        <v>-1</v>
      </c>
      <c r="F177">
        <v>-1</v>
      </c>
    </row>
    <row r="178" spans="1:6" ht="12">
      <c r="A178" t="s">
        <v>150</v>
      </c>
      <c r="C178">
        <v>1</v>
      </c>
      <c r="D178">
        <v>21</v>
      </c>
      <c r="E178" s="12">
        <f t="shared" si="19"/>
        <v>21</v>
      </c>
      <c r="F178">
        <v>21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3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14</v>
      </c>
    </row>
    <row r="7" spans="1:13" ht="12">
      <c r="A7" s="16" t="s">
        <v>95</v>
      </c>
      <c r="D7" s="2">
        <v>8</v>
      </c>
      <c r="H7" s="16" t="s">
        <v>95</v>
      </c>
      <c r="M7" s="2">
        <v>5</v>
      </c>
    </row>
    <row r="8" spans="1:13" ht="12">
      <c r="A8" s="16" t="s">
        <v>96</v>
      </c>
      <c r="D8" s="2">
        <v>12</v>
      </c>
      <c r="H8" s="16" t="s">
        <v>96</v>
      </c>
      <c r="M8" s="2">
        <v>8</v>
      </c>
    </row>
    <row r="9" spans="1:13" ht="12">
      <c r="A9" s="16" t="s">
        <v>97</v>
      </c>
      <c r="D9" s="2">
        <v>0</v>
      </c>
      <c r="H9" s="16" t="s">
        <v>97</v>
      </c>
      <c r="M9" s="2">
        <v>1</v>
      </c>
    </row>
    <row r="10" spans="1:14" ht="12">
      <c r="A10" s="18" t="s">
        <v>108</v>
      </c>
      <c r="C10">
        <v>7</v>
      </c>
      <c r="D10" s="2">
        <v>14</v>
      </c>
      <c r="E10" s="19">
        <f>+C10/D10</f>
        <v>0.5</v>
      </c>
      <c r="H10" s="18" t="s">
        <v>108</v>
      </c>
      <c r="L10">
        <v>1</v>
      </c>
      <c r="M10" s="2">
        <v>8</v>
      </c>
      <c r="N10" s="19">
        <f>+L10/M10</f>
        <v>0.125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22+7+4+3+4</f>
        <v>40</v>
      </c>
      <c r="H13" t="s">
        <v>1</v>
      </c>
      <c r="M13" s="2">
        <f>14+6+1+2</f>
        <v>23</v>
      </c>
      <c r="V13">
        <f>+D13</f>
        <v>40</v>
      </c>
      <c r="W13">
        <f>+M13</f>
        <v>23</v>
      </c>
    </row>
    <row r="14" spans="1:23" ht="12">
      <c r="A14" t="s">
        <v>2</v>
      </c>
      <c r="D14" s="2">
        <f>186+8+15+5+13</f>
        <v>227</v>
      </c>
      <c r="H14" t="s">
        <v>2</v>
      </c>
      <c r="M14" s="2">
        <f>63+8+19-2</f>
        <v>88</v>
      </c>
      <c r="P14" s="13"/>
      <c r="U14" s="13"/>
      <c r="V14">
        <f>+D18</f>
        <v>15</v>
      </c>
      <c r="W14">
        <f>+M18</f>
        <v>16</v>
      </c>
    </row>
    <row r="15" spans="1:23" ht="12">
      <c r="A15" s="1" t="s">
        <v>3</v>
      </c>
      <c r="D15" s="8">
        <f>+D14/D13</f>
        <v>5.675</v>
      </c>
      <c r="H15" s="1" t="s">
        <v>3</v>
      </c>
      <c r="M15" s="8">
        <f>+M14/M13</f>
        <v>3.8260869565217392</v>
      </c>
      <c r="V15">
        <f>+(D17-D18)/2</f>
        <v>5</v>
      </c>
      <c r="W15">
        <f>+(M17-M18)/2</f>
        <v>9.5</v>
      </c>
    </row>
    <row r="16" spans="22:23" ht="12">
      <c r="V16">
        <f>+D40/2</f>
        <v>1</v>
      </c>
      <c r="W16">
        <f>+M40/2</f>
        <v>1.5</v>
      </c>
    </row>
    <row r="17" spans="1:23" ht="12">
      <c r="A17" t="s">
        <v>4</v>
      </c>
      <c r="D17" s="2">
        <v>25</v>
      </c>
      <c r="H17" t="s">
        <v>4</v>
      </c>
      <c r="M17" s="2">
        <v>35</v>
      </c>
      <c r="V17">
        <f>+D44/2</f>
        <v>0.5</v>
      </c>
      <c r="W17">
        <f>+M44/2</f>
        <v>0</v>
      </c>
    </row>
    <row r="18" spans="1:23" ht="12">
      <c r="A18" t="s">
        <v>5</v>
      </c>
      <c r="D18" s="2">
        <v>15</v>
      </c>
      <c r="H18" t="s">
        <v>5</v>
      </c>
      <c r="M18" s="2">
        <v>16</v>
      </c>
      <c r="V18">
        <f>+D50/2</f>
        <v>1</v>
      </c>
      <c r="W18">
        <f>+M50/2</f>
        <v>3.5</v>
      </c>
    </row>
    <row r="19" spans="1:13" ht="12">
      <c r="A19" t="s">
        <v>6</v>
      </c>
      <c r="D19" s="8">
        <f>+D18/D17*100</f>
        <v>60</v>
      </c>
      <c r="H19" t="s">
        <v>6</v>
      </c>
      <c r="M19" s="8">
        <f>+M18/M17*100</f>
        <v>45.714285714285715</v>
      </c>
    </row>
    <row r="20" spans="1:24" ht="12">
      <c r="A20" t="s">
        <v>7</v>
      </c>
      <c r="D20" s="2">
        <v>296</v>
      </c>
      <c r="H20" t="s">
        <v>7</v>
      </c>
      <c r="M20" s="2">
        <v>204</v>
      </c>
      <c r="V20">
        <f>SUM(V13:V18)</f>
        <v>62.5</v>
      </c>
      <c r="W20">
        <f>SUM(W13:W18)</f>
        <v>53.5</v>
      </c>
      <c r="X20">
        <f>+W20+V20</f>
        <v>116</v>
      </c>
    </row>
    <row r="21" spans="1:23" ht="12">
      <c r="A21" t="s">
        <v>8</v>
      </c>
      <c r="D21" s="2">
        <v>1</v>
      </c>
      <c r="H21" t="s">
        <v>8</v>
      </c>
      <c r="M21" s="2">
        <v>2</v>
      </c>
      <c r="V21">
        <f>+V20/X20</f>
        <v>0.5387931034482759</v>
      </c>
      <c r="W21">
        <f>+W20/X20</f>
        <v>0.46120689655172414</v>
      </c>
    </row>
    <row r="22" spans="1:23" ht="12">
      <c r="A22" t="s">
        <v>9</v>
      </c>
      <c r="D22" s="2">
        <v>3</v>
      </c>
      <c r="H22" t="s">
        <v>9</v>
      </c>
      <c r="M22" s="2">
        <v>11</v>
      </c>
      <c r="V22">
        <f>+V21*60</f>
        <v>32.327586206896555</v>
      </c>
      <c r="W22">
        <f>+W21*60</f>
        <v>27.67241379310345</v>
      </c>
    </row>
    <row r="23" spans="1:23" ht="12">
      <c r="A23" t="s">
        <v>10</v>
      </c>
      <c r="D23">
        <f>+D20-D22</f>
        <v>293</v>
      </c>
      <c r="H23" t="s">
        <v>10</v>
      </c>
      <c r="M23">
        <f>+M20-M22</f>
        <v>193</v>
      </c>
      <c r="V23">
        <f>+V22-INT(V22)</f>
        <v>0.32758620689655515</v>
      </c>
      <c r="W23">
        <f>+W22-INT(W22)</f>
        <v>0.6724137931034484</v>
      </c>
    </row>
    <row r="24" spans="1:23" ht="12">
      <c r="A24" t="s">
        <v>11</v>
      </c>
      <c r="D24" s="7">
        <f>+D23/(D17+D21)</f>
        <v>11.26923076923077</v>
      </c>
      <c r="H24" t="s">
        <v>11</v>
      </c>
      <c r="M24" s="7">
        <f>+M23/(M17+M21)</f>
        <v>5.216216216216216</v>
      </c>
      <c r="V24">
        <f>+V23*60</f>
        <v>19.65517241379331</v>
      </c>
      <c r="W24">
        <f>+W23*60</f>
        <v>40.344827586206904</v>
      </c>
    </row>
    <row r="25" spans="1:23" ht="12">
      <c r="A25" t="s">
        <v>12</v>
      </c>
      <c r="D25" s="7">
        <f>+D20/D18</f>
        <v>19.733333333333334</v>
      </c>
      <c r="H25" t="s">
        <v>12</v>
      </c>
      <c r="M25" s="7">
        <f>+M20/M18</f>
        <v>12.75</v>
      </c>
      <c r="Q25" s="11"/>
      <c r="U25">
        <v>0</v>
      </c>
      <c r="V25" s="11">
        <f>ROUND(V24,0)</f>
        <v>20</v>
      </c>
      <c r="W25">
        <f>ROUND(W24,0)</f>
        <v>40</v>
      </c>
    </row>
    <row r="26" spans="22:23" ht="12">
      <c r="V26">
        <f>INT(V22)</f>
        <v>32</v>
      </c>
      <c r="W26">
        <f>INT(W22)</f>
        <v>27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520</v>
      </c>
      <c r="H28" t="s">
        <v>14</v>
      </c>
      <c r="M28">
        <f>+M23+M14</f>
        <v>281</v>
      </c>
      <c r="Q28" s="14"/>
      <c r="R28" s="9"/>
      <c r="V28" s="14" t="str">
        <f>+V26&amp;V27&amp;V25</f>
        <v>32:20</v>
      </c>
      <c r="W28" s="9" t="str">
        <f>+W26&amp;W27&amp;W25</f>
        <v>27:40</v>
      </c>
    </row>
    <row r="29" spans="1:23" ht="12">
      <c r="A29" t="s">
        <v>15</v>
      </c>
      <c r="D29" s="7">
        <f>+D14/D28*100</f>
        <v>43.65384615384615</v>
      </c>
      <c r="H29" t="s">
        <v>15</v>
      </c>
      <c r="M29" s="7">
        <f>+M14/M28*100</f>
        <v>31.316725978647685</v>
      </c>
      <c r="Q29" s="9"/>
      <c r="R29" s="9"/>
      <c r="V29" s="9" t="str">
        <f>IF(V25&lt;10,+V26&amp;V27&amp;$U$25&amp;V25,+V26&amp;V27&amp;V25)</f>
        <v>32:20</v>
      </c>
      <c r="W29" s="9" t="str">
        <f>IF(W25&lt;10,+W26&amp;W27&amp;$U$25&amp;W25,+W26&amp;W27&amp;W25)</f>
        <v>27:40</v>
      </c>
    </row>
    <row r="30" spans="1:16" ht="12">
      <c r="A30" s="1" t="s">
        <v>90</v>
      </c>
      <c r="D30" s="7">
        <f>+D23/D28*100</f>
        <v>56.34615384615385</v>
      </c>
      <c r="H30" s="1" t="s">
        <v>90</v>
      </c>
      <c r="M30" s="7">
        <f>+M23/M28*100</f>
        <v>68.68327402135232</v>
      </c>
      <c r="P30" s="13"/>
    </row>
    <row r="32" spans="1:13" ht="12">
      <c r="A32" t="s">
        <v>16</v>
      </c>
      <c r="D32">
        <f>+D13+D17+D21</f>
        <v>66</v>
      </c>
      <c r="H32" t="s">
        <v>16</v>
      </c>
      <c r="M32">
        <f>+M13+M17+M21</f>
        <v>60</v>
      </c>
    </row>
    <row r="33" spans="1:14" ht="12">
      <c r="A33" t="s">
        <v>17</v>
      </c>
      <c r="C33" s="7"/>
      <c r="D33" s="8">
        <f>+D28/D32</f>
        <v>7.878787878787879</v>
      </c>
      <c r="F33" s="7"/>
      <c r="G33" s="7"/>
      <c r="H33" s="7" t="s">
        <v>17</v>
      </c>
      <c r="I33" s="7"/>
      <c r="J33" s="7"/>
      <c r="K33" s="7"/>
      <c r="M33" s="8">
        <f>+M28/M32</f>
        <v>4.683333333333334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1</v>
      </c>
    </row>
    <row r="37" spans="1:13" ht="12">
      <c r="A37" t="s">
        <v>20</v>
      </c>
      <c r="D37" s="2">
        <f>29+63</f>
        <v>92</v>
      </c>
      <c r="H37" t="s">
        <v>20</v>
      </c>
      <c r="M37" s="2">
        <v>89</v>
      </c>
    </row>
    <row r="38" spans="1:13" ht="12">
      <c r="A38" t="s">
        <v>21</v>
      </c>
      <c r="D38" s="2">
        <v>0</v>
      </c>
      <c r="H38" t="s">
        <v>21</v>
      </c>
      <c r="M38" s="2">
        <v>1</v>
      </c>
    </row>
    <row r="40" spans="1:13" ht="12">
      <c r="A40" t="s">
        <v>22</v>
      </c>
      <c r="D40" s="2">
        <v>2</v>
      </c>
      <c r="H40" t="s">
        <v>22</v>
      </c>
      <c r="M40" s="2">
        <v>3</v>
      </c>
    </row>
    <row r="41" spans="1:13" ht="12">
      <c r="A41" t="s">
        <v>23</v>
      </c>
      <c r="D41" s="2">
        <f>29+24</f>
        <v>53</v>
      </c>
      <c r="H41" t="s">
        <v>23</v>
      </c>
      <c r="M41" s="2">
        <f>48+44+46</f>
        <v>138</v>
      </c>
    </row>
    <row r="42" spans="1:14" ht="12">
      <c r="A42" t="s">
        <v>24</v>
      </c>
      <c r="C42" s="7"/>
      <c r="D42" s="8">
        <f>+D41/D40</f>
        <v>26.5</v>
      </c>
      <c r="F42" s="7"/>
      <c r="G42" s="7"/>
      <c r="H42" s="7" t="s">
        <v>24</v>
      </c>
      <c r="I42" s="7"/>
      <c r="J42" s="7"/>
      <c r="K42" s="7"/>
      <c r="M42" s="8">
        <f>+M41/M40</f>
        <v>46</v>
      </c>
      <c r="N42" s="7"/>
    </row>
    <row r="44" spans="1:13" ht="12">
      <c r="A44" t="s">
        <v>25</v>
      </c>
      <c r="D44" s="2">
        <v>1</v>
      </c>
      <c r="H44" t="s">
        <v>25</v>
      </c>
      <c r="M44" s="2">
        <v>0</v>
      </c>
    </row>
    <row r="45" spans="1:13" ht="12">
      <c r="A45" t="s">
        <v>26</v>
      </c>
      <c r="D45" s="2">
        <v>12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12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1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2</v>
      </c>
      <c r="H50" t="s">
        <v>30</v>
      </c>
      <c r="M50" s="2">
        <v>7</v>
      </c>
    </row>
    <row r="51" spans="1:13" ht="12">
      <c r="A51" t="s">
        <v>26</v>
      </c>
      <c r="D51" s="2">
        <v>60</v>
      </c>
      <c r="H51" t="s">
        <v>26</v>
      </c>
      <c r="M51" s="2">
        <f>20+19+21+61+60+2+13</f>
        <v>196</v>
      </c>
    </row>
    <row r="52" spans="1:13" ht="12">
      <c r="A52" t="s">
        <v>27</v>
      </c>
      <c r="D52" s="8">
        <f>+D51/D50</f>
        <v>30</v>
      </c>
      <c r="H52" t="s">
        <v>27</v>
      </c>
      <c r="M52" s="8">
        <f>+M51/M50</f>
        <v>28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8</v>
      </c>
      <c r="G55" t="str">
        <f>IF(D55-D56=M50,"ok","err")</f>
        <v>ok</v>
      </c>
      <c r="H55" t="s">
        <v>127</v>
      </c>
      <c r="K55" s="2"/>
      <c r="M55" s="2">
        <v>4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2</v>
      </c>
      <c r="P56" s="2"/>
    </row>
    <row r="57" spans="1:13" ht="12">
      <c r="A57" t="s">
        <v>129</v>
      </c>
      <c r="D57">
        <f>+D56/D55</f>
        <v>0.125</v>
      </c>
      <c r="H57" t="s">
        <v>129</v>
      </c>
      <c r="M57">
        <f>+M56/M55</f>
        <v>0.5</v>
      </c>
    </row>
    <row r="59" spans="1:13" ht="12">
      <c r="A59" t="s">
        <v>31</v>
      </c>
      <c r="D59" s="2">
        <v>5</v>
      </c>
      <c r="H59" t="s">
        <v>31</v>
      </c>
      <c r="M59" s="2">
        <v>1</v>
      </c>
    </row>
    <row r="60" spans="1:13" ht="12">
      <c r="A60" t="s">
        <v>32</v>
      </c>
      <c r="D60" s="2">
        <v>41</v>
      </c>
      <c r="H60" t="s">
        <v>32</v>
      </c>
      <c r="M60" s="2">
        <v>5</v>
      </c>
    </row>
    <row r="62" spans="1:13" ht="12">
      <c r="A62" t="s">
        <v>33</v>
      </c>
      <c r="D62" s="2">
        <v>1</v>
      </c>
      <c r="H62" t="s">
        <v>33</v>
      </c>
      <c r="M62" s="2">
        <v>4</v>
      </c>
    </row>
    <row r="63" spans="1:13" ht="12">
      <c r="A63" t="s">
        <v>34</v>
      </c>
      <c r="D63" s="2">
        <v>0</v>
      </c>
      <c r="H63" t="s">
        <v>34</v>
      </c>
      <c r="M63" s="2">
        <v>2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2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33</v>
      </c>
      <c r="E68" t="str">
        <f>IF(B68=B69*6+B75*2+B76*3+B73,"ok","ERR")</f>
        <v>ok</v>
      </c>
      <c r="H68" t="s">
        <v>38</v>
      </c>
      <c r="M68" s="2">
        <v>9</v>
      </c>
      <c r="P68" t="str">
        <f>IF(M68=M69*6+M75*2+M76*3+M73,"ok","ERR")</f>
        <v>ok</v>
      </c>
    </row>
    <row r="69" spans="1:13" ht="12">
      <c r="A69" t="s">
        <v>39</v>
      </c>
      <c r="D69" s="2">
        <v>3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2</v>
      </c>
      <c r="H71" t="s">
        <v>41</v>
      </c>
      <c r="M71" s="2">
        <v>0</v>
      </c>
    </row>
    <row r="72" spans="1:13" ht="12">
      <c r="A72" t="s">
        <v>42</v>
      </c>
      <c r="D72" s="2">
        <v>1</v>
      </c>
      <c r="H72" t="s">
        <v>42</v>
      </c>
      <c r="M72" s="2">
        <v>0</v>
      </c>
    </row>
    <row r="73" spans="1:13" ht="12">
      <c r="A73" t="s">
        <v>43</v>
      </c>
      <c r="D73" s="2">
        <v>3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4</v>
      </c>
      <c r="H76" t="s">
        <v>45</v>
      </c>
      <c r="M76" s="2">
        <v>3</v>
      </c>
    </row>
    <row r="77" spans="1:13" ht="12">
      <c r="A77" t="s">
        <v>46</v>
      </c>
      <c r="D77" s="2">
        <v>4</v>
      </c>
      <c r="H77" t="s">
        <v>46</v>
      </c>
      <c r="M77" s="2">
        <v>4</v>
      </c>
    </row>
    <row r="78" spans="1:13" ht="12">
      <c r="A78" t="s">
        <v>47</v>
      </c>
      <c r="D78" s="8">
        <f>+D76/D77*100</f>
        <v>100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75</v>
      </c>
    </row>
    <row r="79" spans="1:13" ht="12">
      <c r="A79" t="s">
        <v>93</v>
      </c>
      <c r="D79" s="10" t="str">
        <f>IF(V25&lt;10,V29,V28)</f>
        <v>32:20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4</v>
      </c>
      <c r="D85">
        <v>15</v>
      </c>
      <c r="E85" s="12">
        <f>+D85/C85</f>
        <v>3.75</v>
      </c>
      <c r="F85">
        <v>9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4</v>
      </c>
      <c r="D87">
        <v>13</v>
      </c>
      <c r="E87" s="12">
        <f t="shared" si="0"/>
        <v>3.25</v>
      </c>
      <c r="F87">
        <v>4</v>
      </c>
      <c r="G87">
        <v>0</v>
      </c>
      <c r="H87">
        <v>0</v>
      </c>
    </row>
    <row r="88" spans="1:8" ht="12">
      <c r="A88" t="s">
        <v>138</v>
      </c>
      <c r="C88">
        <v>7</v>
      </c>
      <c r="D88">
        <v>8</v>
      </c>
      <c r="E88" s="12">
        <f t="shared" si="0"/>
        <v>1.1428571428571428</v>
      </c>
      <c r="F88">
        <v>4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22</v>
      </c>
      <c r="D90">
        <v>186</v>
      </c>
      <c r="E90" s="12">
        <f t="shared" si="0"/>
        <v>8.454545454545455</v>
      </c>
      <c r="F90">
        <v>67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3</v>
      </c>
      <c r="D92">
        <v>5</v>
      </c>
      <c r="E92" s="12">
        <f t="shared" si="0"/>
        <v>1.6666666666666667</v>
      </c>
      <c r="F92">
        <v>5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4</v>
      </c>
      <c r="D101">
        <v>102</v>
      </c>
      <c r="E101" s="12">
        <f aca="true" t="shared" si="1" ref="E101:E112">+D101/C101</f>
        <v>25.5</v>
      </c>
      <c r="F101">
        <v>41</v>
      </c>
      <c r="G101">
        <v>0</v>
      </c>
      <c r="H101">
        <v>0</v>
      </c>
    </row>
    <row r="102" spans="1:8" ht="12">
      <c r="A102" t="s">
        <v>135</v>
      </c>
      <c r="C102">
        <v>1</v>
      </c>
      <c r="D102">
        <v>2</v>
      </c>
      <c r="E102" s="12">
        <f t="shared" si="1"/>
        <v>2</v>
      </c>
      <c r="F102">
        <v>2</v>
      </c>
      <c r="G102">
        <v>0</v>
      </c>
      <c r="H102">
        <v>0</v>
      </c>
    </row>
    <row r="103" spans="1:8" ht="12">
      <c r="A103" t="s">
        <v>144</v>
      </c>
      <c r="C103">
        <v>4</v>
      </c>
      <c r="D103">
        <v>45</v>
      </c>
      <c r="E103" s="12">
        <f t="shared" si="1"/>
        <v>11.25</v>
      </c>
      <c r="F103">
        <v>19</v>
      </c>
      <c r="G103">
        <v>0</v>
      </c>
      <c r="H103">
        <v>0</v>
      </c>
    </row>
    <row r="104" spans="1:8" ht="12">
      <c r="A104" t="s">
        <v>136</v>
      </c>
      <c r="C104">
        <v>2</v>
      </c>
      <c r="D104">
        <v>33</v>
      </c>
      <c r="E104" s="12">
        <f t="shared" si="1"/>
        <v>16.5</v>
      </c>
      <c r="F104">
        <v>24</v>
      </c>
      <c r="G104">
        <v>0</v>
      </c>
      <c r="H104">
        <v>0</v>
      </c>
    </row>
    <row r="105" spans="1:8" ht="12">
      <c r="A105" t="s">
        <v>138</v>
      </c>
      <c r="C105">
        <v>2</v>
      </c>
      <c r="D105">
        <v>64</v>
      </c>
      <c r="E105" s="12">
        <f t="shared" si="1"/>
        <v>32</v>
      </c>
      <c r="F105">
        <v>40</v>
      </c>
      <c r="G105">
        <v>2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33</v>
      </c>
      <c r="E107" s="12">
        <f t="shared" si="1"/>
        <v>33</v>
      </c>
      <c r="F107">
        <v>33</v>
      </c>
      <c r="G107">
        <v>0</v>
      </c>
      <c r="H107">
        <v>0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1</v>
      </c>
      <c r="D109">
        <v>17</v>
      </c>
      <c r="E109" s="12">
        <f t="shared" si="1"/>
        <v>17</v>
      </c>
      <c r="F109">
        <v>17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25</v>
      </c>
      <c r="D123">
        <v>15</v>
      </c>
      <c r="E123" s="12">
        <f t="shared" si="2"/>
        <v>60</v>
      </c>
      <c r="F123">
        <v>296</v>
      </c>
      <c r="G123">
        <v>2</v>
      </c>
      <c r="H123">
        <v>41</v>
      </c>
      <c r="I123">
        <v>2</v>
      </c>
      <c r="J123" s="8">
        <f t="shared" si="3"/>
        <v>8</v>
      </c>
      <c r="K123" s="12">
        <f t="shared" si="4"/>
        <v>8</v>
      </c>
      <c r="L123" s="12">
        <f t="shared" si="5"/>
        <v>11.84</v>
      </c>
      <c r="M123" s="12">
        <f t="shared" si="6"/>
        <v>94.75</v>
      </c>
      <c r="N123">
        <v>1</v>
      </c>
      <c r="O123">
        <v>1</v>
      </c>
      <c r="R123">
        <f t="shared" si="7"/>
        <v>1.5</v>
      </c>
      <c r="S123" s="2">
        <f t="shared" si="8"/>
        <v>1.5</v>
      </c>
      <c r="T123" s="6">
        <f t="shared" si="9"/>
        <v>2.21</v>
      </c>
      <c r="U123" s="2">
        <f t="shared" si="10"/>
        <v>2.21</v>
      </c>
      <c r="V123">
        <f t="shared" si="11"/>
        <v>1.6</v>
      </c>
      <c r="W123" s="2">
        <f t="shared" si="12"/>
        <v>1.6</v>
      </c>
      <c r="X123">
        <f t="shared" si="13"/>
        <v>0.375</v>
      </c>
      <c r="Y123" s="2">
        <f t="shared" si="14"/>
        <v>0.375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1</v>
      </c>
      <c r="D131">
        <v>1</v>
      </c>
      <c r="E131">
        <v>12</v>
      </c>
      <c r="F131" s="12">
        <f aca="true" t="shared" si="15" ref="F131:F136">+E131/C131</f>
        <v>12</v>
      </c>
      <c r="G131">
        <v>12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1</v>
      </c>
      <c r="D144">
        <v>30</v>
      </c>
      <c r="E144" s="12">
        <f t="shared" si="16"/>
        <v>30</v>
      </c>
      <c r="F144">
        <v>30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30</v>
      </c>
      <c r="E146" s="12">
        <f t="shared" si="16"/>
        <v>30</v>
      </c>
      <c r="F146">
        <v>30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2</v>
      </c>
      <c r="D158">
        <v>53</v>
      </c>
      <c r="F158">
        <v>29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7" ht="12">
      <c r="A164" t="s">
        <v>153</v>
      </c>
      <c r="C164">
        <v>8</v>
      </c>
      <c r="D164">
        <v>1</v>
      </c>
      <c r="E164">
        <v>3</v>
      </c>
      <c r="F164">
        <v>3</v>
      </c>
      <c r="G164">
        <v>4</v>
      </c>
      <c r="H164">
        <v>4</v>
      </c>
      <c r="I164" s="12">
        <f aca="true" t="shared" si="18" ref="I164:I171">+H164/G164*100</f>
        <v>100</v>
      </c>
      <c r="J164">
        <v>32</v>
      </c>
      <c r="L164">
        <v>1</v>
      </c>
      <c r="M164">
        <v>1</v>
      </c>
      <c r="N164">
        <v>2</v>
      </c>
      <c r="O164">
        <v>2</v>
      </c>
      <c r="P164">
        <v>1</v>
      </c>
      <c r="Q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7" ht="12">
      <c r="A177" t="s">
        <v>148</v>
      </c>
      <c r="C177">
        <v>1</v>
      </c>
      <c r="D177">
        <v>89</v>
      </c>
      <c r="E177" s="12">
        <f t="shared" si="19"/>
        <v>89</v>
      </c>
      <c r="F177">
        <v>89</v>
      </c>
      <c r="G177">
        <v>1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>
        <v>1</v>
      </c>
      <c r="D194" s="3">
        <v>0</v>
      </c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>
        <v>1</v>
      </c>
      <c r="D196" s="3">
        <v>11</v>
      </c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spans="1:3" ht="12">
      <c r="A231" t="s">
        <v>170</v>
      </c>
      <c r="C231">
        <v>1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3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16</v>
      </c>
      <c r="H6" s="1" t="s">
        <v>29</v>
      </c>
      <c r="M6" s="2">
        <v>21</v>
      </c>
    </row>
    <row r="7" spans="1:13" ht="12">
      <c r="A7" s="16" t="s">
        <v>95</v>
      </c>
      <c r="D7" s="2">
        <v>3</v>
      </c>
      <c r="H7" s="16" t="s">
        <v>95</v>
      </c>
      <c r="M7" s="2">
        <v>8</v>
      </c>
    </row>
    <row r="8" spans="1:13" ht="12">
      <c r="A8" s="16" t="s">
        <v>96</v>
      </c>
      <c r="D8" s="2">
        <v>10</v>
      </c>
      <c r="H8" s="16" t="s">
        <v>96</v>
      </c>
      <c r="M8" s="2">
        <v>13</v>
      </c>
    </row>
    <row r="9" spans="1:13" ht="12">
      <c r="A9" s="16" t="s">
        <v>97</v>
      </c>
      <c r="D9" s="2">
        <v>3</v>
      </c>
      <c r="H9" s="16" t="s">
        <v>97</v>
      </c>
      <c r="M9" s="2">
        <v>0</v>
      </c>
    </row>
    <row r="10" spans="1:14" ht="12">
      <c r="A10" s="18" t="s">
        <v>108</v>
      </c>
      <c r="C10">
        <v>2</v>
      </c>
      <c r="D10" s="2">
        <v>10</v>
      </c>
      <c r="E10" s="19">
        <f>+C10/D10</f>
        <v>0.2</v>
      </c>
      <c r="H10" s="18" t="s">
        <v>108</v>
      </c>
      <c r="L10">
        <v>4</v>
      </c>
      <c r="M10" s="2">
        <v>13</v>
      </c>
      <c r="N10" s="19">
        <f>+L10/M10</f>
        <v>0.3076923076923077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0</v>
      </c>
      <c r="M11" s="2">
        <v>1</v>
      </c>
      <c r="N11" s="19"/>
    </row>
    <row r="13" spans="1:23" ht="12">
      <c r="A13" t="s">
        <v>1</v>
      </c>
      <c r="D13" s="2">
        <f>10+5+4+1+2</f>
        <v>22</v>
      </c>
      <c r="H13" t="s">
        <v>1</v>
      </c>
      <c r="M13" s="2">
        <f>11+11+5+8+4</f>
        <v>39</v>
      </c>
      <c r="V13">
        <f>+D13</f>
        <v>22</v>
      </c>
      <c r="W13">
        <f>+M13</f>
        <v>39</v>
      </c>
    </row>
    <row r="14" spans="1:23" ht="12">
      <c r="A14" t="s">
        <v>2</v>
      </c>
      <c r="D14" s="2">
        <f>34+162+5+5+3</f>
        <v>209</v>
      </c>
      <c r="H14" t="s">
        <v>2</v>
      </c>
      <c r="M14" s="2">
        <f>51+24+19+44+24</f>
        <v>162</v>
      </c>
      <c r="P14" s="13"/>
      <c r="U14" s="13"/>
      <c r="V14">
        <f>+D18</f>
        <v>13</v>
      </c>
      <c r="W14">
        <f>+M18</f>
        <v>20</v>
      </c>
    </row>
    <row r="15" spans="1:23" ht="12">
      <c r="A15" s="1" t="s">
        <v>3</v>
      </c>
      <c r="D15" s="8">
        <f>+D14/D13</f>
        <v>9.5</v>
      </c>
      <c r="H15" s="1" t="s">
        <v>3</v>
      </c>
      <c r="M15" s="8">
        <f>+M14/M13</f>
        <v>4.153846153846154</v>
      </c>
      <c r="V15">
        <f>+(D17-D18)/2</f>
        <v>9</v>
      </c>
      <c r="W15">
        <f>+(M17-M18)/2</f>
        <v>9</v>
      </c>
    </row>
    <row r="16" spans="22:23" ht="12">
      <c r="V16">
        <f>+D40/2</f>
        <v>2.5</v>
      </c>
      <c r="W16">
        <f>+M40/2</f>
        <v>2.5</v>
      </c>
    </row>
    <row r="17" spans="1:23" ht="12">
      <c r="A17" t="s">
        <v>4</v>
      </c>
      <c r="D17" s="2">
        <v>31</v>
      </c>
      <c r="H17" t="s">
        <v>4</v>
      </c>
      <c r="M17" s="2">
        <v>38</v>
      </c>
      <c r="V17">
        <f>+D44/2</f>
        <v>1.5</v>
      </c>
      <c r="W17">
        <f>+M44/2</f>
        <v>1.5</v>
      </c>
    </row>
    <row r="18" spans="1:23" ht="12">
      <c r="A18" t="s">
        <v>5</v>
      </c>
      <c r="D18" s="2">
        <v>13</v>
      </c>
      <c r="H18" t="s">
        <v>5</v>
      </c>
      <c r="M18" s="2">
        <v>20</v>
      </c>
      <c r="V18">
        <f>+D50/2</f>
        <v>3</v>
      </c>
      <c r="W18">
        <f>+M50/2</f>
        <v>2.5</v>
      </c>
    </row>
    <row r="19" spans="1:13" ht="12">
      <c r="A19" t="s">
        <v>6</v>
      </c>
      <c r="D19" s="8">
        <f>+D18/D17*100</f>
        <v>41.935483870967744</v>
      </c>
      <c r="H19" t="s">
        <v>6</v>
      </c>
      <c r="M19" s="8">
        <f>+M18/M17*100</f>
        <v>52.63157894736842</v>
      </c>
    </row>
    <row r="20" spans="1:24" ht="12">
      <c r="A20" t="s">
        <v>7</v>
      </c>
      <c r="D20" s="2">
        <v>220</v>
      </c>
      <c r="H20" t="s">
        <v>7</v>
      </c>
      <c r="M20" s="2">
        <v>262</v>
      </c>
      <c r="V20">
        <f>SUM(V13:V18)</f>
        <v>51</v>
      </c>
      <c r="W20">
        <f>SUM(W13:W18)</f>
        <v>74.5</v>
      </c>
      <c r="X20">
        <f>+W20+V20</f>
        <v>125.5</v>
      </c>
    </row>
    <row r="21" spans="1:23" ht="12">
      <c r="A21" t="s">
        <v>8</v>
      </c>
      <c r="D21" s="2">
        <v>4</v>
      </c>
      <c r="H21" t="s">
        <v>8</v>
      </c>
      <c r="M21" s="2">
        <v>2</v>
      </c>
      <c r="V21">
        <f>+V20/X20</f>
        <v>0.4063745019920319</v>
      </c>
      <c r="W21">
        <f>+W20/X20</f>
        <v>0.5936254980079682</v>
      </c>
    </row>
    <row r="22" spans="1:23" ht="12">
      <c r="A22" t="s">
        <v>9</v>
      </c>
      <c r="D22" s="2">
        <f>8+7+0+7</f>
        <v>22</v>
      </c>
      <c r="H22" t="s">
        <v>9</v>
      </c>
      <c r="M22" s="2">
        <v>7</v>
      </c>
      <c r="V22">
        <f>+V21*60</f>
        <v>24.382470119521916</v>
      </c>
      <c r="W22">
        <f>+W21*60</f>
        <v>35.61752988047809</v>
      </c>
    </row>
    <row r="23" spans="1:23" ht="12">
      <c r="A23" t="s">
        <v>10</v>
      </c>
      <c r="D23">
        <f>+D20-D22</f>
        <v>198</v>
      </c>
      <c r="H23" t="s">
        <v>10</v>
      </c>
      <c r="M23">
        <f>+M20-M22</f>
        <v>255</v>
      </c>
      <c r="V23">
        <f>+V22-INT(V22)</f>
        <v>0.38247011952191556</v>
      </c>
      <c r="W23">
        <f>+W22-INT(W22)</f>
        <v>0.617529880478088</v>
      </c>
    </row>
    <row r="24" spans="1:23" ht="12">
      <c r="A24" t="s">
        <v>11</v>
      </c>
      <c r="D24" s="7">
        <f>+D23/(D17+D21)</f>
        <v>5.6571428571428575</v>
      </c>
      <c r="H24" t="s">
        <v>11</v>
      </c>
      <c r="M24" s="7">
        <f>+M23/(M17+M21)</f>
        <v>6.375</v>
      </c>
      <c r="V24">
        <f>+V23*60</f>
        <v>22.948207171314934</v>
      </c>
      <c r="W24">
        <f>+W23*60</f>
        <v>37.05179282868528</v>
      </c>
    </row>
    <row r="25" spans="1:23" ht="12">
      <c r="A25" t="s">
        <v>12</v>
      </c>
      <c r="D25" s="7">
        <f>+D20/D18</f>
        <v>16.923076923076923</v>
      </c>
      <c r="H25" t="s">
        <v>12</v>
      </c>
      <c r="M25" s="7">
        <f>+M20/M18</f>
        <v>13.1</v>
      </c>
      <c r="Q25" s="11"/>
      <c r="U25">
        <v>0</v>
      </c>
      <c r="V25" s="11">
        <f>ROUND(V24,0)</f>
        <v>23</v>
      </c>
      <c r="W25">
        <f>ROUND(W24,0)</f>
        <v>37</v>
      </c>
    </row>
    <row r="26" spans="22:23" ht="12">
      <c r="V26">
        <f>INT(V22)</f>
        <v>24</v>
      </c>
      <c r="W26">
        <f>INT(W22)</f>
        <v>35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407</v>
      </c>
      <c r="H28" t="s">
        <v>14</v>
      </c>
      <c r="M28">
        <f>+M23+M14</f>
        <v>417</v>
      </c>
      <c r="Q28" s="14"/>
      <c r="R28" s="9"/>
      <c r="V28" s="14" t="str">
        <f>+V26&amp;V27&amp;V25</f>
        <v>24:23</v>
      </c>
      <c r="W28" s="9" t="str">
        <f>+W26&amp;W27&amp;W25</f>
        <v>35:37</v>
      </c>
    </row>
    <row r="29" spans="1:23" ht="12">
      <c r="A29" t="s">
        <v>15</v>
      </c>
      <c r="D29" s="7">
        <f>+D14/D28*100</f>
        <v>51.35135135135135</v>
      </c>
      <c r="H29" t="s">
        <v>15</v>
      </c>
      <c r="M29" s="7">
        <f>+M14/M28*100</f>
        <v>38.84892086330935</v>
      </c>
      <c r="Q29" s="9"/>
      <c r="R29" s="9"/>
      <c r="V29" s="9" t="str">
        <f>IF(V25&lt;10,+V26&amp;V27&amp;$U$25&amp;V25,+V26&amp;V27&amp;V25)</f>
        <v>24:23</v>
      </c>
      <c r="W29" s="9" t="str">
        <f>IF(W25&lt;10,+W26&amp;W27&amp;$U$25&amp;W25,+W26&amp;W27&amp;W25)</f>
        <v>35:37</v>
      </c>
    </row>
    <row r="30" spans="1:16" ht="12">
      <c r="A30" s="1" t="s">
        <v>90</v>
      </c>
      <c r="D30" s="7">
        <f>+D23/D28*100</f>
        <v>48.64864864864865</v>
      </c>
      <c r="H30" s="1" t="s">
        <v>90</v>
      </c>
      <c r="M30" s="7">
        <f>+M23/M28*100</f>
        <v>61.15107913669065</v>
      </c>
      <c r="P30" s="13"/>
    </row>
    <row r="32" spans="1:13" ht="12">
      <c r="A32" t="s">
        <v>16</v>
      </c>
      <c r="D32">
        <f>+D13+D17+D21</f>
        <v>57</v>
      </c>
      <c r="H32" t="s">
        <v>16</v>
      </c>
      <c r="M32">
        <f>+M13+M17+M21</f>
        <v>79</v>
      </c>
    </row>
    <row r="33" spans="1:14" ht="12">
      <c r="A33" t="s">
        <v>17</v>
      </c>
      <c r="C33" s="7"/>
      <c r="D33" s="8">
        <f>+D28/D32</f>
        <v>7.140350877192983</v>
      </c>
      <c r="F33" s="7"/>
      <c r="G33" s="7"/>
      <c r="H33" s="7" t="s">
        <v>17</v>
      </c>
      <c r="I33" s="7"/>
      <c r="J33" s="7"/>
      <c r="K33" s="7"/>
      <c r="M33" s="8">
        <f>+M28/M32</f>
        <v>5.2784810126582276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1</v>
      </c>
    </row>
    <row r="37" spans="1:13" ht="12">
      <c r="A37" t="s">
        <v>20</v>
      </c>
      <c r="D37" s="2">
        <v>28</v>
      </c>
      <c r="H37" t="s">
        <v>20</v>
      </c>
      <c r="M37" s="2">
        <v>5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5</v>
      </c>
    </row>
    <row r="41" spans="1:13" ht="12">
      <c r="A41" t="s">
        <v>23</v>
      </c>
      <c r="D41" s="2">
        <f>56+37+33+32+27</f>
        <v>185</v>
      </c>
      <c r="H41" t="s">
        <v>23</v>
      </c>
      <c r="M41" s="2">
        <f>54+48+31+41</f>
        <v>174</v>
      </c>
    </row>
    <row r="42" spans="1:14" ht="12">
      <c r="A42" t="s">
        <v>24</v>
      </c>
      <c r="C42" s="7"/>
      <c r="D42" s="8">
        <f>+D41/D40</f>
        <v>37</v>
      </c>
      <c r="F42" s="7"/>
      <c r="G42" s="7"/>
      <c r="H42" s="7" t="s">
        <v>24</v>
      </c>
      <c r="I42" s="7"/>
      <c r="J42" s="7"/>
      <c r="K42" s="7"/>
      <c r="M42" s="8">
        <f>+M41/M40</f>
        <v>34.8</v>
      </c>
      <c r="N42" s="7"/>
    </row>
    <row r="44" spans="1:13" ht="12">
      <c r="A44" t="s">
        <v>25</v>
      </c>
      <c r="D44" s="2">
        <v>3</v>
      </c>
      <c r="H44" t="s">
        <v>25</v>
      </c>
      <c r="M44" s="2">
        <v>3</v>
      </c>
    </row>
    <row r="45" spans="1:13" ht="12">
      <c r="A45" t="s">
        <v>26</v>
      </c>
      <c r="D45" s="2">
        <f>13+38+18</f>
        <v>69</v>
      </c>
      <c r="H45" t="s">
        <v>26</v>
      </c>
      <c r="M45" s="2">
        <f>73+17+9</f>
        <v>99</v>
      </c>
    </row>
    <row r="46" spans="1:13" ht="12">
      <c r="A46" t="s">
        <v>27</v>
      </c>
      <c r="D46" s="8">
        <f>+D45/D44</f>
        <v>23</v>
      </c>
      <c r="H46" t="s">
        <v>27</v>
      </c>
      <c r="M46" s="8">
        <f>+M45/M44</f>
        <v>33</v>
      </c>
    </row>
    <row r="47" spans="1:13" ht="12">
      <c r="A47" s="18" t="s">
        <v>131</v>
      </c>
      <c r="D47" s="2">
        <v>0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1</v>
      </c>
    </row>
    <row r="50" spans="1:13" ht="12">
      <c r="A50" t="s">
        <v>30</v>
      </c>
      <c r="D50" s="2">
        <v>6</v>
      </c>
      <c r="H50" t="s">
        <v>30</v>
      </c>
      <c r="M50" s="2">
        <v>5</v>
      </c>
    </row>
    <row r="51" spans="1:13" ht="12">
      <c r="A51" t="s">
        <v>26</v>
      </c>
      <c r="D51" s="2">
        <f>37+14+20+25+19+45</f>
        <v>160</v>
      </c>
      <c r="H51" t="s">
        <v>26</v>
      </c>
      <c r="M51" s="2">
        <f>22+26+22+21+23</f>
        <v>114</v>
      </c>
    </row>
    <row r="52" spans="1:13" ht="12">
      <c r="A52" t="s">
        <v>27</v>
      </c>
      <c r="D52" s="8">
        <f>+D51/D50</f>
        <v>26.666666666666668</v>
      </c>
      <c r="H52" t="s">
        <v>27</v>
      </c>
      <c r="M52" s="8">
        <f>+M51/M50</f>
        <v>22.8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7</v>
      </c>
      <c r="G55" t="str">
        <f>IF(D55-D56=M50,"ok","err")</f>
        <v>ok</v>
      </c>
      <c r="H55" t="s">
        <v>127</v>
      </c>
      <c r="K55" s="2"/>
      <c r="M55" s="2">
        <v>8</v>
      </c>
      <c r="P55" s="2"/>
    </row>
    <row r="56" spans="1:16" ht="12">
      <c r="A56" t="s">
        <v>128</v>
      </c>
      <c r="D56" s="2">
        <v>2</v>
      </c>
      <c r="H56" t="s">
        <v>128</v>
      </c>
      <c r="K56" s="2"/>
      <c r="M56" s="2">
        <v>2</v>
      </c>
      <c r="P56" s="2"/>
    </row>
    <row r="57" spans="1:13" ht="12">
      <c r="A57" t="s">
        <v>129</v>
      </c>
      <c r="D57">
        <f>+D56/D55</f>
        <v>0.2857142857142857</v>
      </c>
      <c r="H57" t="s">
        <v>129</v>
      </c>
      <c r="M57">
        <f>+M56/M55</f>
        <v>0.25</v>
      </c>
    </row>
    <row r="59" spans="1:13" ht="12">
      <c r="A59" t="s">
        <v>31</v>
      </c>
      <c r="D59" s="2">
        <v>4</v>
      </c>
      <c r="H59" t="s">
        <v>31</v>
      </c>
      <c r="M59" s="2">
        <v>4</v>
      </c>
    </row>
    <row r="60" spans="1:13" ht="12">
      <c r="A60" t="s">
        <v>32</v>
      </c>
      <c r="D60" s="2">
        <v>40</v>
      </c>
      <c r="H60" t="s">
        <v>32</v>
      </c>
      <c r="M60" s="2">
        <v>45</v>
      </c>
    </row>
    <row r="62" spans="1:13" ht="12">
      <c r="A62" t="s">
        <v>33</v>
      </c>
      <c r="D62" s="2">
        <v>2</v>
      </c>
      <c r="H62" t="s">
        <v>33</v>
      </c>
      <c r="M62" s="2">
        <v>1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38</v>
      </c>
      <c r="E68" t="str">
        <f>IF(B68=B69*6+B75*2+B76*3+B73,"ok","ERR")</f>
        <v>ok</v>
      </c>
      <c r="H68" t="s">
        <v>38</v>
      </c>
      <c r="M68" s="2">
        <v>38</v>
      </c>
      <c r="P68" t="str">
        <f>IF(M68=M69*6+M75*2+M76*3+M73,"ok","ERR")</f>
        <v>ERR</v>
      </c>
    </row>
    <row r="69" spans="1:13" ht="12">
      <c r="A69" t="s">
        <v>39</v>
      </c>
      <c r="D69" s="2">
        <v>5</v>
      </c>
      <c r="H69" t="s">
        <v>39</v>
      </c>
      <c r="M69" s="2">
        <v>4</v>
      </c>
    </row>
    <row r="70" spans="1:13" ht="12">
      <c r="A70" t="s">
        <v>40</v>
      </c>
      <c r="D70" s="2">
        <v>1</v>
      </c>
      <c r="H70" t="s">
        <v>40</v>
      </c>
      <c r="M70" s="2">
        <v>2</v>
      </c>
    </row>
    <row r="71" spans="1:13" ht="12">
      <c r="A71" t="s">
        <v>41</v>
      </c>
      <c r="D71" s="2">
        <v>4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1</v>
      </c>
    </row>
    <row r="73" spans="1:13" ht="12">
      <c r="A73" t="s">
        <v>43</v>
      </c>
      <c r="D73" s="2">
        <v>5</v>
      </c>
      <c r="H73" t="s">
        <v>43</v>
      </c>
      <c r="M73" s="2">
        <v>3</v>
      </c>
    </row>
    <row r="74" spans="1:13" ht="12">
      <c r="A74" t="s">
        <v>120</v>
      </c>
      <c r="D74" s="2">
        <v>0</v>
      </c>
      <c r="H74" t="s">
        <v>120</v>
      </c>
      <c r="M74" s="2">
        <v>1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3</v>
      </c>
    </row>
    <row r="77" spans="1:13" ht="12">
      <c r="A77" t="s">
        <v>46</v>
      </c>
      <c r="D77" s="2">
        <v>3</v>
      </c>
      <c r="H77" t="s">
        <v>46</v>
      </c>
      <c r="M77" s="2">
        <v>4</v>
      </c>
    </row>
    <row r="78" spans="1:13" ht="12">
      <c r="A78" t="s">
        <v>47</v>
      </c>
      <c r="D78" s="8">
        <f>+D76/D77*100</f>
        <v>33.33333333333333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75</v>
      </c>
    </row>
    <row r="79" spans="1:13" ht="12">
      <c r="A79" t="s">
        <v>93</v>
      </c>
      <c r="D79" s="10" t="str">
        <f>IF(V25&lt;10,V29,V28)</f>
        <v>24:23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2</v>
      </c>
      <c r="D87">
        <v>3</v>
      </c>
      <c r="E87" s="12">
        <f t="shared" si="0"/>
        <v>1.5</v>
      </c>
      <c r="F87">
        <v>2</v>
      </c>
      <c r="G87">
        <v>0</v>
      </c>
      <c r="H87">
        <v>0</v>
      </c>
    </row>
    <row r="88" spans="1:8" ht="12">
      <c r="A88" t="s">
        <v>138</v>
      </c>
      <c r="C88">
        <v>5</v>
      </c>
      <c r="D88">
        <v>162</v>
      </c>
      <c r="E88" s="12">
        <f t="shared" si="0"/>
        <v>32.4</v>
      </c>
      <c r="F88">
        <v>80</v>
      </c>
      <c r="G88">
        <v>1</v>
      </c>
      <c r="H88">
        <v>0</v>
      </c>
    </row>
    <row r="89" spans="1:8" ht="12">
      <c r="A89" t="s">
        <v>139</v>
      </c>
      <c r="C89">
        <v>4</v>
      </c>
      <c r="D89">
        <v>5</v>
      </c>
      <c r="E89" s="12">
        <f t="shared" si="0"/>
        <v>1.25</v>
      </c>
      <c r="F89">
        <v>3</v>
      </c>
      <c r="G89">
        <v>0</v>
      </c>
      <c r="H89">
        <v>0</v>
      </c>
    </row>
    <row r="90" spans="1:8" ht="12">
      <c r="A90" t="s">
        <v>140</v>
      </c>
      <c r="C90">
        <v>10</v>
      </c>
      <c r="D90">
        <v>34</v>
      </c>
      <c r="E90" s="12">
        <f t="shared" si="0"/>
        <v>3.4</v>
      </c>
      <c r="F90">
        <v>10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1</v>
      </c>
      <c r="D92">
        <v>5</v>
      </c>
      <c r="E92" s="12">
        <f t="shared" si="0"/>
        <v>5</v>
      </c>
      <c r="F92">
        <v>5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4</v>
      </c>
      <c r="D101">
        <v>85</v>
      </c>
      <c r="E101" s="12">
        <f aca="true" t="shared" si="1" ref="E101:E112">+D101/C101</f>
        <v>21.25</v>
      </c>
      <c r="F101">
        <v>29</v>
      </c>
      <c r="G101">
        <v>0</v>
      </c>
      <c r="H101">
        <v>0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2</v>
      </c>
      <c r="D103">
        <v>67</v>
      </c>
      <c r="E103" s="12">
        <f t="shared" si="1"/>
        <v>33.5</v>
      </c>
      <c r="F103">
        <v>60</v>
      </c>
      <c r="G103">
        <v>1</v>
      </c>
      <c r="H103">
        <v>0</v>
      </c>
    </row>
    <row r="104" spans="1:8" ht="12">
      <c r="A104" t="s">
        <v>136</v>
      </c>
      <c r="C104">
        <v>3</v>
      </c>
      <c r="D104">
        <v>38</v>
      </c>
      <c r="E104" s="12">
        <f t="shared" si="1"/>
        <v>12.666666666666666</v>
      </c>
      <c r="F104">
        <v>16</v>
      </c>
      <c r="G104">
        <v>1</v>
      </c>
      <c r="H104">
        <v>0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2</v>
      </c>
      <c r="D109">
        <v>24</v>
      </c>
      <c r="E109" s="12">
        <f t="shared" si="1"/>
        <v>12</v>
      </c>
      <c r="F109">
        <v>17</v>
      </c>
      <c r="G109">
        <v>0</v>
      </c>
      <c r="H109">
        <v>0</v>
      </c>
    </row>
    <row r="110" spans="1:8" ht="12">
      <c r="A110" t="s">
        <v>142</v>
      </c>
      <c r="C110">
        <v>2</v>
      </c>
      <c r="D110">
        <v>6</v>
      </c>
      <c r="E110" s="12">
        <f t="shared" si="1"/>
        <v>3</v>
      </c>
      <c r="F110">
        <v>5</v>
      </c>
      <c r="G110">
        <v>2</v>
      </c>
      <c r="H110">
        <v>0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31</v>
      </c>
      <c r="D123">
        <v>13</v>
      </c>
      <c r="E123" s="12">
        <f t="shared" si="2"/>
        <v>41.935483870967744</v>
      </c>
      <c r="F123">
        <v>220</v>
      </c>
      <c r="G123">
        <v>4</v>
      </c>
      <c r="H123">
        <v>60</v>
      </c>
      <c r="I123">
        <v>2</v>
      </c>
      <c r="J123" s="8">
        <f t="shared" si="3"/>
        <v>12.903225806451612</v>
      </c>
      <c r="K123" s="12">
        <f t="shared" si="4"/>
        <v>6.451612903225806</v>
      </c>
      <c r="L123" s="12">
        <f t="shared" si="5"/>
        <v>7.096774193548387</v>
      </c>
      <c r="M123" s="12">
        <f t="shared" si="6"/>
        <v>79.3010752688172</v>
      </c>
      <c r="N123">
        <v>1</v>
      </c>
      <c r="O123">
        <v>4</v>
      </c>
      <c r="R123">
        <f t="shared" si="7"/>
        <v>0.5967741935483872</v>
      </c>
      <c r="S123" s="2">
        <f t="shared" si="8"/>
        <v>0.5967741935483872</v>
      </c>
      <c r="T123" s="6">
        <f t="shared" si="9"/>
        <v>1.0241935483870968</v>
      </c>
      <c r="U123" s="2">
        <f t="shared" si="10"/>
        <v>1.0241935483870968</v>
      </c>
      <c r="V123">
        <f t="shared" si="11"/>
        <v>2.5806451612903225</v>
      </c>
      <c r="W123" s="2">
        <f t="shared" si="12"/>
        <v>2.375</v>
      </c>
      <c r="X123">
        <f t="shared" si="13"/>
        <v>0.7620967741935485</v>
      </c>
      <c r="Y123" s="2">
        <f t="shared" si="14"/>
        <v>0.7620967741935485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3</v>
      </c>
      <c r="E131">
        <f>13+38+18</f>
        <v>69</v>
      </c>
      <c r="F131" s="12">
        <f aca="true" t="shared" si="15" ref="F131:F136">+E131/C131</f>
        <v>23</v>
      </c>
      <c r="G131">
        <v>38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8" ht="12">
      <c r="A141" t="s">
        <v>148</v>
      </c>
      <c r="C141">
        <v>2</v>
      </c>
      <c r="D141">
        <f>19+45</f>
        <v>64</v>
      </c>
      <c r="E141" s="12">
        <f aca="true" t="shared" si="16" ref="E141:E146">+D141/C141</f>
        <v>32</v>
      </c>
      <c r="F141">
        <v>45</v>
      </c>
      <c r="H141">
        <v>1</v>
      </c>
    </row>
    <row r="142" spans="1:5" ht="12">
      <c r="A142" t="s">
        <v>150</v>
      </c>
      <c r="E142" s="12" t="e">
        <f t="shared" si="16"/>
        <v>#DIV/0!</v>
      </c>
    </row>
    <row r="143" spans="1:6" ht="12">
      <c r="A143" t="s">
        <v>139</v>
      </c>
      <c r="C143">
        <v>2</v>
      </c>
      <c r="D143">
        <v>34</v>
      </c>
      <c r="E143" s="12">
        <f t="shared" si="16"/>
        <v>17</v>
      </c>
      <c r="F143">
        <v>20</v>
      </c>
    </row>
    <row r="144" spans="1:6" ht="12">
      <c r="A144" t="s">
        <v>140</v>
      </c>
      <c r="C144">
        <v>1</v>
      </c>
      <c r="D144">
        <v>25</v>
      </c>
      <c r="E144" s="12">
        <f t="shared" si="16"/>
        <v>25</v>
      </c>
      <c r="F144">
        <v>25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37</v>
      </c>
      <c r="E146" s="12">
        <f t="shared" si="16"/>
        <v>37</v>
      </c>
      <c r="F146">
        <v>37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5</v>
      </c>
      <c r="D158">
        <f>56+37+33+32+27</f>
        <v>185</v>
      </c>
      <c r="F158">
        <v>56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8" ht="12">
      <c r="A164" t="s">
        <v>153</v>
      </c>
      <c r="C164">
        <v>7</v>
      </c>
      <c r="D164">
        <v>2</v>
      </c>
      <c r="E164">
        <v>5</v>
      </c>
      <c r="F164">
        <v>5</v>
      </c>
      <c r="G164">
        <v>3</v>
      </c>
      <c r="H164">
        <v>1</v>
      </c>
      <c r="I164" s="12">
        <f aca="true" t="shared" si="18" ref="I164:I171">+H164/G164*100</f>
        <v>33.33333333333333</v>
      </c>
      <c r="J164">
        <v>24</v>
      </c>
      <c r="N164">
        <v>1</v>
      </c>
      <c r="O164">
        <v>1</v>
      </c>
      <c r="P164">
        <v>1</v>
      </c>
      <c r="R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6" ht="12">
      <c r="A176" t="s">
        <v>155</v>
      </c>
      <c r="C176">
        <v>1</v>
      </c>
      <c r="D176">
        <v>5</v>
      </c>
      <c r="E176" s="12">
        <f aca="true" t="shared" si="19" ref="E176:E182">+D176/C176</f>
        <v>5</v>
      </c>
      <c r="F176">
        <v>5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>
        <v>1</v>
      </c>
      <c r="D192" s="3">
        <v>6</v>
      </c>
    </row>
    <row r="193" spans="1:4" ht="12">
      <c r="A193" s="20" t="s">
        <v>159</v>
      </c>
      <c r="C193" s="3">
        <v>1</v>
      </c>
      <c r="D193" s="3">
        <v>1</v>
      </c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spans="1:3" ht="12">
      <c r="A242" t="s">
        <v>178</v>
      </c>
      <c r="C242">
        <v>1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spans="1:3" ht="12">
      <c r="A249" t="s">
        <v>163</v>
      </c>
      <c r="C249">
        <v>1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18</v>
      </c>
      <c r="H6" s="1" t="s">
        <v>29</v>
      </c>
      <c r="M6" s="2">
        <v>17</v>
      </c>
    </row>
    <row r="7" spans="1:13" ht="12">
      <c r="A7" s="16" t="s">
        <v>95</v>
      </c>
      <c r="D7" s="2">
        <v>6</v>
      </c>
      <c r="H7" s="16" t="s">
        <v>95</v>
      </c>
      <c r="M7" s="2">
        <v>5</v>
      </c>
    </row>
    <row r="8" spans="1:13" ht="12">
      <c r="A8" s="16" t="s">
        <v>96</v>
      </c>
      <c r="D8" s="2">
        <v>10</v>
      </c>
      <c r="H8" s="16" t="s">
        <v>96</v>
      </c>
      <c r="M8" s="2">
        <v>10</v>
      </c>
    </row>
    <row r="9" spans="1:13" ht="12">
      <c r="A9" s="16" t="s">
        <v>97</v>
      </c>
      <c r="D9" s="2">
        <v>2</v>
      </c>
      <c r="H9" s="16" t="s">
        <v>97</v>
      </c>
      <c r="M9" s="2">
        <v>2</v>
      </c>
    </row>
    <row r="10" spans="1:14" ht="12">
      <c r="A10" s="18" t="s">
        <v>108</v>
      </c>
      <c r="C10">
        <v>3</v>
      </c>
      <c r="D10" s="2">
        <v>13</v>
      </c>
      <c r="E10" s="19">
        <f>+C10/D10</f>
        <v>0.23076923076923078</v>
      </c>
      <c r="H10" s="18" t="s">
        <v>108</v>
      </c>
      <c r="L10">
        <v>6</v>
      </c>
      <c r="M10" s="2">
        <v>16</v>
      </c>
      <c r="N10" s="19">
        <f>+L10/M10</f>
        <v>0.375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14+10+1+6</f>
        <v>31</v>
      </c>
      <c r="H13" t="s">
        <v>1</v>
      </c>
      <c r="M13" s="2">
        <f>6+6+6+2+3</f>
        <v>23</v>
      </c>
      <c r="V13">
        <f>+D13</f>
        <v>31</v>
      </c>
      <c r="W13">
        <f>+M13</f>
        <v>23</v>
      </c>
    </row>
    <row r="14" spans="1:23" ht="12">
      <c r="A14" t="s">
        <v>2</v>
      </c>
      <c r="D14" s="2">
        <f>117+38-1+16</f>
        <v>170</v>
      </c>
      <c r="H14" t="s">
        <v>2</v>
      </c>
      <c r="M14" s="2">
        <f>8+30+20+2+6</f>
        <v>66</v>
      </c>
      <c r="P14" s="13"/>
      <c r="U14" s="13"/>
      <c r="V14">
        <f>+D18</f>
        <v>16</v>
      </c>
      <c r="W14">
        <f>+M18</f>
        <v>21</v>
      </c>
    </row>
    <row r="15" spans="1:23" ht="12">
      <c r="A15" s="1" t="s">
        <v>3</v>
      </c>
      <c r="D15" s="8">
        <f>+D14/D13</f>
        <v>5.483870967741935</v>
      </c>
      <c r="H15" s="1" t="s">
        <v>3</v>
      </c>
      <c r="M15" s="8">
        <f>+M14/M13</f>
        <v>2.869565217391304</v>
      </c>
      <c r="V15">
        <f>+(D17-D18)/2</f>
        <v>8</v>
      </c>
      <c r="W15">
        <f>+(M17-M18)/2</f>
        <v>12.5</v>
      </c>
    </row>
    <row r="16" spans="22:23" ht="12">
      <c r="V16">
        <f>+D40/2</f>
        <v>2.5</v>
      </c>
      <c r="W16">
        <f>+M40/2</f>
        <v>4.5</v>
      </c>
    </row>
    <row r="17" spans="1:23" ht="12">
      <c r="A17" t="s">
        <v>4</v>
      </c>
      <c r="D17" s="2">
        <v>32</v>
      </c>
      <c r="H17" t="s">
        <v>4</v>
      </c>
      <c r="M17" s="2">
        <v>46</v>
      </c>
      <c r="V17">
        <f>+D44/2</f>
        <v>3</v>
      </c>
      <c r="W17">
        <f>+M44/2</f>
        <v>1</v>
      </c>
    </row>
    <row r="18" spans="1:23" ht="12">
      <c r="A18" t="s">
        <v>5</v>
      </c>
      <c r="D18" s="2">
        <v>16</v>
      </c>
      <c r="H18" t="s">
        <v>5</v>
      </c>
      <c r="M18" s="2">
        <v>21</v>
      </c>
      <c r="V18">
        <f>+D50/2</f>
        <v>1.5</v>
      </c>
      <c r="W18">
        <f>+M50/2</f>
        <v>2.5</v>
      </c>
    </row>
    <row r="19" spans="1:13" ht="12">
      <c r="A19" t="s">
        <v>6</v>
      </c>
      <c r="D19" s="8">
        <f>+D18/D17*100</f>
        <v>50</v>
      </c>
      <c r="H19" t="s">
        <v>6</v>
      </c>
      <c r="M19" s="8">
        <f>+M18/M17*100</f>
        <v>45.65217391304348</v>
      </c>
    </row>
    <row r="20" spans="1:24" ht="12">
      <c r="A20" t="s">
        <v>7</v>
      </c>
      <c r="D20" s="2">
        <v>241</v>
      </c>
      <c r="H20" t="s">
        <v>7</v>
      </c>
      <c r="M20" s="2">
        <v>235</v>
      </c>
      <c r="V20">
        <f>SUM(V13:V18)</f>
        <v>62</v>
      </c>
      <c r="W20">
        <f>SUM(W13:W18)</f>
        <v>64.5</v>
      </c>
      <c r="X20">
        <f>+W20+V20</f>
        <v>126.5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>
        <f>+V20/X20</f>
        <v>0.4901185770750988</v>
      </c>
      <c r="W21">
        <f>+W20/X20</f>
        <v>0.5098814229249012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>
        <f>+V21*60</f>
        <v>29.40711462450593</v>
      </c>
      <c r="W22">
        <f>+W21*60</f>
        <v>30.592885375494074</v>
      </c>
    </row>
    <row r="23" spans="1:23" ht="12">
      <c r="A23" t="s">
        <v>10</v>
      </c>
      <c r="D23">
        <f>+D20-D22</f>
        <v>241</v>
      </c>
      <c r="H23" t="s">
        <v>10</v>
      </c>
      <c r="M23">
        <f>+M20-M22</f>
        <v>235</v>
      </c>
      <c r="V23">
        <f>+V22-INT(V22)</f>
        <v>0.4071146245059296</v>
      </c>
      <c r="W23">
        <f>+W22-INT(W22)</f>
        <v>0.5928853754940739</v>
      </c>
    </row>
    <row r="24" spans="1:23" ht="12">
      <c r="A24" t="s">
        <v>11</v>
      </c>
      <c r="D24" s="7">
        <f>+D23/(D17+D21)</f>
        <v>7.53125</v>
      </c>
      <c r="H24" t="s">
        <v>11</v>
      </c>
      <c r="M24" s="7">
        <f>+M23/(M17+M21)</f>
        <v>5.108695652173913</v>
      </c>
      <c r="V24">
        <f>+V23*60</f>
        <v>24.426877470355777</v>
      </c>
      <c r="W24">
        <f>+W23*60</f>
        <v>35.573122529644436</v>
      </c>
    </row>
    <row r="25" spans="1:23" ht="12">
      <c r="A25" t="s">
        <v>12</v>
      </c>
      <c r="D25" s="7">
        <f>+D20/D18</f>
        <v>15.0625</v>
      </c>
      <c r="H25" t="s">
        <v>12</v>
      </c>
      <c r="M25" s="7">
        <f>+M20/M18</f>
        <v>11.19047619047619</v>
      </c>
      <c r="Q25" s="11"/>
      <c r="U25">
        <v>0</v>
      </c>
      <c r="V25" s="11">
        <f>ROUND(V24,0)</f>
        <v>24</v>
      </c>
      <c r="W25">
        <f>ROUND(W24,0)</f>
        <v>36</v>
      </c>
    </row>
    <row r="26" spans="22:23" ht="12">
      <c r="V26">
        <f>INT(V22)</f>
        <v>29</v>
      </c>
      <c r="W26">
        <f>INT(W22)</f>
        <v>30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411</v>
      </c>
      <c r="H28" t="s">
        <v>14</v>
      </c>
      <c r="M28">
        <f>+M23+M14</f>
        <v>301</v>
      </c>
      <c r="Q28" s="14"/>
      <c r="R28" s="9"/>
      <c r="V28" s="14" t="str">
        <f>+V26&amp;V27&amp;V25</f>
        <v>29:24</v>
      </c>
      <c r="W28" s="9" t="str">
        <f>+W26&amp;W27&amp;W25</f>
        <v>30:36</v>
      </c>
    </row>
    <row r="29" spans="1:23" ht="12">
      <c r="A29" t="s">
        <v>15</v>
      </c>
      <c r="D29" s="7">
        <f>+D14/D28*100</f>
        <v>41.3625304136253</v>
      </c>
      <c r="H29" t="s">
        <v>15</v>
      </c>
      <c r="M29" s="7">
        <f>+M14/M28*100</f>
        <v>21.92691029900332</v>
      </c>
      <c r="Q29" s="9"/>
      <c r="R29" s="9"/>
      <c r="V29" s="9" t="str">
        <f>IF(V25&lt;10,+V26&amp;V27&amp;$U$25&amp;V25,+V26&amp;V27&amp;V25)</f>
        <v>29:24</v>
      </c>
      <c r="W29" s="9" t="str">
        <f>IF(W25&lt;10,+W26&amp;W27&amp;$U$25&amp;W25,+W26&amp;W27&amp;W25)</f>
        <v>30:36</v>
      </c>
    </row>
    <row r="30" spans="1:16" ht="12">
      <c r="A30" s="1" t="s">
        <v>90</v>
      </c>
      <c r="D30" s="7">
        <f>+D23/D28*100</f>
        <v>58.63746958637469</v>
      </c>
      <c r="H30" s="1" t="s">
        <v>90</v>
      </c>
      <c r="M30" s="7">
        <f>+M23/M28*100</f>
        <v>78.07308970099668</v>
      </c>
      <c r="P30" s="13"/>
    </row>
    <row r="32" spans="1:13" ht="12">
      <c r="A32" t="s">
        <v>16</v>
      </c>
      <c r="D32">
        <f>+D13+D17+D21</f>
        <v>63</v>
      </c>
      <c r="H32" t="s">
        <v>16</v>
      </c>
      <c r="M32">
        <f>+M13+M17+M21</f>
        <v>69</v>
      </c>
    </row>
    <row r="33" spans="1:13" ht="12">
      <c r="A33" t="s">
        <v>17</v>
      </c>
      <c r="D33" s="8">
        <f>+D28/D32</f>
        <v>6.523809523809524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4.36231884057971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2</v>
      </c>
    </row>
    <row r="37" spans="1:13" ht="12">
      <c r="A37" t="s">
        <v>20</v>
      </c>
      <c r="D37" s="2">
        <v>0</v>
      </c>
      <c r="H37" t="s">
        <v>20</v>
      </c>
      <c r="M37" s="2">
        <v>16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9</v>
      </c>
    </row>
    <row r="41" spans="1:13" ht="12">
      <c r="A41" t="s">
        <v>23</v>
      </c>
      <c r="D41" s="2">
        <f>32+34+26+29+33</f>
        <v>154</v>
      </c>
      <c r="H41" t="s">
        <v>23</v>
      </c>
      <c r="M41" s="2">
        <f>62+42+27+32+26+41+37+34+44</f>
        <v>345</v>
      </c>
    </row>
    <row r="42" spans="1:13" ht="12">
      <c r="A42" t="s">
        <v>24</v>
      </c>
      <c r="D42" s="8">
        <f>+D41/D40</f>
        <v>30.8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38.333333333333336</v>
      </c>
    </row>
    <row r="44" spans="1:13" ht="12">
      <c r="A44" t="s">
        <v>25</v>
      </c>
      <c r="D44" s="2">
        <v>6</v>
      </c>
      <c r="H44" t="s">
        <v>25</v>
      </c>
      <c r="M44" s="2">
        <v>2</v>
      </c>
    </row>
    <row r="45" spans="1:13" ht="12">
      <c r="A45" t="s">
        <v>26</v>
      </c>
      <c r="D45" s="2">
        <f>10+24+18+2+29+37</f>
        <v>120</v>
      </c>
      <c r="H45" t="s">
        <v>26</v>
      </c>
      <c r="M45" s="2">
        <v>24</v>
      </c>
    </row>
    <row r="46" spans="1:13" ht="12">
      <c r="A46" t="s">
        <v>27</v>
      </c>
      <c r="D46" s="8">
        <f>+D45/D44</f>
        <v>20</v>
      </c>
      <c r="H46" t="s">
        <v>27</v>
      </c>
      <c r="M46" s="8">
        <f>+M45/M44</f>
        <v>12</v>
      </c>
    </row>
    <row r="47" spans="1:13" ht="12">
      <c r="A47" s="18" t="s">
        <v>131</v>
      </c>
      <c r="D47" s="2">
        <v>1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3</v>
      </c>
      <c r="H50" t="s">
        <v>30</v>
      </c>
      <c r="M50" s="2">
        <v>5</v>
      </c>
    </row>
    <row r="51" spans="1:13" ht="12">
      <c r="A51" t="s">
        <v>26</v>
      </c>
      <c r="D51" s="2">
        <f>27+32+19</f>
        <v>78</v>
      </c>
      <c r="H51" t="s">
        <v>26</v>
      </c>
      <c r="M51" s="2">
        <f>18+27+22+19+32</f>
        <v>118</v>
      </c>
    </row>
    <row r="52" spans="1:13" ht="12">
      <c r="A52" t="s">
        <v>27</v>
      </c>
      <c r="D52" s="8">
        <f>+D51/D50</f>
        <v>26</v>
      </c>
      <c r="H52" t="s">
        <v>27</v>
      </c>
      <c r="M52" s="8">
        <f>+M51/M50</f>
        <v>23.6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6</v>
      </c>
      <c r="G55" t="str">
        <f>IF(D55-D56=M50,"ok","err")</f>
        <v>ok</v>
      </c>
      <c r="H55" t="s">
        <v>127</v>
      </c>
      <c r="K55" s="2"/>
      <c r="M55" s="2">
        <v>3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0.16666666666666666</v>
      </c>
      <c r="H57" t="s">
        <v>129</v>
      </c>
      <c r="M57">
        <f>+M56/M55</f>
        <v>0</v>
      </c>
    </row>
    <row r="59" spans="1:13" ht="12">
      <c r="A59" t="s">
        <v>31</v>
      </c>
      <c r="D59" s="2">
        <v>6</v>
      </c>
      <c r="H59" t="s">
        <v>31</v>
      </c>
      <c r="M59" s="2">
        <v>8</v>
      </c>
    </row>
    <row r="60" spans="1:13" ht="12">
      <c r="A60" t="s">
        <v>32</v>
      </c>
      <c r="D60" s="2">
        <v>72</v>
      </c>
      <c r="H60" t="s">
        <v>32</v>
      </c>
      <c r="M60" s="2">
        <v>99</v>
      </c>
    </row>
    <row r="62" spans="1:13" ht="12">
      <c r="A62" t="s">
        <v>33</v>
      </c>
      <c r="D62" s="2">
        <v>1</v>
      </c>
      <c r="H62" t="s">
        <v>33</v>
      </c>
      <c r="M62" s="2">
        <v>0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31</v>
      </c>
      <c r="H68" t="s">
        <v>38</v>
      </c>
      <c r="M68" s="2">
        <v>14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4</v>
      </c>
      <c r="H69" t="s">
        <v>39</v>
      </c>
      <c r="M69" s="2">
        <v>2</v>
      </c>
    </row>
    <row r="70" spans="1:13" ht="12">
      <c r="A70" t="s">
        <v>40</v>
      </c>
      <c r="D70" s="2">
        <v>2</v>
      </c>
      <c r="H70" t="s">
        <v>40</v>
      </c>
      <c r="M70" s="2">
        <v>1</v>
      </c>
    </row>
    <row r="71" spans="1:13" ht="12">
      <c r="A71" t="s">
        <v>41</v>
      </c>
      <c r="D71" s="2">
        <v>2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4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0</v>
      </c>
    </row>
    <row r="77" spans="1:13" ht="12">
      <c r="A77" t="s">
        <v>46</v>
      </c>
      <c r="D77" s="2">
        <v>4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25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0</v>
      </c>
    </row>
    <row r="79" spans="1:13" ht="12">
      <c r="A79" t="s">
        <v>93</v>
      </c>
      <c r="D79" s="10" t="str">
        <f>IF(V25&lt;10,V29,V28)</f>
        <v>29:24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10</v>
      </c>
      <c r="D85">
        <v>38</v>
      </c>
      <c r="E85" s="12">
        <f>+D85/C85</f>
        <v>3.8</v>
      </c>
      <c r="F85">
        <v>15</v>
      </c>
      <c r="G85">
        <v>1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6</v>
      </c>
      <c r="D87">
        <v>16</v>
      </c>
      <c r="E87" s="12">
        <f t="shared" si="0"/>
        <v>2.6666666666666665</v>
      </c>
      <c r="F87">
        <v>4</v>
      </c>
      <c r="G87">
        <v>0</v>
      </c>
      <c r="H87">
        <v>0</v>
      </c>
    </row>
    <row r="88" spans="1:8" ht="12">
      <c r="A88" t="s">
        <v>138</v>
      </c>
      <c r="C88">
        <v>14</v>
      </c>
      <c r="D88">
        <v>117</v>
      </c>
      <c r="E88" s="12">
        <f t="shared" si="0"/>
        <v>8.357142857142858</v>
      </c>
      <c r="F88">
        <v>42</v>
      </c>
      <c r="G88">
        <v>1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1</v>
      </c>
      <c r="D92">
        <v>-1</v>
      </c>
      <c r="E92" s="12">
        <f t="shared" si="0"/>
        <v>-1</v>
      </c>
      <c r="F92">
        <v>-1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8" ht="12">
      <c r="A102" t="s">
        <v>135</v>
      </c>
      <c r="C102">
        <v>1</v>
      </c>
      <c r="D102">
        <v>5</v>
      </c>
      <c r="E102" s="12">
        <f t="shared" si="1"/>
        <v>5</v>
      </c>
      <c r="F102">
        <v>5</v>
      </c>
      <c r="G102">
        <v>0</v>
      </c>
      <c r="H102">
        <v>0</v>
      </c>
    </row>
    <row r="103" spans="1:8" ht="12">
      <c r="A103" t="s">
        <v>144</v>
      </c>
      <c r="C103">
        <v>6</v>
      </c>
      <c r="D103">
        <v>90</v>
      </c>
      <c r="E103" s="12">
        <f t="shared" si="1"/>
        <v>15</v>
      </c>
      <c r="F103">
        <v>32</v>
      </c>
      <c r="G103">
        <v>0</v>
      </c>
      <c r="H103">
        <v>1</v>
      </c>
    </row>
    <row r="104" spans="1:8" ht="12">
      <c r="A104" t="s">
        <v>136</v>
      </c>
      <c r="C104">
        <v>6</v>
      </c>
      <c r="D104">
        <v>84</v>
      </c>
      <c r="E104" s="12">
        <f t="shared" si="1"/>
        <v>14</v>
      </c>
      <c r="F104">
        <v>21</v>
      </c>
      <c r="G104">
        <v>2</v>
      </c>
      <c r="H104">
        <v>0</v>
      </c>
    </row>
    <row r="105" spans="1:8" ht="12">
      <c r="A105" t="s">
        <v>138</v>
      </c>
      <c r="C105">
        <v>1</v>
      </c>
      <c r="D105">
        <v>13</v>
      </c>
      <c r="E105" s="12">
        <f t="shared" si="1"/>
        <v>13</v>
      </c>
      <c r="F105">
        <v>13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2</v>
      </c>
      <c r="D107">
        <v>49</v>
      </c>
      <c r="E107" s="12">
        <f t="shared" si="1"/>
        <v>24.5</v>
      </c>
      <c r="F107">
        <v>38</v>
      </c>
      <c r="G107">
        <v>0</v>
      </c>
      <c r="H107">
        <v>0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30</v>
      </c>
      <c r="D123">
        <v>16</v>
      </c>
      <c r="E123" s="12">
        <f t="shared" si="2"/>
        <v>53.333333333333336</v>
      </c>
      <c r="F123">
        <v>241</v>
      </c>
      <c r="G123">
        <v>2</v>
      </c>
      <c r="H123">
        <v>38</v>
      </c>
      <c r="I123">
        <v>0</v>
      </c>
      <c r="J123" s="8">
        <f t="shared" si="3"/>
        <v>6.666666666666667</v>
      </c>
      <c r="K123" s="12">
        <f t="shared" si="4"/>
        <v>0</v>
      </c>
      <c r="L123" s="12">
        <f t="shared" si="5"/>
        <v>8.033333333333333</v>
      </c>
      <c r="M123" s="12">
        <f t="shared" si="6"/>
        <v>102.22222222222221</v>
      </c>
      <c r="N123">
        <v>0</v>
      </c>
      <c r="O123">
        <v>0</v>
      </c>
      <c r="R123">
        <f t="shared" si="7"/>
        <v>1.1666666666666667</v>
      </c>
      <c r="S123" s="2">
        <f t="shared" si="8"/>
        <v>1.1666666666666667</v>
      </c>
      <c r="T123" s="6">
        <f t="shared" si="9"/>
        <v>1.2583333333333333</v>
      </c>
      <c r="U123" s="2">
        <f t="shared" si="10"/>
        <v>1.2583333333333333</v>
      </c>
      <c r="V123">
        <f t="shared" si="11"/>
        <v>1.3333333333333335</v>
      </c>
      <c r="W123" s="2">
        <f t="shared" si="12"/>
        <v>1.3333333333333335</v>
      </c>
      <c r="X123">
        <f t="shared" si="13"/>
        <v>2.375</v>
      </c>
      <c r="Y123" s="2">
        <f t="shared" si="14"/>
        <v>2.375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C126">
        <v>2</v>
      </c>
      <c r="D126">
        <v>0</v>
      </c>
      <c r="E126" s="12">
        <f t="shared" si="2"/>
        <v>0</v>
      </c>
      <c r="F126">
        <v>0</v>
      </c>
      <c r="G126">
        <v>0</v>
      </c>
      <c r="H126">
        <v>0</v>
      </c>
      <c r="I126">
        <v>0</v>
      </c>
      <c r="J126" s="8">
        <f t="shared" si="3"/>
        <v>0</v>
      </c>
      <c r="K126" s="12">
        <f t="shared" si="4"/>
        <v>0</v>
      </c>
      <c r="L126" s="12">
        <f t="shared" si="5"/>
        <v>0</v>
      </c>
      <c r="M126" s="12">
        <f t="shared" si="6"/>
        <v>39.583333333333336</v>
      </c>
      <c r="N126">
        <v>0</v>
      </c>
      <c r="O126">
        <v>0</v>
      </c>
      <c r="R126">
        <f t="shared" si="7"/>
        <v>-1.5</v>
      </c>
      <c r="S126" s="2">
        <f t="shared" si="8"/>
        <v>0</v>
      </c>
      <c r="T126" s="6">
        <f t="shared" si="9"/>
        <v>-0.75</v>
      </c>
      <c r="U126" s="2">
        <f t="shared" si="10"/>
        <v>0</v>
      </c>
      <c r="V126">
        <f t="shared" si="11"/>
        <v>0</v>
      </c>
      <c r="W126" s="2">
        <f t="shared" si="12"/>
        <v>0</v>
      </c>
      <c r="X126">
        <f t="shared" si="13"/>
        <v>2.375</v>
      </c>
      <c r="Y126" s="2">
        <f t="shared" si="14"/>
        <v>2.375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5</v>
      </c>
      <c r="E131">
        <f>10+24+18+2+29</f>
        <v>83</v>
      </c>
      <c r="F131" s="12">
        <f aca="true" t="shared" si="15" ref="F131:F136">+E131/C131</f>
        <v>16.6</v>
      </c>
      <c r="G131">
        <v>29</v>
      </c>
    </row>
    <row r="132" spans="1:7" ht="12">
      <c r="A132" t="s">
        <v>149</v>
      </c>
      <c r="C132">
        <v>1</v>
      </c>
      <c r="D132">
        <v>1</v>
      </c>
      <c r="E132">
        <v>37</v>
      </c>
      <c r="F132" s="12">
        <f t="shared" si="15"/>
        <v>37</v>
      </c>
      <c r="G132">
        <v>37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8" ht="12">
      <c r="A146" t="s">
        <v>151</v>
      </c>
      <c r="C146">
        <v>3</v>
      </c>
      <c r="D146">
        <f>27+32+19</f>
        <v>78</v>
      </c>
      <c r="E146" s="12">
        <f t="shared" si="16"/>
        <v>26</v>
      </c>
      <c r="F146">
        <v>32</v>
      </c>
      <c r="G146">
        <v>0</v>
      </c>
      <c r="H146">
        <v>0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5</v>
      </c>
      <c r="D158">
        <f>32+34+26+29+33</f>
        <v>154</v>
      </c>
      <c r="F158">
        <v>34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20" ht="12">
      <c r="A164" t="s">
        <v>153</v>
      </c>
      <c r="C164">
        <v>6</v>
      </c>
      <c r="D164">
        <v>1</v>
      </c>
      <c r="E164">
        <v>4</v>
      </c>
      <c r="F164">
        <v>4</v>
      </c>
      <c r="G164">
        <v>4</v>
      </c>
      <c r="H164">
        <v>1</v>
      </c>
      <c r="I164" s="12">
        <f aca="true" t="shared" si="18" ref="I164:I171">+H164/G164*100</f>
        <v>25</v>
      </c>
      <c r="J164">
        <v>19</v>
      </c>
      <c r="L164">
        <v>1</v>
      </c>
      <c r="M164">
        <v>1</v>
      </c>
      <c r="P164">
        <v>1</v>
      </c>
      <c r="R164">
        <v>1</v>
      </c>
      <c r="T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6" ht="12">
      <c r="A176" t="s">
        <v>155</v>
      </c>
      <c r="C176">
        <v>2</v>
      </c>
      <c r="D176">
        <v>16</v>
      </c>
      <c r="E176" s="12">
        <f aca="true" t="shared" si="19" ref="E176:E182">+D176/C176</f>
        <v>8</v>
      </c>
      <c r="F176">
        <v>11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spans="1:3" ht="12">
      <c r="A253" t="s">
        <v>182</v>
      </c>
      <c r="C253">
        <v>1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12</v>
      </c>
      <c r="H6" s="1" t="s">
        <v>29</v>
      </c>
      <c r="M6" s="2">
        <v>14</v>
      </c>
    </row>
    <row r="7" spans="1:13" ht="12">
      <c r="A7" s="16" t="s">
        <v>95</v>
      </c>
      <c r="D7" s="2">
        <v>3</v>
      </c>
      <c r="H7" s="16" t="s">
        <v>95</v>
      </c>
      <c r="M7" s="2">
        <v>9</v>
      </c>
    </row>
    <row r="8" spans="1:13" ht="12">
      <c r="A8" s="16" t="s">
        <v>96</v>
      </c>
      <c r="D8" s="2">
        <v>8</v>
      </c>
      <c r="H8" s="16" t="s">
        <v>96</v>
      </c>
      <c r="M8" s="2">
        <v>5</v>
      </c>
    </row>
    <row r="9" spans="1:13" ht="12">
      <c r="A9" s="16" t="s">
        <v>97</v>
      </c>
      <c r="D9" s="2">
        <v>1</v>
      </c>
      <c r="H9" s="16" t="s">
        <v>97</v>
      </c>
      <c r="M9" s="2">
        <v>0</v>
      </c>
    </row>
    <row r="10" spans="1:14" ht="12">
      <c r="A10" s="18" t="s">
        <v>108</v>
      </c>
      <c r="C10">
        <v>4</v>
      </c>
      <c r="D10" s="2">
        <v>13</v>
      </c>
      <c r="E10" s="19">
        <f>+C10/D10</f>
        <v>0.3076923076923077</v>
      </c>
      <c r="H10" s="18" t="s">
        <v>108</v>
      </c>
      <c r="L10">
        <v>1</v>
      </c>
      <c r="M10" s="2">
        <v>12</v>
      </c>
      <c r="N10" s="19">
        <f>+L10/M10</f>
        <v>0.08333333333333333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8+6+5+3+1+6</f>
        <v>29</v>
      </c>
      <c r="H13" t="s">
        <v>1</v>
      </c>
      <c r="M13" s="2">
        <f>15+7+5+5</f>
        <v>32</v>
      </c>
      <c r="V13">
        <f>+D13</f>
        <v>29</v>
      </c>
      <c r="W13">
        <f>+M13</f>
        <v>32</v>
      </c>
    </row>
    <row r="14" spans="1:23" ht="12">
      <c r="A14" t="s">
        <v>2</v>
      </c>
      <c r="D14" s="2">
        <f>9+17+9+3+5+23</f>
        <v>66</v>
      </c>
      <c r="H14" t="s">
        <v>2</v>
      </c>
      <c r="M14" s="2">
        <f>34+37+34+14</f>
        <v>119</v>
      </c>
      <c r="P14" s="13"/>
      <c r="U14" s="13"/>
      <c r="V14">
        <f>+D18</f>
        <v>15</v>
      </c>
      <c r="W14">
        <f>+M18</f>
        <v>7</v>
      </c>
    </row>
    <row r="15" spans="1:23" ht="12">
      <c r="A15" s="1" t="s">
        <v>3</v>
      </c>
      <c r="D15" s="8">
        <f>+D14/D13</f>
        <v>2.2758620689655173</v>
      </c>
      <c r="H15" s="1" t="s">
        <v>3</v>
      </c>
      <c r="M15" s="8">
        <f>+M14/M13</f>
        <v>3.71875</v>
      </c>
      <c r="V15">
        <f>+(D17-D18)/2</f>
        <v>11</v>
      </c>
      <c r="W15">
        <f>+(M17-M18)/2</f>
        <v>9</v>
      </c>
    </row>
    <row r="16" spans="22:23" ht="12">
      <c r="V16">
        <f>+D40/2</f>
        <v>3</v>
      </c>
      <c r="W16">
        <f>+M40/2</f>
        <v>3.5</v>
      </c>
    </row>
    <row r="17" spans="1:23" ht="12">
      <c r="A17" t="s">
        <v>4</v>
      </c>
      <c r="D17" s="2">
        <v>37</v>
      </c>
      <c r="H17" t="s">
        <v>4</v>
      </c>
      <c r="M17" s="2">
        <v>25</v>
      </c>
      <c r="V17">
        <f>+D44/2</f>
        <v>2.5</v>
      </c>
      <c r="W17">
        <f>+M44/2</f>
        <v>2</v>
      </c>
    </row>
    <row r="18" spans="1:23" ht="12">
      <c r="A18" t="s">
        <v>5</v>
      </c>
      <c r="D18" s="2">
        <v>15</v>
      </c>
      <c r="H18" t="s">
        <v>5</v>
      </c>
      <c r="M18" s="2">
        <v>7</v>
      </c>
      <c r="V18">
        <f>+D50/2</f>
        <v>2.5</v>
      </c>
      <c r="W18">
        <f>+M50/2</f>
        <v>2</v>
      </c>
    </row>
    <row r="19" spans="1:13" ht="12">
      <c r="A19" t="s">
        <v>6</v>
      </c>
      <c r="D19" s="8">
        <f>+D18/D17*100</f>
        <v>40.54054054054054</v>
      </c>
      <c r="H19" t="s">
        <v>6</v>
      </c>
      <c r="M19" s="8">
        <f>+M18/M17*100</f>
        <v>28.000000000000004</v>
      </c>
    </row>
    <row r="20" spans="1:24" ht="12">
      <c r="A20" t="s">
        <v>7</v>
      </c>
      <c r="D20" s="2">
        <v>225</v>
      </c>
      <c r="H20" t="s">
        <v>7</v>
      </c>
      <c r="M20" s="2">
        <v>101</v>
      </c>
      <c r="V20">
        <f>SUM(V13:V18)</f>
        <v>63</v>
      </c>
      <c r="W20">
        <f>SUM(W13:W18)</f>
        <v>55.5</v>
      </c>
      <c r="X20">
        <f>+W20+V20</f>
        <v>118.5</v>
      </c>
    </row>
    <row r="21" spans="1:23" ht="12">
      <c r="A21" t="s">
        <v>8</v>
      </c>
      <c r="D21" s="2">
        <v>1</v>
      </c>
      <c r="H21" t="s">
        <v>8</v>
      </c>
      <c r="M21" s="2">
        <v>1</v>
      </c>
      <c r="V21">
        <f>+V20/X20</f>
        <v>0.5316455696202531</v>
      </c>
      <c r="W21">
        <f>+W20/X20</f>
        <v>0.46835443037974683</v>
      </c>
    </row>
    <row r="22" spans="1:23" ht="12">
      <c r="A22" t="s">
        <v>9</v>
      </c>
      <c r="D22" s="2">
        <v>0</v>
      </c>
      <c r="H22" t="s">
        <v>9</v>
      </c>
      <c r="M22" s="2">
        <v>10</v>
      </c>
      <c r="V22">
        <f>+V21*60</f>
        <v>31.898734177215186</v>
      </c>
      <c r="W22">
        <f>+W21*60</f>
        <v>28.10126582278481</v>
      </c>
    </row>
    <row r="23" spans="1:23" ht="12">
      <c r="A23" t="s">
        <v>10</v>
      </c>
      <c r="D23">
        <f>+D20-D22</f>
        <v>225</v>
      </c>
      <c r="H23" t="s">
        <v>10</v>
      </c>
      <c r="M23">
        <f>+M20-M22</f>
        <v>91</v>
      </c>
      <c r="V23">
        <f>+V22-INT(V22)</f>
        <v>0.8987341772151858</v>
      </c>
      <c r="W23">
        <f>+W22-INT(W22)</f>
        <v>0.10126582278481067</v>
      </c>
    </row>
    <row r="24" spans="1:23" ht="12">
      <c r="A24" t="s">
        <v>11</v>
      </c>
      <c r="D24" s="7">
        <f>+D23/(D17+D21)</f>
        <v>5.921052631578948</v>
      </c>
      <c r="H24" t="s">
        <v>11</v>
      </c>
      <c r="M24" s="7">
        <f>+M23/(M17+M21)</f>
        <v>3.5</v>
      </c>
      <c r="V24">
        <f>+V23*60</f>
        <v>53.92405063291115</v>
      </c>
      <c r="W24">
        <f>+W23*60</f>
        <v>6.07594936708864</v>
      </c>
    </row>
    <row r="25" spans="1:23" ht="12">
      <c r="A25" t="s">
        <v>12</v>
      </c>
      <c r="D25" s="7">
        <f>+D20/D18</f>
        <v>15</v>
      </c>
      <c r="H25" t="s">
        <v>12</v>
      </c>
      <c r="M25" s="7">
        <f>+M20/M18</f>
        <v>14.428571428571429</v>
      </c>
      <c r="Q25" s="11"/>
      <c r="U25">
        <v>0</v>
      </c>
      <c r="V25" s="11">
        <f>ROUND(V24,0)</f>
        <v>54</v>
      </c>
      <c r="W25">
        <f>ROUND(W24,0)</f>
        <v>6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291</v>
      </c>
      <c r="H28" t="s">
        <v>14</v>
      </c>
      <c r="M28">
        <f>+M23+M14</f>
        <v>210</v>
      </c>
      <c r="Q28" s="14"/>
      <c r="R28" s="9"/>
      <c r="V28" s="14" t="str">
        <f>+V26&amp;V27&amp;V25</f>
        <v>31:54</v>
      </c>
      <c r="W28" s="9" t="str">
        <f>+W26&amp;W27&amp;W25</f>
        <v>28:6</v>
      </c>
    </row>
    <row r="29" spans="1:23" ht="12">
      <c r="A29" t="s">
        <v>15</v>
      </c>
      <c r="D29" s="7">
        <f>+D14/D28*100</f>
        <v>22.68041237113402</v>
      </c>
      <c r="H29" t="s">
        <v>15</v>
      </c>
      <c r="M29" s="7">
        <f>+M14/M28*100</f>
        <v>56.666666666666664</v>
      </c>
      <c r="Q29" s="9"/>
      <c r="R29" s="9"/>
      <c r="V29" s="9" t="str">
        <f>IF(V25&lt;10,+V26&amp;V27&amp;$U$25&amp;V25,+V26&amp;V27&amp;V25)</f>
        <v>31:54</v>
      </c>
      <c r="W29" s="9" t="str">
        <f>IF(W25&lt;10,+W26&amp;W27&amp;$U$25&amp;W25,+W26&amp;W27&amp;W25)</f>
        <v>28:06</v>
      </c>
    </row>
    <row r="30" spans="1:16" ht="12">
      <c r="A30" s="1" t="s">
        <v>90</v>
      </c>
      <c r="D30" s="7">
        <f>+D23/D28*100</f>
        <v>77.31958762886599</v>
      </c>
      <c r="H30" s="1" t="s">
        <v>90</v>
      </c>
      <c r="M30" s="7">
        <f>+M23/M28*100</f>
        <v>43.333333333333336</v>
      </c>
      <c r="P30" s="13"/>
    </row>
    <row r="32" spans="1:13" ht="12">
      <c r="A32" t="s">
        <v>16</v>
      </c>
      <c r="D32">
        <f>+D13+D17+D21</f>
        <v>67</v>
      </c>
      <c r="H32" t="s">
        <v>16</v>
      </c>
      <c r="M32">
        <f>+M13+M17+M21</f>
        <v>58</v>
      </c>
    </row>
    <row r="33" spans="1:13" ht="12">
      <c r="A33" t="s">
        <v>17</v>
      </c>
      <c r="D33" s="8">
        <f>+D28/D32</f>
        <v>4.343283582089552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3.6206896551724137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3</v>
      </c>
      <c r="H36" t="s">
        <v>19</v>
      </c>
      <c r="M36" s="2">
        <v>1</v>
      </c>
    </row>
    <row r="37" spans="1:13" ht="12">
      <c r="A37" t="s">
        <v>20</v>
      </c>
      <c r="D37" s="2">
        <f>0+49+28</f>
        <v>77</v>
      </c>
      <c r="H37" t="s">
        <v>20</v>
      </c>
      <c r="M37" s="2">
        <v>75</v>
      </c>
    </row>
    <row r="38" spans="1:13" ht="12">
      <c r="A38" t="s">
        <v>21</v>
      </c>
      <c r="D38" s="2">
        <v>1</v>
      </c>
      <c r="H38" t="s">
        <v>21</v>
      </c>
      <c r="M38" s="2">
        <v>1</v>
      </c>
    </row>
    <row r="40" spans="1:13" ht="12">
      <c r="A40" t="s">
        <v>22</v>
      </c>
      <c r="D40" s="2">
        <v>6</v>
      </c>
      <c r="H40" t="s">
        <v>22</v>
      </c>
      <c r="M40" s="2">
        <v>7</v>
      </c>
    </row>
    <row r="41" spans="1:13" ht="12">
      <c r="A41" t="s">
        <v>23</v>
      </c>
      <c r="D41" s="2">
        <f>29+29+34+33+37+32</f>
        <v>194</v>
      </c>
      <c r="H41" t="s">
        <v>23</v>
      </c>
      <c r="M41" s="2">
        <f>48+32+42+57+41+40+41</f>
        <v>301</v>
      </c>
    </row>
    <row r="42" spans="1:13" ht="12">
      <c r="A42" t="s">
        <v>24</v>
      </c>
      <c r="D42" s="8">
        <f>+D41/D40</f>
        <v>32.333333333333336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43</v>
      </c>
    </row>
    <row r="44" spans="1:13" ht="12">
      <c r="A44" t="s">
        <v>25</v>
      </c>
      <c r="D44" s="2">
        <v>5</v>
      </c>
      <c r="H44" t="s">
        <v>25</v>
      </c>
      <c r="M44" s="2">
        <v>4</v>
      </c>
    </row>
    <row r="45" spans="1:13" ht="12">
      <c r="A45" t="s">
        <v>26</v>
      </c>
      <c r="D45" s="2">
        <f>11-1+67+4+11</f>
        <v>92</v>
      </c>
      <c r="H45" t="s">
        <v>26</v>
      </c>
      <c r="M45" s="2">
        <f>8+0+16+12</f>
        <v>36</v>
      </c>
    </row>
    <row r="46" spans="1:13" ht="12">
      <c r="A46" t="s">
        <v>27</v>
      </c>
      <c r="D46" s="8">
        <f>+D45/D44</f>
        <v>18.4</v>
      </c>
      <c r="H46" t="s">
        <v>27</v>
      </c>
      <c r="M46" s="8">
        <f>+M45/M44</f>
        <v>9</v>
      </c>
    </row>
    <row r="47" spans="1:13" ht="12">
      <c r="A47" s="18" t="s">
        <v>131</v>
      </c>
      <c r="D47" s="2">
        <v>1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4</v>
      </c>
    </row>
    <row r="51" spans="1:13" ht="12">
      <c r="A51" t="s">
        <v>26</v>
      </c>
      <c r="D51" s="2">
        <f>12+11+12+4+22</f>
        <v>61</v>
      </c>
      <c r="H51" t="s">
        <v>26</v>
      </c>
      <c r="M51" s="2">
        <f>5+18+101+0</f>
        <v>124</v>
      </c>
    </row>
    <row r="52" spans="1:13" ht="12">
      <c r="A52" t="s">
        <v>27</v>
      </c>
      <c r="D52" s="8">
        <f>+D51/D50</f>
        <v>12.2</v>
      </c>
      <c r="H52" t="s">
        <v>27</v>
      </c>
      <c r="M52" s="8">
        <f>+M51/M50</f>
        <v>31</v>
      </c>
    </row>
    <row r="53" spans="1:13" ht="12">
      <c r="A53" t="s">
        <v>28</v>
      </c>
      <c r="D53" s="2">
        <v>0</v>
      </c>
      <c r="H53" t="s">
        <v>28</v>
      </c>
      <c r="M53" s="2">
        <v>1</v>
      </c>
    </row>
    <row r="55" spans="1:16" ht="12">
      <c r="A55" t="s">
        <v>127</v>
      </c>
      <c r="D55" s="2">
        <v>5</v>
      </c>
      <c r="G55" t="str">
        <f>IF(D55-D56=M50,"ok","err")</f>
        <v>ok</v>
      </c>
      <c r="H55" t="s">
        <v>127</v>
      </c>
      <c r="K55" s="2"/>
      <c r="M55" s="2">
        <v>6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0.2</v>
      </c>
      <c r="H57" t="s">
        <v>129</v>
      </c>
      <c r="M57">
        <f>+M56/M55</f>
        <v>0.16666666666666666</v>
      </c>
    </row>
    <row r="59" spans="1:13" ht="12">
      <c r="A59" t="s">
        <v>31</v>
      </c>
      <c r="D59" s="2">
        <v>2</v>
      </c>
      <c r="H59" t="s">
        <v>31</v>
      </c>
      <c r="M59" s="2">
        <v>5</v>
      </c>
    </row>
    <row r="60" spans="1:13" ht="12">
      <c r="A60" t="s">
        <v>32</v>
      </c>
      <c r="D60" s="2">
        <v>10</v>
      </c>
      <c r="H60" t="s">
        <v>32</v>
      </c>
      <c r="M60" s="2">
        <v>48</v>
      </c>
    </row>
    <row r="62" spans="1:13" ht="12">
      <c r="A62" t="s">
        <v>33</v>
      </c>
      <c r="D62" s="2">
        <v>1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2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24</v>
      </c>
      <c r="H68" t="s">
        <v>38</v>
      </c>
      <c r="M68" s="2">
        <v>31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3</v>
      </c>
      <c r="H69" t="s">
        <v>39</v>
      </c>
      <c r="M69" s="2">
        <v>4</v>
      </c>
    </row>
    <row r="70" spans="1:13" ht="12">
      <c r="A70" t="s">
        <v>40</v>
      </c>
      <c r="D70" s="2">
        <v>0</v>
      </c>
      <c r="H70" t="s">
        <v>40</v>
      </c>
      <c r="M70" s="2">
        <v>1</v>
      </c>
    </row>
    <row r="71" spans="1:13" ht="12">
      <c r="A71" t="s">
        <v>41</v>
      </c>
      <c r="D71" s="2">
        <v>2</v>
      </c>
      <c r="H71" t="s">
        <v>41</v>
      </c>
      <c r="M71" s="2">
        <v>1</v>
      </c>
    </row>
    <row r="72" spans="1:13" ht="12">
      <c r="A72" t="s">
        <v>42</v>
      </c>
      <c r="D72" s="2">
        <v>1</v>
      </c>
      <c r="H72" t="s">
        <v>42</v>
      </c>
      <c r="M72" s="2">
        <v>2</v>
      </c>
    </row>
    <row r="73" spans="1:13" ht="12">
      <c r="A73" t="s">
        <v>43</v>
      </c>
      <c r="D73" s="2">
        <v>3</v>
      </c>
      <c r="H73" t="s">
        <v>43</v>
      </c>
      <c r="M73" s="2">
        <v>4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4</v>
      </c>
    </row>
    <row r="78" spans="1:13" ht="12">
      <c r="A78" t="s">
        <v>47</v>
      </c>
      <c r="D78" s="8">
        <f>+D76/D77*100</f>
        <v>33.33333333333333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25</v>
      </c>
    </row>
    <row r="79" spans="1:13" ht="12">
      <c r="A79" t="s">
        <v>93</v>
      </c>
      <c r="D79" s="10" t="str">
        <f>IF(V25&lt;10,V29,V28)</f>
        <v>31:54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3</v>
      </c>
      <c r="D85">
        <v>3</v>
      </c>
      <c r="E85" s="12">
        <f>+D85/C85</f>
        <v>1</v>
      </c>
      <c r="F85">
        <v>5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6</v>
      </c>
      <c r="D87">
        <v>23</v>
      </c>
      <c r="E87" s="12">
        <f t="shared" si="0"/>
        <v>3.8333333333333335</v>
      </c>
      <c r="F87">
        <v>13</v>
      </c>
      <c r="G87">
        <v>0</v>
      </c>
      <c r="H87">
        <v>0</v>
      </c>
    </row>
    <row r="88" spans="1:8" ht="12">
      <c r="A88" t="s">
        <v>138</v>
      </c>
      <c r="C88">
        <v>6</v>
      </c>
      <c r="D88">
        <v>17</v>
      </c>
      <c r="E88" s="12">
        <f t="shared" si="0"/>
        <v>2.8333333333333335</v>
      </c>
      <c r="F88">
        <v>11</v>
      </c>
      <c r="G88">
        <v>0</v>
      </c>
      <c r="H88">
        <v>0</v>
      </c>
    </row>
    <row r="89" spans="1:8" ht="12">
      <c r="A89" t="s">
        <v>139</v>
      </c>
      <c r="C89">
        <v>5</v>
      </c>
      <c r="D89">
        <v>9</v>
      </c>
      <c r="E89" s="12">
        <f t="shared" si="0"/>
        <v>1.8</v>
      </c>
      <c r="F89">
        <v>9</v>
      </c>
      <c r="G89">
        <v>0</v>
      </c>
      <c r="H89">
        <v>0</v>
      </c>
    </row>
    <row r="90" spans="1:8" ht="12">
      <c r="A90" t="s">
        <v>140</v>
      </c>
      <c r="C90">
        <v>8</v>
      </c>
      <c r="D90">
        <v>9</v>
      </c>
      <c r="E90" s="12">
        <f t="shared" si="0"/>
        <v>1.125</v>
      </c>
      <c r="F90">
        <v>3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1</v>
      </c>
      <c r="D92">
        <v>5</v>
      </c>
      <c r="E92" s="12">
        <f t="shared" si="0"/>
        <v>5</v>
      </c>
      <c r="F92">
        <v>5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8" ht="12">
      <c r="A102" t="s">
        <v>135</v>
      </c>
      <c r="C102">
        <v>2</v>
      </c>
      <c r="D102">
        <v>27</v>
      </c>
      <c r="E102" s="12">
        <f t="shared" si="1"/>
        <v>13.5</v>
      </c>
      <c r="F102">
        <v>19</v>
      </c>
      <c r="G102">
        <v>0</v>
      </c>
      <c r="H102">
        <v>0</v>
      </c>
    </row>
    <row r="103" spans="1:8" ht="12">
      <c r="A103" t="s">
        <v>144</v>
      </c>
      <c r="C103">
        <v>7</v>
      </c>
      <c r="D103">
        <v>166</v>
      </c>
      <c r="E103" s="12">
        <f t="shared" si="1"/>
        <v>23.714285714285715</v>
      </c>
      <c r="F103">
        <v>73</v>
      </c>
      <c r="G103">
        <v>2</v>
      </c>
      <c r="H103">
        <v>0</v>
      </c>
    </row>
    <row r="104" spans="1:8" ht="12">
      <c r="A104" t="s">
        <v>136</v>
      </c>
      <c r="C104">
        <v>1</v>
      </c>
      <c r="D104">
        <v>0</v>
      </c>
      <c r="E104" s="12">
        <f t="shared" si="1"/>
        <v>0</v>
      </c>
      <c r="F104">
        <v>0</v>
      </c>
      <c r="G104">
        <v>0</v>
      </c>
      <c r="H104">
        <v>0</v>
      </c>
    </row>
    <row r="105" spans="1:8" ht="12">
      <c r="A105" t="s">
        <v>138</v>
      </c>
      <c r="C105">
        <v>2</v>
      </c>
      <c r="D105">
        <v>17</v>
      </c>
      <c r="E105" s="12">
        <f t="shared" si="1"/>
        <v>8.5</v>
      </c>
      <c r="F105">
        <v>14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5</v>
      </c>
      <c r="E107" s="12">
        <f t="shared" si="1"/>
        <v>5</v>
      </c>
      <c r="F107">
        <v>5</v>
      </c>
      <c r="G107">
        <v>0</v>
      </c>
      <c r="H107">
        <v>0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2</v>
      </c>
      <c r="D109">
        <v>10</v>
      </c>
      <c r="E109" s="12">
        <f t="shared" si="1"/>
        <v>5</v>
      </c>
      <c r="F109">
        <v>5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36</v>
      </c>
      <c r="D123">
        <v>14</v>
      </c>
      <c r="E123" s="12">
        <f t="shared" si="2"/>
        <v>38.88888888888889</v>
      </c>
      <c r="F123">
        <v>200</v>
      </c>
      <c r="G123">
        <v>2</v>
      </c>
      <c r="H123">
        <v>73</v>
      </c>
      <c r="I123">
        <v>3</v>
      </c>
      <c r="J123" s="8">
        <f t="shared" si="3"/>
        <v>5.555555555555555</v>
      </c>
      <c r="K123" s="12">
        <f t="shared" si="4"/>
        <v>8.333333333333332</v>
      </c>
      <c r="L123" s="12">
        <f t="shared" si="5"/>
        <v>5.555555555555555</v>
      </c>
      <c r="M123" s="12">
        <f t="shared" si="6"/>
        <v>41.4351851851852</v>
      </c>
      <c r="N123">
        <v>0</v>
      </c>
      <c r="O123">
        <v>1</v>
      </c>
      <c r="R123">
        <f t="shared" si="7"/>
        <v>0.44444444444444464</v>
      </c>
      <c r="S123" s="2">
        <f t="shared" si="8"/>
        <v>0.44444444444444464</v>
      </c>
      <c r="T123" s="6">
        <f t="shared" si="9"/>
        <v>0.6388888888888888</v>
      </c>
      <c r="U123" s="2">
        <f t="shared" si="10"/>
        <v>0.6388888888888888</v>
      </c>
      <c r="V123">
        <f t="shared" si="11"/>
        <v>1.1111111111111112</v>
      </c>
      <c r="W123" s="2">
        <f t="shared" si="12"/>
        <v>1.1111111111111112</v>
      </c>
      <c r="X123">
        <f t="shared" si="13"/>
        <v>0.29166666666666696</v>
      </c>
      <c r="Y123" s="2">
        <f t="shared" si="14"/>
        <v>0.29166666666666696</v>
      </c>
    </row>
    <row r="124" spans="1:25" ht="12">
      <c r="A124" t="s">
        <v>139</v>
      </c>
      <c r="C124">
        <v>1</v>
      </c>
      <c r="D124">
        <v>1</v>
      </c>
      <c r="E124" s="12">
        <f t="shared" si="2"/>
        <v>100</v>
      </c>
      <c r="F124">
        <v>25</v>
      </c>
      <c r="G124">
        <v>0</v>
      </c>
      <c r="H124">
        <v>25</v>
      </c>
      <c r="I124">
        <v>0</v>
      </c>
      <c r="J124" s="8">
        <f t="shared" si="3"/>
        <v>0</v>
      </c>
      <c r="K124" s="12">
        <f t="shared" si="4"/>
        <v>0</v>
      </c>
      <c r="L124" s="12">
        <f t="shared" si="5"/>
        <v>25</v>
      </c>
      <c r="M124" s="12">
        <f t="shared" si="6"/>
        <v>118.75</v>
      </c>
      <c r="N124">
        <v>0</v>
      </c>
      <c r="O124">
        <v>0</v>
      </c>
      <c r="R124">
        <f t="shared" si="7"/>
        <v>3.5</v>
      </c>
      <c r="S124" s="2">
        <f t="shared" si="8"/>
        <v>2.375</v>
      </c>
      <c r="T124" s="6">
        <f t="shared" si="9"/>
        <v>5.5</v>
      </c>
      <c r="U124" s="2">
        <f t="shared" si="10"/>
        <v>2.375</v>
      </c>
      <c r="V124">
        <f t="shared" si="11"/>
        <v>0</v>
      </c>
      <c r="W124" s="2">
        <f t="shared" si="12"/>
        <v>0</v>
      </c>
      <c r="X124">
        <f t="shared" si="13"/>
        <v>2.375</v>
      </c>
      <c r="Y124" s="2">
        <f t="shared" si="14"/>
        <v>2.375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9" ht="12">
      <c r="A131" t="s">
        <v>148</v>
      </c>
      <c r="C131">
        <v>5</v>
      </c>
      <c r="D131">
        <v>1</v>
      </c>
      <c r="E131">
        <f>11-1+67+4+11</f>
        <v>92</v>
      </c>
      <c r="F131" s="12">
        <f aca="true" t="shared" si="15" ref="F131:F136">+E131/C131</f>
        <v>18.4</v>
      </c>
      <c r="G131">
        <v>67</v>
      </c>
      <c r="H131">
        <v>0</v>
      </c>
      <c r="I131">
        <v>0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6" ht="12">
      <c r="A143" t="s">
        <v>139</v>
      </c>
      <c r="C143">
        <v>3</v>
      </c>
      <c r="D143">
        <f>12+11+12</f>
        <v>35</v>
      </c>
      <c r="E143" s="12">
        <f t="shared" si="16"/>
        <v>11.666666666666666</v>
      </c>
      <c r="F143">
        <v>12</v>
      </c>
    </row>
    <row r="144" spans="1:6" ht="12">
      <c r="A144" t="s">
        <v>140</v>
      </c>
      <c r="C144">
        <v>1</v>
      </c>
      <c r="D144">
        <v>22</v>
      </c>
      <c r="E144" s="12">
        <f t="shared" si="16"/>
        <v>22</v>
      </c>
      <c r="F144">
        <v>22</v>
      </c>
    </row>
    <row r="145" spans="1:5" ht="12">
      <c r="A145" t="s">
        <v>142</v>
      </c>
      <c r="E145" s="12" t="e">
        <f t="shared" si="16"/>
        <v>#DIV/0!</v>
      </c>
    </row>
    <row r="146" spans="1:8" ht="12">
      <c r="A146" t="s">
        <v>151</v>
      </c>
      <c r="C146">
        <v>1</v>
      </c>
      <c r="D146">
        <v>4</v>
      </c>
      <c r="E146" s="12">
        <f t="shared" si="16"/>
        <v>4</v>
      </c>
      <c r="F146">
        <v>4</v>
      </c>
      <c r="H146">
        <v>1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6</v>
      </c>
      <c r="D158">
        <f>29+29+34+33+37+32</f>
        <v>194</v>
      </c>
      <c r="F158">
        <v>37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6" ht="12">
      <c r="A164" t="s">
        <v>153</v>
      </c>
      <c r="C164">
        <v>5</v>
      </c>
      <c r="D164">
        <v>1</v>
      </c>
      <c r="E164">
        <v>3</v>
      </c>
      <c r="F164">
        <v>3</v>
      </c>
      <c r="G164">
        <v>3</v>
      </c>
      <c r="H164">
        <v>1</v>
      </c>
      <c r="I164" s="12">
        <f aca="true" t="shared" si="18" ref="I164:I171">+H164/G164*100</f>
        <v>33.33333333333333</v>
      </c>
      <c r="J164">
        <v>10</v>
      </c>
      <c r="L164">
        <v>1</v>
      </c>
      <c r="M164">
        <v>1</v>
      </c>
      <c r="P164">
        <v>2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7" ht="12">
      <c r="A179" t="s">
        <v>149</v>
      </c>
      <c r="C179">
        <v>1</v>
      </c>
      <c r="D179">
        <v>75</v>
      </c>
      <c r="E179" s="12">
        <f t="shared" si="19"/>
        <v>75</v>
      </c>
      <c r="F179">
        <v>75</v>
      </c>
      <c r="G179">
        <v>1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>
        <v>1</v>
      </c>
      <c r="D194" s="3">
        <v>10</v>
      </c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21</v>
      </c>
      <c r="H6" s="1" t="s">
        <v>29</v>
      </c>
      <c r="M6" s="2">
        <v>14</v>
      </c>
    </row>
    <row r="7" spans="1:13" ht="12">
      <c r="A7" s="16" t="s">
        <v>95</v>
      </c>
      <c r="D7" s="2">
        <v>9</v>
      </c>
      <c r="H7" s="16" t="s">
        <v>95</v>
      </c>
      <c r="M7" s="2">
        <v>4</v>
      </c>
    </row>
    <row r="8" spans="1:13" ht="12">
      <c r="A8" s="16" t="s">
        <v>96</v>
      </c>
      <c r="D8" s="2">
        <v>12</v>
      </c>
      <c r="H8" s="16" t="s">
        <v>96</v>
      </c>
      <c r="M8" s="2">
        <v>9</v>
      </c>
    </row>
    <row r="9" spans="1:13" ht="12">
      <c r="A9" s="16" t="s">
        <v>97</v>
      </c>
      <c r="D9" s="2">
        <v>0</v>
      </c>
      <c r="H9" s="16" t="s">
        <v>97</v>
      </c>
      <c r="M9" s="2">
        <v>1</v>
      </c>
    </row>
    <row r="10" spans="1:14" ht="12">
      <c r="A10" s="18" t="s">
        <v>108</v>
      </c>
      <c r="C10">
        <v>3</v>
      </c>
      <c r="D10" s="2">
        <v>12</v>
      </c>
      <c r="E10" s="19">
        <f>+C10/D10</f>
        <v>0.25</v>
      </c>
      <c r="H10" s="18" t="s">
        <v>108</v>
      </c>
      <c r="L10">
        <v>3</v>
      </c>
      <c r="M10" s="2">
        <v>11</v>
      </c>
      <c r="N10" s="19">
        <f>+L10/M10</f>
        <v>0.2727272727272727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14+8+5+1+3</f>
        <v>31</v>
      </c>
      <c r="H13" t="s">
        <v>1</v>
      </c>
      <c r="M13" s="2">
        <f>9+8+7+4+2</f>
        <v>30</v>
      </c>
      <c r="V13">
        <f>+D13</f>
        <v>31</v>
      </c>
      <c r="W13">
        <f>+M13</f>
        <v>30</v>
      </c>
    </row>
    <row r="14" spans="1:23" ht="12">
      <c r="A14" t="s">
        <v>2</v>
      </c>
      <c r="D14" s="2">
        <f>62+52+13+3+20</f>
        <v>150</v>
      </c>
      <c r="H14" t="s">
        <v>2</v>
      </c>
      <c r="M14" s="2">
        <f>27+20+9+3+15</f>
        <v>74</v>
      </c>
      <c r="P14" s="13"/>
      <c r="U14" s="13"/>
      <c r="V14">
        <f>+D18</f>
        <v>17</v>
      </c>
      <c r="W14">
        <f>+M18</f>
        <v>16</v>
      </c>
    </row>
    <row r="15" spans="1:23" ht="12">
      <c r="A15" s="1" t="s">
        <v>3</v>
      </c>
      <c r="D15" s="8">
        <f>+D14/D13</f>
        <v>4.838709677419355</v>
      </c>
      <c r="H15" s="1" t="s">
        <v>3</v>
      </c>
      <c r="M15" s="8">
        <f>+M14/M13</f>
        <v>2.466666666666667</v>
      </c>
      <c r="V15">
        <f>+(D17-D18)/2</f>
        <v>10.5</v>
      </c>
      <c r="W15">
        <f>+(M17-M18)/2</f>
        <v>7.5</v>
      </c>
    </row>
    <row r="16" spans="22:23" ht="12">
      <c r="V16">
        <f>+D40/2</f>
        <v>1.5</v>
      </c>
      <c r="W16">
        <f>+M40/2</f>
        <v>3.5</v>
      </c>
    </row>
    <row r="17" spans="1:23" ht="12">
      <c r="A17" t="s">
        <v>4</v>
      </c>
      <c r="D17" s="2">
        <v>38</v>
      </c>
      <c r="H17" t="s">
        <v>4</v>
      </c>
      <c r="M17" s="2">
        <v>31</v>
      </c>
      <c r="V17">
        <f>+D44/2</f>
        <v>2.5</v>
      </c>
      <c r="W17">
        <f>+M44/2</f>
        <v>0.5</v>
      </c>
    </row>
    <row r="18" spans="1:23" ht="12">
      <c r="A18" t="s">
        <v>5</v>
      </c>
      <c r="D18" s="2">
        <v>17</v>
      </c>
      <c r="H18" t="s">
        <v>5</v>
      </c>
      <c r="M18" s="2">
        <v>16</v>
      </c>
      <c r="V18">
        <f>+D50/2</f>
        <v>2</v>
      </c>
      <c r="W18">
        <f>+M50/2</f>
        <v>1.5</v>
      </c>
    </row>
    <row r="19" spans="1:13" ht="12">
      <c r="A19" t="s">
        <v>6</v>
      </c>
      <c r="D19" s="8">
        <f>+D18/D17*100</f>
        <v>44.73684210526316</v>
      </c>
      <c r="H19" t="s">
        <v>6</v>
      </c>
      <c r="M19" s="8">
        <f>+M18/M17*100</f>
        <v>51.61290322580645</v>
      </c>
    </row>
    <row r="20" spans="1:24" ht="12">
      <c r="A20" t="s">
        <v>7</v>
      </c>
      <c r="D20" s="2">
        <f>147+113</f>
        <v>260</v>
      </c>
      <c r="H20" t="s">
        <v>7</v>
      </c>
      <c r="M20" s="2">
        <v>239</v>
      </c>
      <c r="V20">
        <f>SUM(V13:V18)</f>
        <v>64.5</v>
      </c>
      <c r="W20">
        <f>SUM(W13:W18)</f>
        <v>59</v>
      </c>
      <c r="X20">
        <f>+W20+V20</f>
        <v>123.5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>
        <f>+V20/X20</f>
        <v>0.5222672064777328</v>
      </c>
      <c r="W21">
        <f>+W20/X20</f>
        <v>0.4777327935222672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>
        <f>+V21*60</f>
        <v>31.33603238866397</v>
      </c>
      <c r="W22">
        <f>+W21*60</f>
        <v>28.663967611336034</v>
      </c>
    </row>
    <row r="23" spans="1:23" ht="12">
      <c r="A23" t="s">
        <v>10</v>
      </c>
      <c r="D23">
        <f>+D20-D22</f>
        <v>260</v>
      </c>
      <c r="H23" t="s">
        <v>10</v>
      </c>
      <c r="M23">
        <f>+M20-M22</f>
        <v>239</v>
      </c>
      <c r="V23">
        <f>+V22-INT(V22)</f>
        <v>0.3360323886639698</v>
      </c>
      <c r="W23">
        <f>+W22-INT(W22)</f>
        <v>0.6639676113360338</v>
      </c>
    </row>
    <row r="24" spans="1:23" ht="12">
      <c r="A24" t="s">
        <v>11</v>
      </c>
      <c r="D24" s="7">
        <f>+D23/(D17+D21)</f>
        <v>6.842105263157895</v>
      </c>
      <c r="H24" t="s">
        <v>11</v>
      </c>
      <c r="M24" s="7">
        <f>+M23/(M17+M21)</f>
        <v>7.709677419354839</v>
      </c>
      <c r="V24">
        <f>+V23*60</f>
        <v>20.161943319838187</v>
      </c>
      <c r="W24">
        <f>+W23*60</f>
        <v>39.838056680162026</v>
      </c>
    </row>
    <row r="25" spans="1:23" ht="12">
      <c r="A25" t="s">
        <v>12</v>
      </c>
      <c r="D25" s="7">
        <f>+D20/D18</f>
        <v>15.294117647058824</v>
      </c>
      <c r="H25" t="s">
        <v>12</v>
      </c>
      <c r="M25" s="7">
        <f>+M20/M18</f>
        <v>14.9375</v>
      </c>
      <c r="Q25" s="11"/>
      <c r="U25">
        <v>0</v>
      </c>
      <c r="V25" s="11">
        <f>ROUND(V24,0)</f>
        <v>20</v>
      </c>
      <c r="W25">
        <f>ROUND(W24,0)</f>
        <v>40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410</v>
      </c>
      <c r="H28" t="s">
        <v>14</v>
      </c>
      <c r="M28">
        <f>+M23+M14</f>
        <v>313</v>
      </c>
      <c r="Q28" s="14"/>
      <c r="R28" s="9"/>
      <c r="V28" s="14" t="str">
        <f>+V26&amp;V27&amp;V25</f>
        <v>31:20</v>
      </c>
      <c r="W28" s="9" t="str">
        <f>+W26&amp;W27&amp;W25</f>
        <v>28:40</v>
      </c>
    </row>
    <row r="29" spans="1:23" ht="12">
      <c r="A29" t="s">
        <v>15</v>
      </c>
      <c r="D29" s="7">
        <f>+D14/D28*100</f>
        <v>36.58536585365854</v>
      </c>
      <c r="H29" t="s">
        <v>15</v>
      </c>
      <c r="M29" s="7">
        <f>+M14/M28*100</f>
        <v>23.642172523961662</v>
      </c>
      <c r="Q29" s="9"/>
      <c r="R29" s="9"/>
      <c r="V29" s="9" t="str">
        <f>IF(V25&lt;10,+V26&amp;V27&amp;$U$25&amp;V25,+V26&amp;V27&amp;V25)</f>
        <v>31:20</v>
      </c>
      <c r="W29" s="9" t="str">
        <f>IF(W25&lt;10,+W26&amp;W27&amp;$U$25&amp;W25,+W26&amp;W27&amp;W25)</f>
        <v>28:40</v>
      </c>
    </row>
    <row r="30" spans="1:16" ht="12">
      <c r="A30" s="1" t="s">
        <v>90</v>
      </c>
      <c r="D30" s="7">
        <f>+D23/D28*100</f>
        <v>63.41463414634146</v>
      </c>
      <c r="H30" s="1" t="s">
        <v>90</v>
      </c>
      <c r="M30" s="7">
        <f>+M23/M28*100</f>
        <v>76.35782747603834</v>
      </c>
      <c r="P30" s="13"/>
    </row>
    <row r="32" spans="1:13" ht="12">
      <c r="A32" t="s">
        <v>16</v>
      </c>
      <c r="D32">
        <f>+D13+D17+D21</f>
        <v>69</v>
      </c>
      <c r="H32" t="s">
        <v>16</v>
      </c>
      <c r="M32">
        <f>+M13+M17+M21</f>
        <v>61</v>
      </c>
    </row>
    <row r="33" spans="1:14" ht="12">
      <c r="A33" t="s">
        <v>17</v>
      </c>
      <c r="C33" s="7"/>
      <c r="D33" s="8">
        <f>+D28/D32</f>
        <v>5.942028985507246</v>
      </c>
      <c r="F33" s="7"/>
      <c r="G33" s="7"/>
      <c r="H33" s="7" t="s">
        <v>17</v>
      </c>
      <c r="I33" s="7"/>
      <c r="J33" s="7"/>
      <c r="K33" s="7"/>
      <c r="M33" s="8">
        <f>+M28/M32</f>
        <v>5.131147540983607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3</v>
      </c>
      <c r="H36" t="s">
        <v>19</v>
      </c>
      <c r="M36" s="2">
        <v>1</v>
      </c>
    </row>
    <row r="37" spans="1:13" ht="12">
      <c r="A37" t="s">
        <v>20</v>
      </c>
      <c r="D37" s="2">
        <f>15+18+44</f>
        <v>77</v>
      </c>
      <c r="H37" t="s">
        <v>20</v>
      </c>
      <c r="M37" s="2">
        <v>20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3</v>
      </c>
      <c r="H40" t="s">
        <v>22</v>
      </c>
      <c r="M40" s="2">
        <v>7</v>
      </c>
    </row>
    <row r="41" spans="1:13" ht="12">
      <c r="A41" t="s">
        <v>23</v>
      </c>
      <c r="D41" s="2">
        <f>40+56+48</f>
        <v>144</v>
      </c>
      <c r="H41" t="s">
        <v>23</v>
      </c>
      <c r="M41" s="2">
        <f>20+42+52+34+41+32+52</f>
        <v>273</v>
      </c>
    </row>
    <row r="42" spans="1:14" ht="12">
      <c r="A42" t="s">
        <v>24</v>
      </c>
      <c r="C42" s="7"/>
      <c r="D42" s="8">
        <f>+D41/D40</f>
        <v>48</v>
      </c>
      <c r="F42" s="7"/>
      <c r="G42" s="7"/>
      <c r="H42" s="7" t="s">
        <v>24</v>
      </c>
      <c r="I42" s="7"/>
      <c r="J42" s="7"/>
      <c r="K42" s="7"/>
      <c r="M42" s="8">
        <f>+M41/M40</f>
        <v>39</v>
      </c>
      <c r="N42" s="7"/>
    </row>
    <row r="44" spans="1:13" ht="12">
      <c r="A44" t="s">
        <v>25</v>
      </c>
      <c r="D44" s="2">
        <v>5</v>
      </c>
      <c r="H44" t="s">
        <v>25</v>
      </c>
      <c r="M44" s="2">
        <v>1</v>
      </c>
    </row>
    <row r="45" spans="1:13" ht="12">
      <c r="A45" t="s">
        <v>26</v>
      </c>
      <c r="D45" s="2">
        <f>37+15+0+10-2</f>
        <v>60</v>
      </c>
      <c r="H45" t="s">
        <v>26</v>
      </c>
      <c r="M45" s="2">
        <v>11</v>
      </c>
    </row>
    <row r="46" spans="1:13" ht="12">
      <c r="A46" t="s">
        <v>27</v>
      </c>
      <c r="D46" s="8">
        <f>+D45/D44</f>
        <v>12</v>
      </c>
      <c r="H46" t="s">
        <v>27</v>
      </c>
      <c r="M46" s="8">
        <f>+M45/M44</f>
        <v>11</v>
      </c>
    </row>
    <row r="47" spans="1:13" ht="12">
      <c r="A47" s="18" t="s">
        <v>131</v>
      </c>
      <c r="D47" s="2">
        <v>1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4</v>
      </c>
      <c r="H50" t="s">
        <v>30</v>
      </c>
      <c r="M50" s="2">
        <v>3</v>
      </c>
    </row>
    <row r="51" spans="1:13" ht="12">
      <c r="A51" t="s">
        <v>26</v>
      </c>
      <c r="D51" s="2">
        <f>24+15+39+56</f>
        <v>134</v>
      </c>
      <c r="H51" t="s">
        <v>26</v>
      </c>
      <c r="M51" s="2">
        <f>30+19+21</f>
        <v>70</v>
      </c>
    </row>
    <row r="52" spans="1:13" ht="12">
      <c r="A52" t="s">
        <v>27</v>
      </c>
      <c r="D52" s="8">
        <f>+D51/D50</f>
        <v>33.5</v>
      </c>
      <c r="H52" t="s">
        <v>27</v>
      </c>
      <c r="M52" s="8">
        <f>+M51/M50</f>
        <v>23.333333333333332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4</v>
      </c>
      <c r="G55" t="str">
        <f>IF(D55-D56=M50,"ok","err")</f>
        <v>ok</v>
      </c>
      <c r="H55" t="s">
        <v>127</v>
      </c>
      <c r="K55" s="2"/>
      <c r="M55" s="2">
        <v>4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0.25</v>
      </c>
      <c r="H57" t="s">
        <v>129</v>
      </c>
      <c r="M57">
        <f>+M56/M55</f>
        <v>0</v>
      </c>
    </row>
    <row r="59" spans="1:13" ht="12">
      <c r="A59" t="s">
        <v>31</v>
      </c>
      <c r="D59" s="2">
        <v>5</v>
      </c>
      <c r="H59" t="s">
        <v>31</v>
      </c>
      <c r="M59" s="2">
        <v>5</v>
      </c>
    </row>
    <row r="60" spans="1:13" ht="12">
      <c r="A60" t="s">
        <v>32</v>
      </c>
      <c r="D60" s="2">
        <v>30</v>
      </c>
      <c r="H60" t="s">
        <v>32</v>
      </c>
      <c r="M60" s="2">
        <v>42</v>
      </c>
    </row>
    <row r="62" spans="1:13" ht="12">
      <c r="A62" t="s">
        <v>33</v>
      </c>
      <c r="D62" s="2">
        <v>1</v>
      </c>
      <c r="H62" t="s">
        <v>33</v>
      </c>
      <c r="M62" s="2">
        <v>1</v>
      </c>
    </row>
    <row r="63" spans="1:13" ht="12">
      <c r="A63" t="s">
        <v>34</v>
      </c>
      <c r="D63" s="2">
        <v>1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13</v>
      </c>
      <c r="E68" t="str">
        <f>IF(B68=B69*6+B75*2+B76*3+B73,"ok","ERR")</f>
        <v>ok</v>
      </c>
      <c r="H68" t="s">
        <v>38</v>
      </c>
      <c r="M68" s="2">
        <v>17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2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2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1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1</v>
      </c>
    </row>
    <row r="77" spans="1:13" ht="12">
      <c r="A77" t="s">
        <v>46</v>
      </c>
      <c r="D77" s="2">
        <v>5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40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100</v>
      </c>
    </row>
    <row r="79" spans="1:13" ht="12">
      <c r="A79" t="s">
        <v>93</v>
      </c>
      <c r="D79" s="10" t="str">
        <f>IF(V25&lt;10,V29,V28)</f>
        <v>31:20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5</v>
      </c>
      <c r="D85">
        <v>13</v>
      </c>
      <c r="E85" s="12">
        <f>+D85/C85</f>
        <v>2.6</v>
      </c>
      <c r="F85">
        <v>6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1</v>
      </c>
      <c r="D87">
        <v>3</v>
      </c>
      <c r="E87" s="12">
        <f t="shared" si="0"/>
        <v>3</v>
      </c>
      <c r="F87">
        <v>3</v>
      </c>
      <c r="G87">
        <v>0</v>
      </c>
      <c r="H87">
        <v>0</v>
      </c>
    </row>
    <row r="88" spans="1:8" ht="12">
      <c r="A88" t="s">
        <v>138</v>
      </c>
      <c r="C88">
        <v>8</v>
      </c>
      <c r="D88">
        <v>52</v>
      </c>
      <c r="E88" s="12">
        <f t="shared" si="0"/>
        <v>6.5</v>
      </c>
      <c r="F88">
        <v>14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14</v>
      </c>
      <c r="D90">
        <v>62</v>
      </c>
      <c r="E90" s="12">
        <f t="shared" si="0"/>
        <v>4.428571428571429</v>
      </c>
      <c r="F90">
        <v>13</v>
      </c>
      <c r="G90">
        <v>0</v>
      </c>
      <c r="H90">
        <v>1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3</v>
      </c>
      <c r="D93">
        <v>20</v>
      </c>
      <c r="E93" s="12">
        <f>+D93/C93</f>
        <v>6.666666666666667</v>
      </c>
      <c r="F93">
        <v>9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7</v>
      </c>
      <c r="D103">
        <v>107</v>
      </c>
      <c r="E103" s="12">
        <f t="shared" si="1"/>
        <v>15.285714285714286</v>
      </c>
      <c r="F103">
        <v>28</v>
      </c>
      <c r="G103">
        <v>0</v>
      </c>
      <c r="H103">
        <v>0</v>
      </c>
    </row>
    <row r="104" spans="1:8" ht="12">
      <c r="A104" t="s">
        <v>136</v>
      </c>
      <c r="C104">
        <v>4</v>
      </c>
      <c r="D104">
        <v>111</v>
      </c>
      <c r="E104" s="12">
        <f t="shared" si="1"/>
        <v>27.75</v>
      </c>
      <c r="F104">
        <v>41</v>
      </c>
      <c r="G104">
        <v>1</v>
      </c>
      <c r="H104">
        <v>0</v>
      </c>
    </row>
    <row r="105" spans="1:8" ht="12">
      <c r="A105" t="s">
        <v>138</v>
      </c>
      <c r="C105">
        <v>3</v>
      </c>
      <c r="D105">
        <v>27</v>
      </c>
      <c r="E105" s="12">
        <f t="shared" si="1"/>
        <v>9</v>
      </c>
      <c r="F105">
        <v>14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3</v>
      </c>
      <c r="D109">
        <v>15</v>
      </c>
      <c r="E109" s="12">
        <f t="shared" si="1"/>
        <v>5</v>
      </c>
      <c r="F109">
        <v>15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17</v>
      </c>
      <c r="D123">
        <v>10</v>
      </c>
      <c r="E123" s="12">
        <f t="shared" si="2"/>
        <v>58.82352941176471</v>
      </c>
      <c r="F123">
        <v>147</v>
      </c>
      <c r="G123">
        <v>1</v>
      </c>
      <c r="H123">
        <v>41</v>
      </c>
      <c r="I123">
        <v>1</v>
      </c>
      <c r="J123" s="8">
        <f t="shared" si="3"/>
        <v>5.88235294117647</v>
      </c>
      <c r="K123" s="12">
        <f t="shared" si="4"/>
        <v>5.88235294117647</v>
      </c>
      <c r="L123" s="12">
        <f t="shared" si="5"/>
        <v>8.647058823529411</v>
      </c>
      <c r="M123" s="12">
        <f t="shared" si="6"/>
        <v>82.23039215686275</v>
      </c>
      <c r="N123">
        <v>0</v>
      </c>
      <c r="O123">
        <v>0</v>
      </c>
      <c r="R123">
        <f t="shared" si="7"/>
        <v>1.4411764705882355</v>
      </c>
      <c r="S123" s="2">
        <f t="shared" si="8"/>
        <v>1.4411764705882355</v>
      </c>
      <c r="T123" s="6">
        <f t="shared" si="9"/>
        <v>1.4117647058823528</v>
      </c>
      <c r="U123" s="2">
        <f t="shared" si="10"/>
        <v>1.4117647058823528</v>
      </c>
      <c r="V123">
        <f t="shared" si="11"/>
        <v>1.176470588235294</v>
      </c>
      <c r="W123" s="2">
        <f t="shared" si="12"/>
        <v>1.176470588235294</v>
      </c>
      <c r="X123">
        <f t="shared" si="13"/>
        <v>0.9044117647058825</v>
      </c>
      <c r="Y123" s="2">
        <f t="shared" si="14"/>
        <v>0.9044117647058825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C126">
        <v>21</v>
      </c>
      <c r="D126">
        <v>7</v>
      </c>
      <c r="E126" s="12">
        <f t="shared" si="2"/>
        <v>33.33333333333333</v>
      </c>
      <c r="F126">
        <v>113</v>
      </c>
      <c r="G126">
        <v>0</v>
      </c>
      <c r="H126">
        <v>28</v>
      </c>
      <c r="I126">
        <v>2</v>
      </c>
      <c r="J126" s="8">
        <f t="shared" si="3"/>
        <v>0</v>
      </c>
      <c r="K126" s="12">
        <f t="shared" si="4"/>
        <v>9.523809523809524</v>
      </c>
      <c r="L126" s="12">
        <f t="shared" si="5"/>
        <v>5.380952380952381</v>
      </c>
      <c r="M126" s="12">
        <f t="shared" si="6"/>
        <v>12.698412698412696</v>
      </c>
      <c r="N126">
        <v>0</v>
      </c>
      <c r="O126">
        <v>0</v>
      </c>
      <c r="R126">
        <f t="shared" si="7"/>
        <v>0.16666666666666644</v>
      </c>
      <c r="S126" s="2">
        <f t="shared" si="8"/>
        <v>0.16666666666666644</v>
      </c>
      <c r="T126" s="6">
        <f t="shared" si="9"/>
        <v>0.5952380952380953</v>
      </c>
      <c r="U126" s="2">
        <f t="shared" si="10"/>
        <v>0.5952380952380953</v>
      </c>
      <c r="V126">
        <f t="shared" si="11"/>
        <v>0</v>
      </c>
      <c r="W126" s="2">
        <f t="shared" si="12"/>
        <v>0</v>
      </c>
      <c r="X126">
        <f t="shared" si="13"/>
        <v>-0.005952380952380931</v>
      </c>
      <c r="Y126" s="2">
        <f t="shared" si="14"/>
        <v>0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4</v>
      </c>
      <c r="E131">
        <f>37+15+0+10</f>
        <v>62</v>
      </c>
      <c r="F131" s="12">
        <f aca="true" t="shared" si="15" ref="F131:F136">+E131/C131</f>
        <v>15.5</v>
      </c>
      <c r="G131">
        <v>37</v>
      </c>
    </row>
    <row r="132" spans="1:7" ht="12">
      <c r="A132" t="s">
        <v>149</v>
      </c>
      <c r="C132">
        <v>1</v>
      </c>
      <c r="D132">
        <v>1</v>
      </c>
      <c r="E132">
        <v>-2</v>
      </c>
      <c r="F132" s="12">
        <f t="shared" si="15"/>
        <v>-2</v>
      </c>
      <c r="G132">
        <v>-2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3</v>
      </c>
      <c r="D144">
        <f>15+39+56</f>
        <v>110</v>
      </c>
      <c r="E144" s="12">
        <f t="shared" si="16"/>
        <v>36.666666666666664</v>
      </c>
      <c r="F144">
        <v>56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24</v>
      </c>
      <c r="E146" s="12">
        <f t="shared" si="16"/>
        <v>24</v>
      </c>
      <c r="F146">
        <v>24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6" ht="12">
      <c r="A156" t="s">
        <v>152</v>
      </c>
      <c r="C156">
        <v>3</v>
      </c>
      <c r="D156">
        <f>40+56+48</f>
        <v>144</v>
      </c>
      <c r="E156" s="12"/>
      <c r="F156">
        <v>56</v>
      </c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6" ht="12">
      <c r="A164" t="s">
        <v>153</v>
      </c>
      <c r="C164">
        <v>4</v>
      </c>
      <c r="D164">
        <v>1</v>
      </c>
      <c r="E164">
        <v>1</v>
      </c>
      <c r="F164">
        <v>1</v>
      </c>
      <c r="G164">
        <v>5</v>
      </c>
      <c r="H164">
        <v>2</v>
      </c>
      <c r="I164" s="12">
        <f aca="true" t="shared" si="18" ref="I164:I171">+H164/G164*100</f>
        <v>40</v>
      </c>
      <c r="J164">
        <v>18</v>
      </c>
      <c r="L164">
        <v>2</v>
      </c>
      <c r="M164">
        <v>2</v>
      </c>
      <c r="P164">
        <v>3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6" ht="12">
      <c r="A180" t="s">
        <v>141</v>
      </c>
      <c r="C180">
        <v>1</v>
      </c>
      <c r="D180">
        <v>20</v>
      </c>
      <c r="E180" s="12">
        <f t="shared" si="19"/>
        <v>20</v>
      </c>
      <c r="F180">
        <v>20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spans="1:3" ht="12">
      <c r="A230" t="s">
        <v>137</v>
      </c>
      <c r="C230">
        <v>1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11.42187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5" ht="12">
      <c r="A103" t="s">
        <v>144</v>
      </c>
      <c r="E103" s="12" t="e">
        <f t="shared" si="1"/>
        <v>#DIV/0!</v>
      </c>
    </row>
    <row r="104" spans="1:5" ht="12">
      <c r="A104" t="s">
        <v>136</v>
      </c>
      <c r="E104" s="12" t="e">
        <f t="shared" si="1"/>
        <v>#DIV/0!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5" ht="12">
      <c r="A146" t="s">
        <v>151</v>
      </c>
      <c r="E146" s="12" t="e">
        <f t="shared" si="16"/>
        <v>#DIV/0!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9" ht="12">
      <c r="A164" t="s">
        <v>153</v>
      </c>
      <c r="I164" s="12" t="e">
        <f aca="true" t="shared" si="18" ref="I164:I171">+H164/G164*100</f>
        <v>#DIV/0!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5" ht="12">
      <c r="A103" t="s">
        <v>144</v>
      </c>
      <c r="E103" s="12" t="e">
        <f t="shared" si="1"/>
        <v>#DIV/0!</v>
      </c>
    </row>
    <row r="104" spans="1:5" ht="12">
      <c r="A104" t="s">
        <v>136</v>
      </c>
      <c r="E104" s="12" t="e">
        <f t="shared" si="1"/>
        <v>#DIV/0!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5" ht="12">
      <c r="A146" t="s">
        <v>151</v>
      </c>
      <c r="E146" s="12" t="e">
        <f t="shared" si="16"/>
        <v>#DIV/0!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9" ht="12">
      <c r="A164" t="s">
        <v>153</v>
      </c>
      <c r="I164" s="12" t="e">
        <f aca="true" t="shared" si="18" ref="I164:I171">+H164/G164*100</f>
        <v>#DIV/0!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5" ht="12">
      <c r="A103" t="s">
        <v>144</v>
      </c>
      <c r="E103" s="12" t="e">
        <f t="shared" si="1"/>
        <v>#DIV/0!</v>
      </c>
    </row>
    <row r="104" spans="1:5" ht="12">
      <c r="A104" t="s">
        <v>136</v>
      </c>
      <c r="E104" s="12" t="e">
        <f t="shared" si="1"/>
        <v>#DIV/0!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5" ht="12">
      <c r="A146" t="s">
        <v>151</v>
      </c>
      <c r="E146" s="12" t="e">
        <f t="shared" si="16"/>
        <v>#DIV/0!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9" ht="12">
      <c r="A164" t="s">
        <v>153</v>
      </c>
      <c r="I164" s="12" t="e">
        <f aca="true" t="shared" si="18" ref="I164:I171">+H164/G164*100</f>
        <v>#DIV/0!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5" ht="12">
      <c r="A103" t="s">
        <v>144</v>
      </c>
      <c r="E103" s="12" t="e">
        <f t="shared" si="1"/>
        <v>#DIV/0!</v>
      </c>
    </row>
    <row r="104" spans="1:5" ht="12">
      <c r="A104" t="s">
        <v>136</v>
      </c>
      <c r="E104" s="12" t="e">
        <f t="shared" si="1"/>
        <v>#DIV/0!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5" ht="12">
      <c r="A146" t="s">
        <v>151</v>
      </c>
      <c r="E146" s="12" t="e">
        <f t="shared" si="16"/>
        <v>#DIV/0!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9" ht="12">
      <c r="A164" t="s">
        <v>153</v>
      </c>
      <c r="I164" s="12" t="e">
        <f aca="true" t="shared" si="18" ref="I164:I171">+H164/G164*100</f>
        <v>#DIV/0!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21</v>
      </c>
      <c r="H6" s="1" t="s">
        <v>29</v>
      </c>
      <c r="M6" s="2">
        <v>19</v>
      </c>
    </row>
    <row r="7" spans="1:13" ht="12">
      <c r="A7" s="16" t="s">
        <v>95</v>
      </c>
      <c r="D7" s="2">
        <v>8</v>
      </c>
      <c r="H7" s="16" t="s">
        <v>95</v>
      </c>
      <c r="M7" s="2">
        <v>3</v>
      </c>
    </row>
    <row r="8" spans="1:13" ht="12">
      <c r="A8" s="16" t="s">
        <v>96</v>
      </c>
      <c r="D8" s="2">
        <v>11</v>
      </c>
      <c r="H8" s="16" t="s">
        <v>96</v>
      </c>
      <c r="M8" s="2">
        <v>13</v>
      </c>
    </row>
    <row r="9" spans="1:13" ht="12">
      <c r="A9" s="16" t="s">
        <v>97</v>
      </c>
      <c r="D9" s="2">
        <v>2</v>
      </c>
      <c r="H9" s="16" t="s">
        <v>97</v>
      </c>
      <c r="M9" s="2">
        <v>3</v>
      </c>
    </row>
    <row r="10" spans="1:14" ht="12">
      <c r="A10" s="18" t="s">
        <v>108</v>
      </c>
      <c r="C10">
        <v>4</v>
      </c>
      <c r="D10" s="2">
        <v>10</v>
      </c>
      <c r="E10" s="19">
        <f>+C10/D10</f>
        <v>0.4</v>
      </c>
      <c r="H10" s="18" t="s">
        <v>108</v>
      </c>
      <c r="L10">
        <v>2</v>
      </c>
      <c r="M10" s="2">
        <v>9</v>
      </c>
      <c r="N10" s="19">
        <f>+L10/M10</f>
        <v>0.2222222222222222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38</v>
      </c>
      <c r="H13" t="s">
        <v>1</v>
      </c>
      <c r="M13" s="2">
        <v>28</v>
      </c>
      <c r="V13">
        <f>+D13</f>
        <v>38</v>
      </c>
      <c r="W13">
        <f>+M13</f>
        <v>28</v>
      </c>
    </row>
    <row r="14" spans="1:23" ht="12">
      <c r="A14" t="s">
        <v>2</v>
      </c>
      <c r="D14" s="2">
        <v>112</v>
      </c>
      <c r="H14" t="s">
        <v>2</v>
      </c>
      <c r="M14" s="2">
        <f>35-3+5+5+8</f>
        <v>50</v>
      </c>
      <c r="P14" s="13"/>
      <c r="U14" s="13"/>
      <c r="V14">
        <f>+D18</f>
        <v>18</v>
      </c>
      <c r="W14">
        <f>+M18</f>
        <v>16</v>
      </c>
    </row>
    <row r="15" spans="1:23" ht="12">
      <c r="A15" s="1" t="s">
        <v>3</v>
      </c>
      <c r="D15" s="8">
        <f>+D14/D13</f>
        <v>2.9473684210526314</v>
      </c>
      <c r="H15" s="1" t="s">
        <v>3</v>
      </c>
      <c r="M15" s="8">
        <f>+M14/M13</f>
        <v>1.7857142857142858</v>
      </c>
      <c r="V15">
        <f>+(D17-D18)/2</f>
        <v>4.5</v>
      </c>
      <c r="W15">
        <f>+(M17-M18)/2</f>
        <v>7.5</v>
      </c>
    </row>
    <row r="16" spans="22:23" ht="12">
      <c r="V16">
        <f>+D40/2</f>
        <v>1.5</v>
      </c>
      <c r="W16">
        <f>+M40/2</f>
        <v>1.5</v>
      </c>
    </row>
    <row r="17" spans="1:23" ht="12">
      <c r="A17" t="s">
        <v>4</v>
      </c>
      <c r="D17" s="2">
        <v>27</v>
      </c>
      <c r="H17" t="s">
        <v>4</v>
      </c>
      <c r="M17" s="2">
        <v>31</v>
      </c>
      <c r="V17">
        <f>+D44/2</f>
        <v>1</v>
      </c>
      <c r="W17">
        <f>+M44/2</f>
        <v>1</v>
      </c>
    </row>
    <row r="18" spans="1:23" ht="12">
      <c r="A18" t="s">
        <v>5</v>
      </c>
      <c r="D18" s="2">
        <v>18</v>
      </c>
      <c r="H18" t="s">
        <v>5</v>
      </c>
      <c r="M18" s="2">
        <v>16</v>
      </c>
      <c r="V18">
        <f>+D50/2</f>
        <v>3</v>
      </c>
      <c r="W18">
        <f>+M50/2</f>
        <v>2.5</v>
      </c>
    </row>
    <row r="19" spans="1:13" ht="12">
      <c r="A19" t="s">
        <v>6</v>
      </c>
      <c r="D19" s="8">
        <f>+D18/D17*100</f>
        <v>66.66666666666666</v>
      </c>
      <c r="H19" t="s">
        <v>6</v>
      </c>
      <c r="M19" s="8">
        <f>+M18/M17*100</f>
        <v>51.61290322580645</v>
      </c>
    </row>
    <row r="20" spans="1:24" ht="12">
      <c r="A20" t="s">
        <v>7</v>
      </c>
      <c r="D20" s="2">
        <v>275</v>
      </c>
      <c r="H20" t="s">
        <v>7</v>
      </c>
      <c r="M20" s="2">
        <f>257+25</f>
        <v>282</v>
      </c>
      <c r="V20">
        <f>SUM(V13:V18)</f>
        <v>66</v>
      </c>
      <c r="W20">
        <f>SUM(W13:W18)</f>
        <v>56.5</v>
      </c>
      <c r="X20">
        <f>+W20+V20</f>
        <v>122.5</v>
      </c>
    </row>
    <row r="21" spans="1:23" ht="12">
      <c r="A21" t="s">
        <v>8</v>
      </c>
      <c r="D21" s="2">
        <v>0</v>
      </c>
      <c r="H21" t="s">
        <v>8</v>
      </c>
      <c r="M21" s="2">
        <v>3</v>
      </c>
      <c r="V21">
        <f>+V20/X20</f>
        <v>0.5387755102040817</v>
      </c>
      <c r="W21">
        <f>+W20/X20</f>
        <v>0.46122448979591835</v>
      </c>
    </row>
    <row r="22" spans="1:23" ht="12">
      <c r="A22" t="s">
        <v>9</v>
      </c>
      <c r="D22" s="2">
        <v>0</v>
      </c>
      <c r="H22" t="s">
        <v>9</v>
      </c>
      <c r="M22" s="2">
        <v>13</v>
      </c>
      <c r="V22">
        <f>+V21*60</f>
        <v>32.3265306122449</v>
      </c>
      <c r="W22">
        <f>+W21*60</f>
        <v>27.6734693877551</v>
      </c>
    </row>
    <row r="23" spans="1:23" ht="12">
      <c r="A23" t="s">
        <v>10</v>
      </c>
      <c r="D23">
        <f>+D20-D22</f>
        <v>275</v>
      </c>
      <c r="H23" t="s">
        <v>10</v>
      </c>
      <c r="M23">
        <f>+M20-M22</f>
        <v>269</v>
      </c>
      <c r="V23">
        <f>+V22-INT(V22)</f>
        <v>0.3265306122449019</v>
      </c>
      <c r="W23">
        <f>+W22-INT(W22)</f>
        <v>0.6734693877551017</v>
      </c>
    </row>
    <row r="24" spans="1:23" ht="12">
      <c r="A24" t="s">
        <v>11</v>
      </c>
      <c r="D24" s="7">
        <f>+D23/(D17+D21)</f>
        <v>10.185185185185185</v>
      </c>
      <c r="H24" t="s">
        <v>11</v>
      </c>
      <c r="M24" s="7">
        <f>+M23/(M17+M21)</f>
        <v>7.911764705882353</v>
      </c>
      <c r="V24">
        <f>+V23*60</f>
        <v>19.591836734694112</v>
      </c>
      <c r="W24">
        <f>+W23*60</f>
        <v>40.4081632653061</v>
      </c>
    </row>
    <row r="25" spans="1:23" ht="12">
      <c r="A25" t="s">
        <v>12</v>
      </c>
      <c r="D25" s="7">
        <f>+D20/D18</f>
        <v>15.277777777777779</v>
      </c>
      <c r="H25" t="s">
        <v>12</v>
      </c>
      <c r="M25" s="7">
        <f>+M20/M18</f>
        <v>17.625</v>
      </c>
      <c r="Q25" s="11"/>
      <c r="U25">
        <v>0</v>
      </c>
      <c r="V25" s="11">
        <f>ROUND(V24,0)</f>
        <v>20</v>
      </c>
      <c r="W25">
        <f>ROUND(W24,0)</f>
        <v>40</v>
      </c>
    </row>
    <row r="26" spans="22:23" ht="12">
      <c r="V26">
        <f>INT(V22)</f>
        <v>32</v>
      </c>
      <c r="W26">
        <f>INT(W22)</f>
        <v>27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387</v>
      </c>
      <c r="H28" t="s">
        <v>14</v>
      </c>
      <c r="M28">
        <f>+M23+M14</f>
        <v>319</v>
      </c>
      <c r="Q28" s="14"/>
      <c r="R28" s="9"/>
      <c r="V28" s="14" t="str">
        <f>+V26&amp;V27&amp;V25</f>
        <v>32:20</v>
      </c>
      <c r="W28" s="9" t="str">
        <f>+W26&amp;W27&amp;W25</f>
        <v>27:40</v>
      </c>
    </row>
    <row r="29" spans="1:23" ht="12">
      <c r="A29" t="s">
        <v>15</v>
      </c>
      <c r="D29" s="7">
        <f>+D14/D28*100</f>
        <v>28.940568475452196</v>
      </c>
      <c r="H29" t="s">
        <v>15</v>
      </c>
      <c r="M29" s="7">
        <f>+M14/M28*100</f>
        <v>15.673981191222571</v>
      </c>
      <c r="Q29" s="9"/>
      <c r="R29" s="9"/>
      <c r="V29" s="9" t="str">
        <f>IF(V25&lt;10,+V26&amp;V27&amp;$U$25&amp;V25,+V26&amp;V27&amp;V25)</f>
        <v>32:20</v>
      </c>
      <c r="W29" s="9" t="str">
        <f>IF(W25&lt;10,+W26&amp;W27&amp;$U$25&amp;W25,+W26&amp;W27&amp;W25)</f>
        <v>27:40</v>
      </c>
    </row>
    <row r="30" spans="1:16" ht="12">
      <c r="A30" s="1" t="s">
        <v>90</v>
      </c>
      <c r="D30" s="7">
        <f>+D23/D28*100</f>
        <v>71.0594315245478</v>
      </c>
      <c r="H30" s="1" t="s">
        <v>90</v>
      </c>
      <c r="M30" s="7">
        <f>+M23/M28*100</f>
        <v>84.32601880877742</v>
      </c>
      <c r="P30" s="13"/>
    </row>
    <row r="32" spans="1:13" ht="12">
      <c r="A32" t="s">
        <v>16</v>
      </c>
      <c r="D32">
        <f>+D13+D17+D21</f>
        <v>65</v>
      </c>
      <c r="H32" t="s">
        <v>16</v>
      </c>
      <c r="M32">
        <f>+M13+M17+M21</f>
        <v>62</v>
      </c>
    </row>
    <row r="33" spans="1:14" ht="12">
      <c r="A33" t="s">
        <v>17</v>
      </c>
      <c r="C33" s="7"/>
      <c r="D33" s="8">
        <f>+D28/D32</f>
        <v>5.953846153846154</v>
      </c>
      <c r="F33" s="7"/>
      <c r="G33" s="7"/>
      <c r="H33" s="7" t="s">
        <v>17</v>
      </c>
      <c r="I33" s="7"/>
      <c r="J33" s="7"/>
      <c r="K33" s="7"/>
      <c r="M33" s="8">
        <f>+M28/M32</f>
        <v>5.145161290322581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1</v>
      </c>
      <c r="H36" t="s">
        <v>19</v>
      </c>
      <c r="M36" s="2">
        <v>2</v>
      </c>
    </row>
    <row r="37" spans="1:13" ht="12">
      <c r="A37" t="s">
        <v>20</v>
      </c>
      <c r="D37" s="2">
        <v>1</v>
      </c>
      <c r="H37" t="s">
        <v>20</v>
      </c>
      <c r="M37" s="2">
        <v>20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3</v>
      </c>
      <c r="H40" t="s">
        <v>22</v>
      </c>
      <c r="M40" s="2">
        <v>3</v>
      </c>
    </row>
    <row r="41" spans="1:13" ht="12">
      <c r="A41" t="s">
        <v>23</v>
      </c>
      <c r="D41" s="2">
        <f>26+30+26</f>
        <v>82</v>
      </c>
      <c r="H41" t="s">
        <v>23</v>
      </c>
      <c r="M41" s="2">
        <f>41+23+34</f>
        <v>98</v>
      </c>
    </row>
    <row r="42" spans="1:14" ht="12">
      <c r="A42" t="s">
        <v>24</v>
      </c>
      <c r="C42" s="7"/>
      <c r="D42" s="8">
        <f>+D41/D40</f>
        <v>27.333333333333332</v>
      </c>
      <c r="F42" s="7"/>
      <c r="G42" s="7"/>
      <c r="H42" s="7" t="s">
        <v>24</v>
      </c>
      <c r="I42" s="7"/>
      <c r="J42" s="7"/>
      <c r="K42" s="7"/>
      <c r="M42" s="8">
        <f>+M41/M40</f>
        <v>32.666666666666664</v>
      </c>
      <c r="N42" s="7"/>
    </row>
    <row r="44" spans="1:13" ht="12">
      <c r="A44" t="s">
        <v>25</v>
      </c>
      <c r="D44" s="2">
        <v>2</v>
      </c>
      <c r="H44" t="s">
        <v>25</v>
      </c>
      <c r="M44" s="2">
        <v>2</v>
      </c>
    </row>
    <row r="45" spans="1:13" ht="12">
      <c r="A45" t="s">
        <v>26</v>
      </c>
      <c r="D45" s="2">
        <v>19</v>
      </c>
      <c r="H45" t="s">
        <v>26</v>
      </c>
      <c r="M45" s="2">
        <v>10</v>
      </c>
    </row>
    <row r="46" spans="1:13" ht="12">
      <c r="A46" t="s">
        <v>27</v>
      </c>
      <c r="D46" s="8">
        <f>+D45/D44</f>
        <v>9.5</v>
      </c>
      <c r="H46" t="s">
        <v>27</v>
      </c>
      <c r="M46" s="8">
        <f>+M45/M44</f>
        <v>5</v>
      </c>
    </row>
    <row r="47" spans="1:13" ht="12">
      <c r="A47" s="18" t="s">
        <v>131</v>
      </c>
      <c r="D47" s="2">
        <v>0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6</v>
      </c>
      <c r="H50" t="s">
        <v>30</v>
      </c>
      <c r="M50" s="2">
        <v>5</v>
      </c>
    </row>
    <row r="51" spans="1:13" ht="12">
      <c r="A51" t="s">
        <v>26</v>
      </c>
      <c r="D51" s="2">
        <f>24+24+24+13+9+23</f>
        <v>117</v>
      </c>
      <c r="H51" t="s">
        <v>26</v>
      </c>
      <c r="M51" s="2">
        <f>23+30+11+34+15</f>
        <v>113</v>
      </c>
    </row>
    <row r="52" spans="1:13" ht="12">
      <c r="A52" t="s">
        <v>27</v>
      </c>
      <c r="D52" s="8">
        <f>+D51/D50</f>
        <v>19.5</v>
      </c>
      <c r="H52" t="s">
        <v>27</v>
      </c>
      <c r="M52" s="8">
        <f>+M51/M50</f>
        <v>22.6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6</v>
      </c>
      <c r="H55" t="s">
        <v>127</v>
      </c>
      <c r="K55" s="2"/>
      <c r="M55" s="2">
        <v>7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0.16666666666666666</v>
      </c>
      <c r="H57" t="s">
        <v>129</v>
      </c>
      <c r="M57">
        <f>+M56/M55</f>
        <v>0.14285714285714285</v>
      </c>
    </row>
    <row r="59" spans="1:13" ht="12">
      <c r="A59" t="s">
        <v>31</v>
      </c>
      <c r="D59" s="2">
        <v>10</v>
      </c>
      <c r="H59" t="s">
        <v>31</v>
      </c>
      <c r="M59" s="2">
        <v>5</v>
      </c>
    </row>
    <row r="60" spans="1:13" ht="12">
      <c r="A60" t="s">
        <v>32</v>
      </c>
      <c r="D60" s="2">
        <v>120</v>
      </c>
      <c r="H60" t="s">
        <v>32</v>
      </c>
      <c r="M60" s="2">
        <v>55</v>
      </c>
    </row>
    <row r="62" spans="1:13" ht="12">
      <c r="A62" t="s">
        <v>33</v>
      </c>
      <c r="D62" s="2">
        <v>0</v>
      </c>
      <c r="H62" t="s">
        <v>33</v>
      </c>
      <c r="M62" s="2">
        <v>1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31</v>
      </c>
      <c r="E68" t="str">
        <f>IF(B68=B69*6+B75*2+B76*3+B73,"ok","ERR")</f>
        <v>ok</v>
      </c>
      <c r="H68" t="s">
        <v>38</v>
      </c>
      <c r="M68" s="2">
        <v>29</v>
      </c>
      <c r="P68" t="str">
        <f>IF(M68=M69*6+M75*2+M76*3+M73,"ok","ERR")</f>
        <v>ok</v>
      </c>
    </row>
    <row r="69" spans="1:13" ht="12">
      <c r="A69" t="s">
        <v>39</v>
      </c>
      <c r="D69" s="2">
        <v>4</v>
      </c>
      <c r="H69" t="s">
        <v>39</v>
      </c>
      <c r="M69" s="2">
        <v>3</v>
      </c>
    </row>
    <row r="70" spans="1:13" ht="12">
      <c r="A70" t="s">
        <v>40</v>
      </c>
      <c r="D70" s="2">
        <v>2</v>
      </c>
      <c r="H70" t="s">
        <v>40</v>
      </c>
      <c r="M70" s="2">
        <v>1</v>
      </c>
    </row>
    <row r="71" spans="1:13" ht="12">
      <c r="A71" t="s">
        <v>41</v>
      </c>
      <c r="D71" s="2">
        <v>2</v>
      </c>
      <c r="H71" t="s">
        <v>41</v>
      </c>
      <c r="M71" s="2">
        <v>2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4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3</v>
      </c>
    </row>
    <row r="77" spans="1:13" ht="12">
      <c r="A77" t="s">
        <v>46</v>
      </c>
      <c r="D77" s="2">
        <v>1</v>
      </c>
      <c r="H77" t="s">
        <v>46</v>
      </c>
      <c r="M77" s="2">
        <v>3</v>
      </c>
    </row>
    <row r="78" spans="1:14" ht="12">
      <c r="A78" t="s">
        <v>47</v>
      </c>
      <c r="C78" s="7"/>
      <c r="D78" s="8">
        <f>+D76/D77*100</f>
        <v>100</v>
      </c>
      <c r="F78" s="7"/>
      <c r="G78" s="7"/>
      <c r="H78" s="7" t="s">
        <v>47</v>
      </c>
      <c r="I78" s="7"/>
      <c r="J78" s="7"/>
      <c r="K78" s="7"/>
      <c r="M78" s="8">
        <f>+M76/M77*100</f>
        <v>100</v>
      </c>
      <c r="N78" s="7"/>
    </row>
    <row r="79" spans="1:13" ht="12">
      <c r="A79" t="s">
        <v>93</v>
      </c>
      <c r="D79" s="10" t="str">
        <f>IF(V25&lt;10,V29,V28)</f>
        <v>32:20</v>
      </c>
      <c r="E79" s="8"/>
      <c r="F79" s="8"/>
      <c r="H79" t="s">
        <v>93</v>
      </c>
      <c r="M79" s="10" t="str">
        <f>IF(W25&lt;10,W29,W28)</f>
        <v>27:40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8" ht="12">
      <c r="A83" t="s">
        <v>133</v>
      </c>
      <c r="C83">
        <v>4</v>
      </c>
      <c r="D83">
        <v>15</v>
      </c>
      <c r="E83" s="12">
        <f>+D83/C83</f>
        <v>3.75</v>
      </c>
      <c r="F83">
        <v>9</v>
      </c>
      <c r="G83">
        <v>0</v>
      </c>
      <c r="H83">
        <v>0</v>
      </c>
    </row>
    <row r="84" spans="1:8" ht="12">
      <c r="A84" t="s">
        <v>134</v>
      </c>
      <c r="C84">
        <v>1</v>
      </c>
      <c r="D84">
        <v>5</v>
      </c>
      <c r="E84" s="12">
        <f>+D84/C84</f>
        <v>5</v>
      </c>
      <c r="F84">
        <v>5</v>
      </c>
      <c r="G84">
        <v>0</v>
      </c>
      <c r="H84">
        <v>0</v>
      </c>
    </row>
    <row r="85" spans="1:8" ht="12">
      <c r="A85" t="s">
        <v>135</v>
      </c>
      <c r="C85">
        <v>3</v>
      </c>
      <c r="D85">
        <v>3</v>
      </c>
      <c r="E85" s="12">
        <f>+D85/C85</f>
        <v>1</v>
      </c>
      <c r="F85">
        <v>3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5</v>
      </c>
      <c r="D87">
        <v>7</v>
      </c>
      <c r="E87" s="12">
        <f t="shared" si="0"/>
        <v>1.4</v>
      </c>
      <c r="F87">
        <v>3</v>
      </c>
      <c r="G87">
        <v>0</v>
      </c>
      <c r="H87">
        <v>0</v>
      </c>
    </row>
    <row r="88" spans="1:8" ht="12">
      <c r="A88" t="s">
        <v>138</v>
      </c>
      <c r="C88">
        <v>7</v>
      </c>
      <c r="D88">
        <v>35</v>
      </c>
      <c r="E88" s="12">
        <f t="shared" si="0"/>
        <v>5</v>
      </c>
      <c r="F88">
        <v>14</v>
      </c>
      <c r="G88">
        <v>0</v>
      </c>
      <c r="H88">
        <v>0</v>
      </c>
    </row>
    <row r="89" spans="1:8" ht="12">
      <c r="A89" t="s">
        <v>139</v>
      </c>
      <c r="C89">
        <v>3</v>
      </c>
      <c r="D89">
        <v>-12</v>
      </c>
      <c r="E89" s="12">
        <f t="shared" si="0"/>
        <v>-4</v>
      </c>
      <c r="F89">
        <v>3</v>
      </c>
      <c r="G89">
        <v>0</v>
      </c>
      <c r="H89">
        <v>0</v>
      </c>
    </row>
    <row r="90" spans="1:8" ht="12">
      <c r="A90" t="s">
        <v>140</v>
      </c>
      <c r="C90">
        <v>14</v>
      </c>
      <c r="D90">
        <v>63</v>
      </c>
      <c r="E90" s="12">
        <f t="shared" si="0"/>
        <v>4.5</v>
      </c>
      <c r="F90">
        <v>23</v>
      </c>
      <c r="G90">
        <v>2</v>
      </c>
      <c r="H90">
        <v>0</v>
      </c>
    </row>
    <row r="91" spans="1:8" ht="12">
      <c r="A91" t="s">
        <v>141</v>
      </c>
      <c r="C91">
        <v>1</v>
      </c>
      <c r="D91">
        <v>-4</v>
      </c>
      <c r="E91" s="12">
        <f t="shared" si="0"/>
        <v>-4</v>
      </c>
      <c r="F91">
        <v>-4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6</v>
      </c>
      <c r="D101">
        <v>103</v>
      </c>
      <c r="E101" s="12">
        <f aca="true" t="shared" si="1" ref="E101:E112">+D101/C101</f>
        <v>17.166666666666668</v>
      </c>
      <c r="F101">
        <v>34</v>
      </c>
      <c r="G101">
        <v>1</v>
      </c>
      <c r="H101">
        <v>0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2</v>
      </c>
      <c r="D103">
        <v>38</v>
      </c>
      <c r="E103" s="12">
        <f t="shared" si="1"/>
        <v>19</v>
      </c>
      <c r="F103">
        <v>20</v>
      </c>
      <c r="G103">
        <v>1</v>
      </c>
      <c r="H103">
        <v>0</v>
      </c>
    </row>
    <row r="104" spans="1:8" ht="12">
      <c r="A104" t="s">
        <v>136</v>
      </c>
      <c r="C104">
        <v>5</v>
      </c>
      <c r="D104">
        <v>97</v>
      </c>
      <c r="E104" s="12">
        <f t="shared" si="1"/>
        <v>19.4</v>
      </c>
      <c r="F104">
        <v>62</v>
      </c>
      <c r="G104">
        <v>0</v>
      </c>
      <c r="H104">
        <v>0</v>
      </c>
    </row>
    <row r="105" spans="1:8" ht="12">
      <c r="A105" t="s">
        <v>138</v>
      </c>
      <c r="C105">
        <v>2</v>
      </c>
      <c r="D105">
        <v>18</v>
      </c>
      <c r="E105" s="12">
        <f t="shared" si="1"/>
        <v>9</v>
      </c>
      <c r="F105">
        <v>15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3</v>
      </c>
      <c r="D109">
        <v>19</v>
      </c>
      <c r="E109" s="12">
        <f t="shared" si="1"/>
        <v>6.333333333333333</v>
      </c>
      <c r="F109">
        <v>12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26</v>
      </c>
      <c r="D123">
        <v>18</v>
      </c>
      <c r="E123" s="12">
        <f t="shared" si="2"/>
        <v>69.23076923076923</v>
      </c>
      <c r="F123">
        <v>275</v>
      </c>
      <c r="G123">
        <v>2</v>
      </c>
      <c r="H123">
        <v>62</v>
      </c>
      <c r="I123">
        <v>1</v>
      </c>
      <c r="J123" s="8">
        <f t="shared" si="3"/>
        <v>7.6923076923076925</v>
      </c>
      <c r="K123" s="12">
        <f t="shared" si="4"/>
        <v>3.8461538461538463</v>
      </c>
      <c r="L123" s="12">
        <f t="shared" si="5"/>
        <v>10.576923076923077</v>
      </c>
      <c r="M123" s="12">
        <f t="shared" si="6"/>
        <v>113.46153846153845</v>
      </c>
      <c r="N123">
        <v>0</v>
      </c>
      <c r="O123">
        <v>0</v>
      </c>
      <c r="R123">
        <f t="shared" si="7"/>
        <v>1.9615384615384612</v>
      </c>
      <c r="S123" s="2">
        <f t="shared" si="8"/>
        <v>1.9615384615384612</v>
      </c>
      <c r="T123" s="6">
        <f t="shared" si="9"/>
        <v>1.8942307692307692</v>
      </c>
      <c r="U123" s="2">
        <f t="shared" si="10"/>
        <v>1.8942307692307692</v>
      </c>
      <c r="V123">
        <f t="shared" si="11"/>
        <v>1.5384615384615385</v>
      </c>
      <c r="W123" s="2">
        <f t="shared" si="12"/>
        <v>1.5384615384615385</v>
      </c>
      <c r="X123">
        <f t="shared" si="13"/>
        <v>1.4134615384615383</v>
      </c>
      <c r="Y123" s="2">
        <f t="shared" si="14"/>
        <v>1.4134615384615383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C125">
        <v>1</v>
      </c>
      <c r="D125">
        <v>0</v>
      </c>
      <c r="E125" s="12">
        <f t="shared" si="2"/>
        <v>0</v>
      </c>
      <c r="F125">
        <v>0</v>
      </c>
      <c r="G125">
        <v>0</v>
      </c>
      <c r="H125">
        <v>0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0</v>
      </c>
      <c r="M125" s="12">
        <f t="shared" si="6"/>
        <v>39.583333333333336</v>
      </c>
      <c r="N125">
        <v>0</v>
      </c>
      <c r="O125">
        <v>0</v>
      </c>
      <c r="R125">
        <f t="shared" si="7"/>
        <v>-1.5</v>
      </c>
      <c r="S125" s="2">
        <f t="shared" si="8"/>
        <v>0</v>
      </c>
      <c r="T125" s="6">
        <f t="shared" si="9"/>
        <v>-0.75</v>
      </c>
      <c r="U125" s="2">
        <f t="shared" si="10"/>
        <v>0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2</v>
      </c>
      <c r="E131">
        <v>19</v>
      </c>
      <c r="F131" s="12">
        <f aca="true" t="shared" si="15" ref="F131:F136">+E131/C131</f>
        <v>9.5</v>
      </c>
      <c r="G131">
        <v>15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6" ht="12">
      <c r="A143" t="s">
        <v>139</v>
      </c>
      <c r="C143">
        <v>5</v>
      </c>
      <c r="D143">
        <f>24+24+24+13+9</f>
        <v>94</v>
      </c>
      <c r="E143" s="12">
        <f t="shared" si="16"/>
        <v>18.8</v>
      </c>
      <c r="F143">
        <v>24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23</v>
      </c>
      <c r="E146" s="12">
        <f t="shared" si="16"/>
        <v>23</v>
      </c>
      <c r="F146">
        <v>23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3</v>
      </c>
      <c r="D158">
        <f>26+30+26</f>
        <v>82</v>
      </c>
      <c r="F158">
        <v>30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3" ht="12">
      <c r="A164" t="s">
        <v>153</v>
      </c>
      <c r="C164">
        <v>6</v>
      </c>
      <c r="D164">
        <v>1</v>
      </c>
      <c r="E164">
        <v>4</v>
      </c>
      <c r="F164">
        <v>4</v>
      </c>
      <c r="G164">
        <v>1</v>
      </c>
      <c r="H164">
        <v>1</v>
      </c>
      <c r="I164" s="12">
        <f aca="true" t="shared" si="18" ref="I164:I171">+H164/G164*100</f>
        <v>100</v>
      </c>
      <c r="J164">
        <v>11</v>
      </c>
      <c r="L164">
        <v>1</v>
      </c>
      <c r="M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6" ht="12">
      <c r="A179" t="s">
        <v>149</v>
      </c>
      <c r="C179">
        <v>2</v>
      </c>
      <c r="D179">
        <v>20</v>
      </c>
      <c r="E179" s="12">
        <f t="shared" si="19"/>
        <v>10</v>
      </c>
      <c r="F179">
        <v>13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>
        <v>0.5</v>
      </c>
      <c r="D191" s="3">
        <v>3.5</v>
      </c>
    </row>
    <row r="192" spans="1:4" ht="12">
      <c r="A192" s="20" t="s">
        <v>158</v>
      </c>
      <c r="C192" s="3">
        <v>1</v>
      </c>
      <c r="D192" s="3">
        <v>6</v>
      </c>
    </row>
    <row r="193" spans="1:4" ht="12">
      <c r="A193" s="20" t="s">
        <v>159</v>
      </c>
      <c r="C193" s="3">
        <v>0.5</v>
      </c>
      <c r="D193" s="3">
        <v>3.5</v>
      </c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>
        <v>1</v>
      </c>
      <c r="D196" s="3">
        <v>0</v>
      </c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135</v>
      </c>
      <c r="E102" s="12" t="e">
        <f t="shared" si="1"/>
        <v>#DIV/0!</v>
      </c>
    </row>
    <row r="103" spans="1:5" ht="12">
      <c r="A103" t="s">
        <v>144</v>
      </c>
      <c r="E103" s="12" t="e">
        <f t="shared" si="1"/>
        <v>#DIV/0!</v>
      </c>
    </row>
    <row r="104" spans="1:5" ht="12">
      <c r="A104" t="s">
        <v>136</v>
      </c>
      <c r="E104" s="12" t="e">
        <f t="shared" si="1"/>
        <v>#DIV/0!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5" ht="12">
      <c r="A109" t="s">
        <v>140</v>
      </c>
      <c r="E109" s="12" t="e">
        <f t="shared" si="1"/>
        <v>#DIV/0!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5" ht="12">
      <c r="A146" t="s">
        <v>151</v>
      </c>
      <c r="E146" s="12" t="e">
        <f t="shared" si="16"/>
        <v>#DIV/0!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ht="12">
      <c r="A158" t="s">
        <v>141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9" ht="12">
      <c r="A164" t="s">
        <v>153</v>
      </c>
      <c r="I164" s="12" t="e">
        <f aca="true" t="shared" si="18" ref="I164:I171">+H164/G164*100</f>
        <v>#DIV/0!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57"/>
  <sheetViews>
    <sheetView zoomScale="125" zoomScaleNormal="125" workbookViewId="0" topLeftCell="A1">
      <selection activeCell="M79" sqref="M79"/>
    </sheetView>
  </sheetViews>
  <sheetFormatPr defaultColWidth="11.421875" defaultRowHeight="12.75"/>
  <sheetData>
    <row r="1" spans="1:5" ht="12">
      <c r="A1" s="2" t="s">
        <v>113</v>
      </c>
      <c r="C1" t="s">
        <v>114</v>
      </c>
      <c r="D1" t="s">
        <v>115</v>
      </c>
      <c r="E1" t="s">
        <v>116</v>
      </c>
    </row>
    <row r="2" spans="2:5" ht="12">
      <c r="B2" s="21"/>
      <c r="C2" s="21"/>
      <c r="D2" s="21"/>
      <c r="E2" s="21"/>
    </row>
    <row r="3" spans="2:5" ht="12">
      <c r="B3" s="21"/>
      <c r="C3" s="21"/>
      <c r="D3" s="21"/>
      <c r="E3" s="21"/>
    </row>
    <row r="4" spans="2:5" ht="12">
      <c r="B4" s="21"/>
      <c r="C4" s="21"/>
      <c r="D4" s="21"/>
      <c r="E4" s="21"/>
    </row>
    <row r="5" spans="2:5" ht="12">
      <c r="B5" s="21"/>
      <c r="C5" s="21"/>
      <c r="D5" s="21"/>
      <c r="E5" s="21"/>
    </row>
    <row r="6" spans="2:5" ht="12">
      <c r="B6" s="21"/>
      <c r="C6" s="21"/>
      <c r="D6" s="21"/>
      <c r="E6" s="21"/>
    </row>
    <row r="7" spans="2:5" ht="12">
      <c r="B7" s="21"/>
      <c r="C7" s="21"/>
      <c r="D7" s="21"/>
      <c r="E7" s="21"/>
    </row>
    <row r="8" spans="2:5" ht="12">
      <c r="B8" s="21"/>
      <c r="C8" s="21"/>
      <c r="D8" s="21"/>
      <c r="E8" s="21"/>
    </row>
    <row r="9" spans="2:5" ht="12">
      <c r="B9" s="21"/>
      <c r="C9" s="21"/>
      <c r="D9" s="21"/>
      <c r="E9" s="21"/>
    </row>
    <row r="10" spans="2:5" ht="12">
      <c r="B10" s="21"/>
      <c r="C10" s="21"/>
      <c r="D10" s="21"/>
      <c r="E10" s="21"/>
    </row>
    <row r="11" spans="2:5" ht="12">
      <c r="B11" s="21"/>
      <c r="C11" s="21"/>
      <c r="D11" s="21"/>
      <c r="E11" s="21"/>
    </row>
    <row r="12" spans="2:5" ht="12">
      <c r="B12" s="21"/>
      <c r="C12" s="21"/>
      <c r="D12" s="21"/>
      <c r="E12" s="21"/>
    </row>
    <row r="13" spans="2:5" ht="12">
      <c r="B13" s="21"/>
      <c r="C13" s="21"/>
      <c r="D13" s="21"/>
      <c r="E13" s="21"/>
    </row>
    <row r="14" spans="2:5" ht="12">
      <c r="B14" s="21"/>
      <c r="C14" s="21"/>
      <c r="D14" s="21"/>
      <c r="E14" s="21"/>
    </row>
    <row r="15" spans="2:5" ht="12">
      <c r="B15" s="21"/>
      <c r="C15" s="21"/>
      <c r="D15" s="21"/>
      <c r="E15" s="21"/>
    </row>
    <row r="16" spans="2:5" ht="12">
      <c r="B16" s="21"/>
      <c r="C16" s="21"/>
      <c r="D16" s="21"/>
      <c r="E16" s="21"/>
    </row>
    <row r="17" spans="2:5" ht="12">
      <c r="B17" s="21"/>
      <c r="C17" s="21"/>
      <c r="D17" s="21"/>
      <c r="E17" s="21"/>
    </row>
    <row r="18" spans="2:5" ht="12">
      <c r="B18" s="21"/>
      <c r="C18" s="21"/>
      <c r="D18" s="21"/>
      <c r="E18" s="21"/>
    </row>
    <row r="19" spans="2:5" ht="12">
      <c r="B19" s="21"/>
      <c r="C19" s="21"/>
      <c r="D19" s="21"/>
      <c r="E19" s="21"/>
    </row>
    <row r="20" spans="2:5" ht="12">
      <c r="B20" s="21"/>
      <c r="C20" s="21"/>
      <c r="D20" s="21"/>
      <c r="E20" s="21"/>
    </row>
    <row r="21" spans="2:5" ht="12">
      <c r="B21" s="21"/>
      <c r="C21" s="21"/>
      <c r="D21" s="21"/>
      <c r="E21" s="21"/>
    </row>
    <row r="22" spans="2:5" ht="12">
      <c r="B22" s="21"/>
      <c r="C22" s="21"/>
      <c r="D22" s="21"/>
      <c r="E22" s="21"/>
    </row>
    <row r="23" spans="2:5" ht="12">
      <c r="B23" s="21"/>
      <c r="C23" s="21"/>
      <c r="D23" s="21"/>
      <c r="E23" s="21"/>
    </row>
    <row r="24" spans="2:5" ht="12">
      <c r="B24" s="21"/>
      <c r="C24" s="21"/>
      <c r="D24" s="21"/>
      <c r="E24" s="21"/>
    </row>
    <row r="25" spans="2:5" ht="12">
      <c r="B25" s="21"/>
      <c r="C25" s="21"/>
      <c r="D25" s="21"/>
      <c r="E25" s="21"/>
    </row>
    <row r="26" spans="2:5" ht="12">
      <c r="B26" s="21"/>
      <c r="C26" s="21"/>
      <c r="D26" s="21"/>
      <c r="E26" s="21"/>
    </row>
    <row r="27" spans="2:5" ht="12">
      <c r="B27" s="21"/>
      <c r="C27" s="21"/>
      <c r="D27" s="21"/>
      <c r="E27" s="21"/>
    </row>
    <row r="28" spans="2:5" ht="12">
      <c r="B28" s="21"/>
      <c r="C28" s="21"/>
      <c r="D28" s="21"/>
      <c r="E28" s="21"/>
    </row>
    <row r="29" spans="2:5" ht="12">
      <c r="B29" s="21"/>
      <c r="C29" s="21"/>
      <c r="D29" s="21"/>
      <c r="E29" s="21"/>
    </row>
    <row r="30" spans="2:5" ht="12">
      <c r="B30" s="21"/>
      <c r="C30" s="21"/>
      <c r="D30" s="21"/>
      <c r="E30" s="21"/>
    </row>
    <row r="31" spans="2:5" ht="12">
      <c r="B31" s="21"/>
      <c r="C31" s="21"/>
      <c r="D31" s="21"/>
      <c r="E31" s="21"/>
    </row>
    <row r="32" spans="2:5" ht="12">
      <c r="B32" s="21"/>
      <c r="C32" s="21"/>
      <c r="D32" s="21"/>
      <c r="E32" s="21"/>
    </row>
    <row r="33" spans="2:5" ht="12">
      <c r="B33" s="21"/>
      <c r="C33" s="21"/>
      <c r="D33" s="21"/>
      <c r="E33" s="21"/>
    </row>
    <row r="34" spans="2:5" ht="12">
      <c r="B34" s="21"/>
      <c r="C34" s="21"/>
      <c r="D34" s="21"/>
      <c r="E34" s="21"/>
    </row>
    <row r="35" spans="2:5" ht="12">
      <c r="B35" s="21"/>
      <c r="C35" s="21"/>
      <c r="D35" s="21"/>
      <c r="E35" s="21"/>
    </row>
    <row r="36" spans="2:5" ht="12">
      <c r="B36" s="21"/>
      <c r="C36" s="21"/>
      <c r="D36" s="21"/>
      <c r="E36" s="21"/>
    </row>
    <row r="37" spans="2:5" ht="12">
      <c r="B37" s="21"/>
      <c r="C37" s="21"/>
      <c r="D37" s="21"/>
      <c r="E37" s="21"/>
    </row>
    <row r="38" spans="2:5" ht="12">
      <c r="B38" s="21"/>
      <c r="C38" s="21"/>
      <c r="D38" s="21"/>
      <c r="E38" s="21"/>
    </row>
    <row r="39" spans="2:5" ht="12">
      <c r="B39" s="21"/>
      <c r="C39" s="21"/>
      <c r="D39" s="21"/>
      <c r="E39" s="21"/>
    </row>
    <row r="40" spans="2:5" ht="12">
      <c r="B40" s="21"/>
      <c r="C40" s="21"/>
      <c r="D40" s="21"/>
      <c r="E40" s="21"/>
    </row>
    <row r="41" spans="2:5" ht="12">
      <c r="B41" s="21"/>
      <c r="C41" s="21"/>
      <c r="D41" s="21"/>
      <c r="E41" s="21"/>
    </row>
    <row r="42" spans="2:5" ht="12">
      <c r="B42" s="21"/>
      <c r="C42" s="21"/>
      <c r="D42" s="21"/>
      <c r="E42" s="21"/>
    </row>
    <row r="43" spans="2:5" ht="12">
      <c r="B43" s="21"/>
      <c r="C43" s="21"/>
      <c r="D43" s="21"/>
      <c r="E43" s="21"/>
    </row>
    <row r="44" spans="2:5" ht="12">
      <c r="B44" s="21"/>
      <c r="C44" s="21"/>
      <c r="D44" s="21"/>
      <c r="E44" s="21"/>
    </row>
    <row r="45" spans="2:5" ht="12">
      <c r="B45" s="21"/>
      <c r="C45" s="21"/>
      <c r="D45" s="21"/>
      <c r="E45" s="21"/>
    </row>
    <row r="46" spans="2:5" ht="12">
      <c r="B46" s="21"/>
      <c r="C46" s="21"/>
      <c r="D46" s="21"/>
      <c r="E46" s="21"/>
    </row>
    <row r="47" spans="1:14" ht="12">
      <c r="A47" s="18" t="s">
        <v>131</v>
      </c>
      <c r="B47" s="21"/>
      <c r="C47" s="21"/>
      <c r="D47" s="21"/>
      <c r="E47" s="21"/>
      <c r="H47" s="18" t="s">
        <v>131</v>
      </c>
      <c r="M47" s="21"/>
      <c r="N47" s="21"/>
    </row>
    <row r="48" spans="2:5" ht="12">
      <c r="B48" s="21"/>
      <c r="C48" s="21"/>
      <c r="D48" s="21"/>
      <c r="E48" s="21"/>
    </row>
    <row r="49" spans="2:5" ht="12">
      <c r="B49" s="21"/>
      <c r="C49" s="21"/>
      <c r="D49" s="21"/>
      <c r="E49" s="21"/>
    </row>
    <row r="50" spans="2:5" ht="12">
      <c r="B50" s="21"/>
      <c r="C50" s="21"/>
      <c r="D50" s="21"/>
      <c r="E50" s="21"/>
    </row>
    <row r="51" spans="2:5" ht="12">
      <c r="B51" s="21"/>
      <c r="C51" s="21"/>
      <c r="D51" s="21"/>
      <c r="E51" s="21"/>
    </row>
    <row r="52" spans="2:5" ht="12">
      <c r="B52" s="21"/>
      <c r="C52" s="21"/>
      <c r="D52" s="21"/>
      <c r="E52" s="21"/>
    </row>
    <row r="53" spans="2:5" ht="12">
      <c r="B53" s="21"/>
      <c r="C53" s="21"/>
      <c r="D53" s="21"/>
      <c r="E53" s="21"/>
    </row>
    <row r="54" spans="2:5" ht="12">
      <c r="B54" s="21"/>
      <c r="C54" s="21"/>
      <c r="D54" s="21"/>
      <c r="E54" s="21"/>
    </row>
    <row r="55" spans="1:17" ht="12">
      <c r="A55" t="s">
        <v>127</v>
      </c>
      <c r="B55" s="21"/>
      <c r="C55" s="21"/>
      <c r="D55" s="29">
        <v>0</v>
      </c>
      <c r="E55" s="21"/>
      <c r="G55" t="str">
        <f>IF(D55-D56=M50,"ok","err")</f>
        <v>ok</v>
      </c>
      <c r="H55" t="s">
        <v>127</v>
      </c>
      <c r="I55" s="21"/>
      <c r="J55" s="21"/>
      <c r="K55" s="29"/>
      <c r="L55" s="21"/>
      <c r="M55" s="29">
        <v>0</v>
      </c>
      <c r="N55" s="21"/>
      <c r="P55" s="29"/>
      <c r="Q55" s="21"/>
    </row>
    <row r="56" spans="1:17" ht="12">
      <c r="A56" t="s">
        <v>128</v>
      </c>
      <c r="B56" s="21"/>
      <c r="C56" s="21"/>
      <c r="D56" s="29">
        <v>0</v>
      </c>
      <c r="E56" s="21"/>
      <c r="H56" t="s">
        <v>128</v>
      </c>
      <c r="I56" s="21"/>
      <c r="J56" s="21"/>
      <c r="K56" s="29"/>
      <c r="L56" s="21"/>
      <c r="M56" s="29">
        <v>0</v>
      </c>
      <c r="N56" s="21"/>
      <c r="P56" s="29"/>
      <c r="Q56" s="21"/>
    </row>
    <row r="57" spans="1:17" ht="12">
      <c r="A57" t="s">
        <v>129</v>
      </c>
      <c r="B57" s="21"/>
      <c r="C57" s="21"/>
      <c r="D57" s="21" t="e">
        <f>+D56/D55</f>
        <v>#DIV/0!</v>
      </c>
      <c r="E57" s="21"/>
      <c r="H57" t="s">
        <v>129</v>
      </c>
      <c r="I57" s="21"/>
      <c r="J57" s="21"/>
      <c r="K57" s="21"/>
      <c r="L57" s="21"/>
      <c r="M57" s="21" t="e">
        <f>+M56/M55</f>
        <v>#DIV/0!</v>
      </c>
      <c r="N57" s="21"/>
      <c r="P57" s="21"/>
      <c r="Q57" s="21"/>
    </row>
    <row r="58" spans="2:5" ht="12">
      <c r="B58" s="21"/>
      <c r="C58" s="21"/>
      <c r="D58" s="21"/>
      <c r="E58" s="21"/>
    </row>
    <row r="59" spans="2:5" ht="12">
      <c r="B59" s="21"/>
      <c r="C59" s="21"/>
      <c r="D59" s="21"/>
      <c r="E59" s="21"/>
    </row>
    <row r="60" spans="2:5" ht="12">
      <c r="B60" s="21"/>
      <c r="C60" s="21"/>
      <c r="D60" s="21"/>
      <c r="E60" s="21"/>
    </row>
    <row r="61" spans="2:5" ht="12">
      <c r="B61" s="21"/>
      <c r="C61" s="21"/>
      <c r="D61" s="21"/>
      <c r="E61" s="21"/>
    </row>
    <row r="62" spans="2:5" ht="12">
      <c r="B62" s="21"/>
      <c r="C62" s="21"/>
      <c r="D62" s="21"/>
      <c r="E62" s="21"/>
    </row>
    <row r="63" spans="2:5" ht="12">
      <c r="B63" s="21"/>
      <c r="C63" s="21"/>
      <c r="D63" s="21"/>
      <c r="E63" s="21"/>
    </row>
    <row r="64" spans="2:5" ht="12">
      <c r="B64" s="21"/>
      <c r="C64" s="21"/>
      <c r="D64" s="21"/>
      <c r="E64" s="21"/>
    </row>
    <row r="65" spans="2:5" ht="12">
      <c r="B65" s="21"/>
      <c r="C65" s="21"/>
      <c r="D65" s="21"/>
      <c r="E65" s="21"/>
    </row>
    <row r="66" spans="2:5" ht="12">
      <c r="B66" s="21"/>
      <c r="C66" s="21"/>
      <c r="D66" s="21"/>
      <c r="E66" s="21"/>
    </row>
    <row r="67" spans="2:5" ht="12">
      <c r="B67" s="21"/>
      <c r="C67" s="21"/>
      <c r="D67" s="21"/>
      <c r="E67" s="21"/>
    </row>
    <row r="74" spans="1:13" ht="12">
      <c r="A74" t="s">
        <v>120</v>
      </c>
      <c r="D74">
        <v>0</v>
      </c>
      <c r="H74" t="s">
        <v>120</v>
      </c>
      <c r="M74">
        <v>0</v>
      </c>
    </row>
    <row r="83" ht="12">
      <c r="A83" t="s">
        <v>133</v>
      </c>
    </row>
    <row r="84" ht="12">
      <c r="A84" t="s">
        <v>134</v>
      </c>
    </row>
    <row r="85" ht="12">
      <c r="A85" t="s">
        <v>135</v>
      </c>
    </row>
    <row r="86" ht="12">
      <c r="A86" t="s">
        <v>136</v>
      </c>
    </row>
    <row r="87" ht="12">
      <c r="A87" t="s">
        <v>137</v>
      </c>
    </row>
    <row r="88" ht="12">
      <c r="A88" t="s">
        <v>138</v>
      </c>
    </row>
    <row r="89" ht="12">
      <c r="A89" t="s">
        <v>139</v>
      </c>
    </row>
    <row r="90" ht="12">
      <c r="A90" t="s">
        <v>140</v>
      </c>
    </row>
    <row r="91" ht="12">
      <c r="A91" t="s">
        <v>141</v>
      </c>
    </row>
    <row r="92" ht="12">
      <c r="A92" t="s">
        <v>142</v>
      </c>
    </row>
    <row r="93" ht="12">
      <c r="A93" t="s">
        <v>143</v>
      </c>
    </row>
    <row r="101" ht="12">
      <c r="A101" t="s">
        <v>134</v>
      </c>
    </row>
    <row r="102" ht="12">
      <c r="A102" t="s">
        <v>135</v>
      </c>
    </row>
    <row r="103" ht="12">
      <c r="A103" t="s">
        <v>144</v>
      </c>
    </row>
    <row r="104" ht="12">
      <c r="A104" t="s">
        <v>136</v>
      </c>
    </row>
    <row r="105" ht="12">
      <c r="A105" t="s">
        <v>138</v>
      </c>
    </row>
    <row r="106" ht="12">
      <c r="A106" t="s">
        <v>139</v>
      </c>
    </row>
    <row r="107" ht="12">
      <c r="A107" t="s">
        <v>145</v>
      </c>
    </row>
    <row r="108" ht="12">
      <c r="A108" t="s">
        <v>146</v>
      </c>
    </row>
    <row r="109" ht="12">
      <c r="A109" t="s">
        <v>140</v>
      </c>
    </row>
    <row r="110" ht="12">
      <c r="A110" t="s">
        <v>142</v>
      </c>
    </row>
    <row r="121" ht="12">
      <c r="A121" t="s">
        <v>134</v>
      </c>
    </row>
    <row r="122" ht="12">
      <c r="A122" t="s">
        <v>135</v>
      </c>
    </row>
    <row r="123" ht="12">
      <c r="A123" t="s">
        <v>137</v>
      </c>
    </row>
    <row r="124" ht="12">
      <c r="A124" t="s">
        <v>139</v>
      </c>
    </row>
    <row r="125" ht="12">
      <c r="A125" t="s">
        <v>140</v>
      </c>
    </row>
    <row r="126" ht="12">
      <c r="A126" t="s">
        <v>143</v>
      </c>
    </row>
    <row r="127" ht="12">
      <c r="A127" t="s">
        <v>147</v>
      </c>
    </row>
    <row r="131" ht="12">
      <c r="A131" t="s">
        <v>148</v>
      </c>
    </row>
    <row r="132" ht="12">
      <c r="A132" t="s">
        <v>149</v>
      </c>
    </row>
    <row r="133" ht="12">
      <c r="A133" t="s">
        <v>142</v>
      </c>
    </row>
    <row r="141" ht="12">
      <c r="A141" t="s">
        <v>148</v>
      </c>
    </row>
    <row r="142" ht="12">
      <c r="A142" t="s">
        <v>150</v>
      </c>
    </row>
    <row r="143" ht="12">
      <c r="A143" t="s">
        <v>139</v>
      </c>
    </row>
    <row r="144" ht="12">
      <c r="A144" t="s">
        <v>140</v>
      </c>
    </row>
    <row r="145" ht="12">
      <c r="A145" t="s">
        <v>142</v>
      </c>
    </row>
    <row r="146" ht="12">
      <c r="A146" t="s">
        <v>151</v>
      </c>
    </row>
    <row r="156" ht="12">
      <c r="A156" t="s">
        <v>152</v>
      </c>
    </row>
    <row r="157" ht="12">
      <c r="A157" t="s">
        <v>137</v>
      </c>
    </row>
    <row r="158" ht="12">
      <c r="A158" t="s">
        <v>141</v>
      </c>
    </row>
    <row r="164" ht="12">
      <c r="A164" t="s">
        <v>153</v>
      </c>
    </row>
    <row r="165" ht="12">
      <c r="A165" t="s">
        <v>141</v>
      </c>
    </row>
    <row r="166" ht="12">
      <c r="A166" t="s">
        <v>152</v>
      </c>
    </row>
    <row r="167" ht="12">
      <c r="A167" t="s">
        <v>137</v>
      </c>
    </row>
    <row r="175" ht="12">
      <c r="A175" t="s">
        <v>154</v>
      </c>
    </row>
    <row r="176" ht="12">
      <c r="A176" t="s">
        <v>155</v>
      </c>
    </row>
    <row r="177" ht="12">
      <c r="A177" t="s">
        <v>148</v>
      </c>
    </row>
    <row r="178" ht="12">
      <c r="A178" t="s">
        <v>150</v>
      </c>
    </row>
    <row r="179" ht="12">
      <c r="A179" t="s">
        <v>149</v>
      </c>
    </row>
    <row r="180" ht="12">
      <c r="A180" t="s">
        <v>141</v>
      </c>
    </row>
    <row r="181" ht="12">
      <c r="A181" t="s">
        <v>151</v>
      </c>
    </row>
    <row r="190" ht="12">
      <c r="A190" s="20" t="s">
        <v>156</v>
      </c>
    </row>
    <row r="191" ht="12">
      <c r="A191" s="20" t="s">
        <v>157</v>
      </c>
    </row>
    <row r="192" ht="12">
      <c r="A192" s="20" t="s">
        <v>158</v>
      </c>
    </row>
    <row r="193" ht="12">
      <c r="A193" s="20" t="s">
        <v>159</v>
      </c>
    </row>
    <row r="194" ht="12">
      <c r="A194" s="20" t="s">
        <v>160</v>
      </c>
    </row>
    <row r="195" ht="12">
      <c r="A195" s="20" t="s">
        <v>161</v>
      </c>
    </row>
    <row r="196" ht="12">
      <c r="A196" s="20" t="s">
        <v>162</v>
      </c>
    </row>
    <row r="197" ht="12">
      <c r="A197" s="20" t="s">
        <v>141</v>
      </c>
    </row>
    <row r="198" ht="12">
      <c r="A198" s="20" t="s">
        <v>163</v>
      </c>
    </row>
    <row r="199" ht="12">
      <c r="A199" s="20" t="s">
        <v>164</v>
      </c>
    </row>
    <row r="200" ht="12">
      <c r="A200" s="20"/>
    </row>
    <row r="201" ht="12">
      <c r="A201" s="20"/>
    </row>
    <row r="202" ht="12">
      <c r="A202" s="20"/>
    </row>
    <row r="203" ht="12">
      <c r="A203" s="20"/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7"/>
  <sheetViews>
    <sheetView zoomScale="150" zoomScaleNormal="150" workbookViewId="0" topLeftCell="A1">
      <selection activeCell="M79" sqref="M79"/>
    </sheetView>
  </sheetViews>
  <sheetFormatPr defaultColWidth="11.421875" defaultRowHeight="12.75"/>
  <cols>
    <col min="1" max="1" width="5.7109375" style="0" customWidth="1"/>
    <col min="2" max="2" width="2.7109375" style="0" customWidth="1"/>
    <col min="3" max="3" width="19.421875" style="0" customWidth="1"/>
    <col min="4" max="4" width="4.8515625" style="0" customWidth="1"/>
    <col min="5" max="5" width="3.00390625" style="0" customWidth="1"/>
    <col min="6" max="6" width="17.421875" style="0" customWidth="1"/>
    <col min="7" max="7" width="8.421875" style="0" customWidth="1"/>
    <col min="8" max="8" width="15.00390625" style="0" customWidth="1"/>
    <col min="9" max="9" width="3.7109375" style="0" customWidth="1"/>
    <col min="10" max="10" width="7.28125" style="0" customWidth="1"/>
    <col min="11" max="12" width="6.7109375" style="0" customWidth="1"/>
    <col min="13" max="13" width="6.421875" style="0" customWidth="1"/>
    <col min="14" max="14" width="5.7109375" style="0" customWidth="1"/>
    <col min="15" max="15" width="7.00390625" style="0" customWidth="1"/>
    <col min="16" max="16" width="3.00390625" style="0" customWidth="1"/>
  </cols>
  <sheetData>
    <row r="2" ht="12">
      <c r="A2" s="2"/>
    </row>
    <row r="3" spans="1:8" ht="15">
      <c r="A3" s="33"/>
      <c r="B3" s="33"/>
      <c r="C3" s="33"/>
      <c r="D3" s="33"/>
      <c r="H3" s="2" t="s">
        <v>121</v>
      </c>
    </row>
    <row r="4" spans="1:14" ht="12">
      <c r="A4" s="9"/>
      <c r="B4" s="22"/>
      <c r="D4" s="9"/>
      <c r="E4" s="18"/>
      <c r="F4" s="18"/>
      <c r="G4" s="3" t="s">
        <v>122</v>
      </c>
      <c r="H4" s="5"/>
      <c r="I4" s="3"/>
      <c r="J4" s="3"/>
      <c r="K4" s="3"/>
      <c r="L4" s="3"/>
      <c r="M4" s="3"/>
      <c r="N4" s="3"/>
    </row>
    <row r="5" spans="1:14" ht="12">
      <c r="A5" s="9"/>
      <c r="B5" s="22"/>
      <c r="D5" s="9"/>
      <c r="E5" s="18"/>
      <c r="F5" s="18"/>
      <c r="G5" s="3" t="s">
        <v>105</v>
      </c>
      <c r="H5" s="5"/>
      <c r="J5" s="23"/>
      <c r="K5" s="24"/>
      <c r="L5" s="9"/>
      <c r="M5" s="9"/>
      <c r="N5" s="9"/>
    </row>
    <row r="6" spans="1:14" ht="12">
      <c r="A6" s="9"/>
      <c r="B6" s="22"/>
      <c r="D6" s="9"/>
      <c r="E6" s="18"/>
      <c r="F6" s="18"/>
      <c r="G6" s="3" t="s">
        <v>123</v>
      </c>
      <c r="H6" s="5"/>
      <c r="J6" s="23"/>
      <c r="K6" s="24"/>
      <c r="L6" s="9"/>
      <c r="M6" s="9"/>
      <c r="N6" s="9"/>
    </row>
    <row r="7" spans="1:6" ht="12">
      <c r="A7" s="9"/>
      <c r="B7" s="22"/>
      <c r="D7" s="9"/>
      <c r="E7" s="18"/>
      <c r="F7" s="18"/>
    </row>
    <row r="8" spans="1:8" ht="12">
      <c r="A8" s="9"/>
      <c r="B8" s="22"/>
      <c r="D8" s="9"/>
      <c r="E8" s="18"/>
      <c r="F8" s="18"/>
      <c r="H8" s="2" t="s">
        <v>124</v>
      </c>
    </row>
    <row r="9" spans="1:14" ht="12">
      <c r="A9" s="9"/>
      <c r="B9" s="22"/>
      <c r="C9" s="25"/>
      <c r="D9" s="9"/>
      <c r="E9" s="18"/>
      <c r="F9" s="18"/>
      <c r="H9" s="2" t="s">
        <v>50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55</v>
      </c>
      <c r="N9" s="3" t="s">
        <v>84</v>
      </c>
    </row>
    <row r="10" spans="1:14" ht="12">
      <c r="A10" s="9"/>
      <c r="B10" s="22"/>
      <c r="D10" s="9"/>
      <c r="E10" s="18"/>
      <c r="F10" s="18"/>
      <c r="G10" s="3" t="s">
        <v>122</v>
      </c>
      <c r="J10" s="23"/>
      <c r="K10" s="24"/>
      <c r="L10" s="9"/>
      <c r="M10" s="9"/>
      <c r="N10" s="9"/>
    </row>
    <row r="11" spans="1:14" ht="12">
      <c r="A11" s="9"/>
      <c r="B11" s="22"/>
      <c r="D11" s="9"/>
      <c r="E11" s="18"/>
      <c r="F11" s="18"/>
      <c r="G11" s="3" t="s">
        <v>105</v>
      </c>
      <c r="J11" s="23"/>
      <c r="K11" s="24"/>
      <c r="L11" s="9"/>
      <c r="M11" s="9"/>
      <c r="N11" s="9"/>
    </row>
    <row r="12" spans="1:6" ht="12">
      <c r="A12" s="9"/>
      <c r="B12" s="22"/>
      <c r="D12" s="9"/>
      <c r="E12" s="18"/>
      <c r="F12" s="18"/>
    </row>
    <row r="13" spans="1:14" ht="12">
      <c r="A13" s="9"/>
      <c r="B13" s="22"/>
      <c r="D13" s="9"/>
      <c r="E13" s="18"/>
      <c r="F13" s="18"/>
      <c r="H13" s="2" t="s">
        <v>56</v>
      </c>
      <c r="I13" s="3" t="s">
        <v>117</v>
      </c>
      <c r="J13" s="3" t="s">
        <v>52</v>
      </c>
      <c r="K13" s="15" t="s">
        <v>53</v>
      </c>
      <c r="L13" s="3" t="s">
        <v>54</v>
      </c>
      <c r="M13" s="3" t="s">
        <v>55</v>
      </c>
      <c r="N13" s="3" t="s">
        <v>84</v>
      </c>
    </row>
    <row r="14" spans="1:14" ht="12">
      <c r="A14" s="9"/>
      <c r="B14" s="22"/>
      <c r="D14" s="9"/>
      <c r="E14" s="18"/>
      <c r="F14" s="18"/>
      <c r="G14" s="3" t="s">
        <v>122</v>
      </c>
      <c r="I14" s="9"/>
      <c r="J14" s="23"/>
      <c r="K14" s="24"/>
      <c r="L14" s="9"/>
      <c r="M14" s="9"/>
      <c r="N14" s="9"/>
    </row>
    <row r="15" spans="1:14" ht="12">
      <c r="A15" s="9"/>
      <c r="B15" s="22"/>
      <c r="D15" s="9"/>
      <c r="E15" s="18"/>
      <c r="F15" s="18"/>
      <c r="G15" s="3" t="s">
        <v>105</v>
      </c>
      <c r="I15" s="9"/>
      <c r="J15" s="23"/>
      <c r="K15" s="24"/>
      <c r="L15" s="9"/>
      <c r="M15" s="9"/>
      <c r="N15" s="9"/>
    </row>
    <row r="16" spans="1:7" ht="12">
      <c r="A16" s="9"/>
      <c r="B16" s="22"/>
      <c r="D16" s="9"/>
      <c r="E16" s="18"/>
      <c r="F16" s="18"/>
      <c r="G16" s="2"/>
    </row>
    <row r="17" spans="1:13" ht="12">
      <c r="A17" s="9"/>
      <c r="B17" s="22"/>
      <c r="D17" s="9"/>
      <c r="E17" s="18"/>
      <c r="F17" s="18"/>
      <c r="G17" s="2"/>
      <c r="H17" s="26"/>
      <c r="I17" s="3"/>
      <c r="J17" s="3"/>
      <c r="K17" s="15" t="s">
        <v>61</v>
      </c>
      <c r="L17" s="3" t="s">
        <v>62</v>
      </c>
      <c r="M17" s="3"/>
    </row>
    <row r="18" spans="1:15" ht="12">
      <c r="A18" s="9"/>
      <c r="B18" s="22"/>
      <c r="D18" s="9"/>
      <c r="E18" s="18"/>
      <c r="F18" s="18"/>
      <c r="G18" s="3"/>
      <c r="H18" s="26" t="s">
        <v>58</v>
      </c>
      <c r="I18" s="3" t="s">
        <v>59</v>
      </c>
      <c r="J18" s="3" t="s">
        <v>60</v>
      </c>
      <c r="K18" s="15" t="s">
        <v>60</v>
      </c>
      <c r="L18" s="3" t="s">
        <v>63</v>
      </c>
      <c r="M18" s="3" t="s">
        <v>55</v>
      </c>
      <c r="N18" s="3" t="s">
        <v>68</v>
      </c>
      <c r="O18" s="3" t="s">
        <v>125</v>
      </c>
    </row>
    <row r="19" spans="1:15" ht="12">
      <c r="A19" s="9"/>
      <c r="B19" s="22"/>
      <c r="D19" s="9"/>
      <c r="E19" s="18"/>
      <c r="F19" s="18"/>
      <c r="G19" s="3" t="s">
        <v>122</v>
      </c>
      <c r="I19" s="9"/>
      <c r="J19" s="9"/>
      <c r="K19" s="27"/>
      <c r="L19" s="23"/>
      <c r="M19" s="9"/>
      <c r="N19" s="9"/>
      <c r="O19" s="27"/>
    </row>
    <row r="20" spans="1:15" ht="12">
      <c r="A20" s="9"/>
      <c r="B20" s="22"/>
      <c r="D20" s="9"/>
      <c r="E20" s="18"/>
      <c r="F20" s="18"/>
      <c r="G20" s="3" t="s">
        <v>105</v>
      </c>
      <c r="I20" s="9"/>
      <c r="J20" s="9"/>
      <c r="K20" s="27"/>
      <c r="L20" s="23"/>
      <c r="M20" s="9"/>
      <c r="N20" s="9"/>
      <c r="O20" s="9"/>
    </row>
    <row r="21" spans="1:4" ht="15">
      <c r="A21" s="9">
        <f>SUM(A4:A20)</f>
        <v>0</v>
      </c>
      <c r="C21" s="28" t="s">
        <v>126</v>
      </c>
      <c r="D21" s="9">
        <f>SUM(D4:D20)</f>
        <v>0</v>
      </c>
    </row>
    <row r="36" spans="4:13" ht="12">
      <c r="D36">
        <v>0</v>
      </c>
      <c r="M36">
        <v>0</v>
      </c>
    </row>
    <row r="37" spans="4:13" ht="12">
      <c r="D37">
        <v>0</v>
      </c>
      <c r="M37">
        <v>0</v>
      </c>
    </row>
    <row r="38" spans="4:13" ht="12">
      <c r="D38">
        <v>0</v>
      </c>
      <c r="M38">
        <v>0</v>
      </c>
    </row>
    <row r="40" spans="4:13" ht="12">
      <c r="D40">
        <v>0</v>
      </c>
      <c r="M40">
        <v>0</v>
      </c>
    </row>
    <row r="41" spans="4:13" ht="12">
      <c r="D41">
        <v>0</v>
      </c>
      <c r="M41">
        <v>0</v>
      </c>
    </row>
    <row r="44" spans="4:13" ht="12">
      <c r="D44">
        <v>0</v>
      </c>
      <c r="M44">
        <v>0</v>
      </c>
    </row>
    <row r="45" spans="4:13" ht="12">
      <c r="D45">
        <v>0</v>
      </c>
      <c r="M45">
        <v>0</v>
      </c>
    </row>
    <row r="47" spans="1:13" ht="12">
      <c r="A47" s="18" t="s">
        <v>131</v>
      </c>
      <c r="D47">
        <v>0</v>
      </c>
      <c r="H47" s="18" t="s">
        <v>131</v>
      </c>
      <c r="M47">
        <v>0</v>
      </c>
    </row>
    <row r="48" ht="12">
      <c r="M48">
        <v>0</v>
      </c>
    </row>
    <row r="50" spans="4:13" ht="12">
      <c r="D50">
        <v>0</v>
      </c>
      <c r="M50">
        <v>0</v>
      </c>
    </row>
    <row r="51" spans="4:13" ht="12">
      <c r="D51">
        <v>0</v>
      </c>
      <c r="M51">
        <v>0</v>
      </c>
    </row>
    <row r="53" ht="12">
      <c r="M53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4:13" ht="12">
      <c r="D59">
        <v>0</v>
      </c>
      <c r="M59">
        <v>0</v>
      </c>
    </row>
    <row r="60" spans="4:13" ht="12">
      <c r="D60">
        <v>0</v>
      </c>
      <c r="M60">
        <v>0</v>
      </c>
    </row>
    <row r="62" ht="12">
      <c r="D62">
        <v>0</v>
      </c>
    </row>
    <row r="63" ht="12">
      <c r="D63">
        <v>0</v>
      </c>
    </row>
    <row r="68" spans="4:13" ht="12">
      <c r="D68">
        <v>0</v>
      </c>
      <c r="M68">
        <v>0</v>
      </c>
    </row>
    <row r="69" ht="12">
      <c r="D69">
        <v>0</v>
      </c>
    </row>
    <row r="70" ht="12">
      <c r="D70">
        <v>0</v>
      </c>
    </row>
    <row r="71" ht="12">
      <c r="D71">
        <v>0</v>
      </c>
    </row>
    <row r="73" ht="12">
      <c r="D73">
        <v>0</v>
      </c>
    </row>
    <row r="74" spans="1:13" ht="12">
      <c r="A74" t="s">
        <v>120</v>
      </c>
      <c r="D74">
        <v>0</v>
      </c>
      <c r="H74" t="s">
        <v>120</v>
      </c>
      <c r="M74">
        <v>0</v>
      </c>
    </row>
    <row r="75" ht="12">
      <c r="D75">
        <v>0</v>
      </c>
    </row>
    <row r="76" spans="4:13" ht="12">
      <c r="D76">
        <v>0</v>
      </c>
      <c r="M76">
        <v>0</v>
      </c>
    </row>
    <row r="77" spans="4:13" ht="12">
      <c r="D77">
        <v>0</v>
      </c>
      <c r="M77">
        <v>0</v>
      </c>
    </row>
    <row r="83" ht="12">
      <c r="A83" t="s">
        <v>133</v>
      </c>
    </row>
    <row r="84" ht="12">
      <c r="A84" t="s">
        <v>134</v>
      </c>
    </row>
    <row r="85" ht="12">
      <c r="A85" t="s">
        <v>135</v>
      </c>
    </row>
    <row r="86" ht="12">
      <c r="A86" t="s">
        <v>136</v>
      </c>
    </row>
    <row r="87" ht="12">
      <c r="A87" t="s">
        <v>137</v>
      </c>
    </row>
    <row r="88" ht="12">
      <c r="A88" t="s">
        <v>138</v>
      </c>
    </row>
    <row r="89" ht="12">
      <c r="A89" t="s">
        <v>139</v>
      </c>
    </row>
    <row r="90" ht="12">
      <c r="A90" t="s">
        <v>140</v>
      </c>
    </row>
    <row r="91" ht="12">
      <c r="A91" t="s">
        <v>141</v>
      </c>
    </row>
    <row r="92" ht="12">
      <c r="A92" t="s">
        <v>142</v>
      </c>
    </row>
    <row r="93" ht="12">
      <c r="A93" t="s">
        <v>143</v>
      </c>
    </row>
    <row r="101" ht="12">
      <c r="A101" t="s">
        <v>134</v>
      </c>
    </row>
    <row r="102" ht="12">
      <c r="A102" t="s">
        <v>135</v>
      </c>
    </row>
    <row r="103" ht="12">
      <c r="A103" t="s">
        <v>144</v>
      </c>
    </row>
    <row r="104" ht="12">
      <c r="A104" t="s">
        <v>136</v>
      </c>
    </row>
    <row r="105" ht="12">
      <c r="A105" t="s">
        <v>138</v>
      </c>
    </row>
    <row r="106" ht="12">
      <c r="A106" t="s">
        <v>139</v>
      </c>
    </row>
    <row r="107" ht="12">
      <c r="A107" t="s">
        <v>145</v>
      </c>
    </row>
    <row r="108" ht="12">
      <c r="A108" t="s">
        <v>146</v>
      </c>
    </row>
    <row r="109" ht="12">
      <c r="A109" t="s">
        <v>140</v>
      </c>
    </row>
    <row r="110" ht="12">
      <c r="A110" t="s">
        <v>142</v>
      </c>
    </row>
    <row r="121" ht="12">
      <c r="A121" t="s">
        <v>134</v>
      </c>
    </row>
    <row r="122" ht="12">
      <c r="A122" t="s">
        <v>135</v>
      </c>
    </row>
    <row r="123" ht="12">
      <c r="A123" t="s">
        <v>137</v>
      </c>
    </row>
    <row r="124" ht="12">
      <c r="A124" t="s">
        <v>139</v>
      </c>
    </row>
    <row r="125" ht="12">
      <c r="A125" t="s">
        <v>140</v>
      </c>
    </row>
    <row r="126" ht="12">
      <c r="A126" t="s">
        <v>143</v>
      </c>
    </row>
    <row r="127" ht="12">
      <c r="A127" t="s">
        <v>147</v>
      </c>
    </row>
    <row r="131" ht="12">
      <c r="A131" t="s">
        <v>148</v>
      </c>
    </row>
    <row r="132" ht="12">
      <c r="A132" t="s">
        <v>149</v>
      </c>
    </row>
    <row r="133" ht="12">
      <c r="A133" t="s">
        <v>142</v>
      </c>
    </row>
    <row r="141" ht="12">
      <c r="A141" t="s">
        <v>148</v>
      </c>
    </row>
    <row r="142" ht="12">
      <c r="A142" t="s">
        <v>150</v>
      </c>
    </row>
    <row r="143" ht="12">
      <c r="A143" t="s">
        <v>139</v>
      </c>
    </row>
    <row r="144" ht="12">
      <c r="A144" t="s">
        <v>140</v>
      </c>
    </row>
    <row r="145" ht="12">
      <c r="A145" t="s">
        <v>142</v>
      </c>
    </row>
    <row r="146" ht="12">
      <c r="A146" t="s">
        <v>151</v>
      </c>
    </row>
    <row r="156" ht="12">
      <c r="A156" t="s">
        <v>152</v>
      </c>
    </row>
    <row r="157" ht="12">
      <c r="A157" t="s">
        <v>137</v>
      </c>
    </row>
    <row r="158" ht="12">
      <c r="A158" t="s">
        <v>141</v>
      </c>
    </row>
    <row r="164" ht="12">
      <c r="A164" t="s">
        <v>153</v>
      </c>
    </row>
    <row r="165" ht="12">
      <c r="A165" t="s">
        <v>141</v>
      </c>
    </row>
    <row r="166" ht="12">
      <c r="A166" t="s">
        <v>152</v>
      </c>
    </row>
    <row r="167" ht="12">
      <c r="A167" t="s">
        <v>137</v>
      </c>
    </row>
    <row r="175" ht="12">
      <c r="A175" t="s">
        <v>154</v>
      </c>
    </row>
    <row r="176" ht="12">
      <c r="A176" t="s">
        <v>155</v>
      </c>
    </row>
    <row r="177" ht="12">
      <c r="A177" t="s">
        <v>148</v>
      </c>
    </row>
    <row r="178" ht="12">
      <c r="A178" t="s">
        <v>150</v>
      </c>
    </row>
    <row r="179" ht="12">
      <c r="A179" t="s">
        <v>149</v>
      </c>
    </row>
    <row r="180" ht="12">
      <c r="A180" t="s">
        <v>141</v>
      </c>
    </row>
    <row r="181" ht="12">
      <c r="A181" t="s">
        <v>151</v>
      </c>
    </row>
    <row r="190" ht="12">
      <c r="A190" t="s">
        <v>156</v>
      </c>
    </row>
    <row r="191" ht="12">
      <c r="A191" t="s">
        <v>157</v>
      </c>
    </row>
    <row r="192" ht="12">
      <c r="A192" t="s">
        <v>158</v>
      </c>
    </row>
    <row r="193" ht="12">
      <c r="A193" t="s">
        <v>159</v>
      </c>
    </row>
    <row r="194" ht="12">
      <c r="A194" t="s">
        <v>160</v>
      </c>
    </row>
    <row r="195" ht="12">
      <c r="A195" t="s">
        <v>161</v>
      </c>
    </row>
    <row r="196" ht="12">
      <c r="A196" t="s">
        <v>162</v>
      </c>
    </row>
    <row r="197" ht="12">
      <c r="A197" t="s">
        <v>141</v>
      </c>
    </row>
    <row r="198" ht="12">
      <c r="A198" t="s">
        <v>163</v>
      </c>
    </row>
    <row r="199" ht="12">
      <c r="A199" t="s">
        <v>164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1">
    <mergeCell ref="A3:D3"/>
  </mergeCells>
  <printOptions/>
  <pageMargins left="0.75" right="0.75" top="1" bottom="1" header="0.5" footer="0.5"/>
  <pageSetup fitToHeight="1" fitToWidth="1" orientation="landscape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13</v>
      </c>
      <c r="H6" s="1" t="s">
        <v>29</v>
      </c>
      <c r="M6" s="2">
        <v>11</v>
      </c>
    </row>
    <row r="7" spans="1:13" ht="12">
      <c r="A7" s="16" t="s">
        <v>95</v>
      </c>
      <c r="D7" s="2">
        <v>3</v>
      </c>
      <c r="H7" s="16" t="s">
        <v>95</v>
      </c>
      <c r="M7" s="2">
        <v>6</v>
      </c>
    </row>
    <row r="8" spans="1:13" ht="12">
      <c r="A8" s="16" t="s">
        <v>96</v>
      </c>
      <c r="D8" s="2">
        <v>9</v>
      </c>
      <c r="H8" s="16" t="s">
        <v>96</v>
      </c>
      <c r="M8" s="2">
        <v>4</v>
      </c>
    </row>
    <row r="9" spans="1:13" ht="12">
      <c r="A9" s="16" t="s">
        <v>97</v>
      </c>
      <c r="D9" s="2">
        <v>1</v>
      </c>
      <c r="H9" s="16" t="s">
        <v>97</v>
      </c>
      <c r="M9" s="2">
        <v>1</v>
      </c>
    </row>
    <row r="10" spans="1:14" ht="12">
      <c r="A10" s="18" t="s">
        <v>108</v>
      </c>
      <c r="C10">
        <v>3</v>
      </c>
      <c r="D10" s="2">
        <v>12</v>
      </c>
      <c r="E10" s="19">
        <f>+C10/D10</f>
        <v>0.25</v>
      </c>
      <c r="H10" s="18" t="s">
        <v>108</v>
      </c>
      <c r="L10">
        <v>3</v>
      </c>
      <c r="M10" s="2">
        <v>14</v>
      </c>
      <c r="N10" s="19">
        <f>+L10/M10</f>
        <v>0.21428571428571427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1</v>
      </c>
      <c r="N11" s="19"/>
    </row>
    <row r="13" spans="1:23" ht="12">
      <c r="A13" t="s">
        <v>1</v>
      </c>
      <c r="D13" s="2">
        <f>10+5+4+2+2</f>
        <v>23</v>
      </c>
      <c r="H13" t="s">
        <v>1</v>
      </c>
      <c r="M13" s="2">
        <f>21+6+5+1+1</f>
        <v>34</v>
      </c>
      <c r="V13">
        <f>+D13</f>
        <v>23</v>
      </c>
      <c r="W13">
        <f>+M13</f>
        <v>34</v>
      </c>
    </row>
    <row r="14" spans="1:23" ht="12">
      <c r="A14" t="s">
        <v>2</v>
      </c>
      <c r="D14" s="2">
        <f>20+32-7+6+5</f>
        <v>56</v>
      </c>
      <c r="H14" t="s">
        <v>2</v>
      </c>
      <c r="M14" s="2">
        <f>72+13+7+9+2</f>
        <v>103</v>
      </c>
      <c r="P14" s="13"/>
      <c r="U14" s="13"/>
      <c r="V14">
        <f>+D18</f>
        <v>18</v>
      </c>
      <c r="W14">
        <f>+M18</f>
        <v>13</v>
      </c>
    </row>
    <row r="15" spans="1:23" ht="12">
      <c r="A15" s="1" t="s">
        <v>3</v>
      </c>
      <c r="D15" s="8">
        <f>+D14/D13</f>
        <v>2.4347826086956523</v>
      </c>
      <c r="H15" s="1" t="s">
        <v>3</v>
      </c>
      <c r="M15" s="8">
        <f>+M14/M13</f>
        <v>3.0294117647058822</v>
      </c>
      <c r="V15">
        <f>+(D17-D18)/2</f>
        <v>12</v>
      </c>
      <c r="W15">
        <f>+(M17-M18)/2</f>
        <v>7</v>
      </c>
    </row>
    <row r="16" spans="22:23" ht="12">
      <c r="V16">
        <f>+D40/2</f>
        <v>2.5</v>
      </c>
      <c r="W16">
        <f>+M40/2</f>
        <v>3.5</v>
      </c>
    </row>
    <row r="17" spans="1:23" ht="12">
      <c r="A17" t="s">
        <v>4</v>
      </c>
      <c r="D17" s="2">
        <v>42</v>
      </c>
      <c r="H17" t="s">
        <v>4</v>
      </c>
      <c r="M17" s="2">
        <v>27</v>
      </c>
      <c r="V17">
        <f>+D44/2</f>
        <v>2</v>
      </c>
      <c r="W17">
        <f>+M44/2</f>
        <v>2</v>
      </c>
    </row>
    <row r="18" spans="1:23" ht="12">
      <c r="A18" t="s">
        <v>5</v>
      </c>
      <c r="D18" s="2">
        <v>18</v>
      </c>
      <c r="H18" t="s">
        <v>5</v>
      </c>
      <c r="M18" s="2">
        <v>13</v>
      </c>
      <c r="V18">
        <f>+D50/2</f>
        <v>2</v>
      </c>
      <c r="W18">
        <f>+M50/2</f>
        <v>1</v>
      </c>
    </row>
    <row r="19" spans="1:13" ht="12">
      <c r="A19" t="s">
        <v>6</v>
      </c>
      <c r="D19" s="8">
        <f>+D18/D17*100</f>
        <v>42.857142857142854</v>
      </c>
      <c r="H19" t="s">
        <v>6</v>
      </c>
      <c r="M19" s="8">
        <f>+M18/M17*100</f>
        <v>48.148148148148145</v>
      </c>
    </row>
    <row r="20" spans="1:24" ht="12">
      <c r="A20" t="s">
        <v>7</v>
      </c>
      <c r="D20" s="2">
        <v>261</v>
      </c>
      <c r="H20" t="s">
        <v>7</v>
      </c>
      <c r="M20" s="2">
        <f>96+16</f>
        <v>112</v>
      </c>
      <c r="V20">
        <f>SUM(V13:V18)</f>
        <v>59.5</v>
      </c>
      <c r="W20">
        <f>SUM(W13:W18)</f>
        <v>60.5</v>
      </c>
      <c r="X20">
        <f>+W20+V20</f>
        <v>120</v>
      </c>
    </row>
    <row r="21" spans="1:23" ht="12">
      <c r="A21" t="s">
        <v>8</v>
      </c>
      <c r="D21" s="2">
        <v>1</v>
      </c>
      <c r="H21" t="s">
        <v>8</v>
      </c>
      <c r="M21" s="2">
        <v>0</v>
      </c>
      <c r="V21">
        <f>+V20/X20</f>
        <v>0.49583333333333335</v>
      </c>
      <c r="W21">
        <f>+W20/X20</f>
        <v>0.5041666666666667</v>
      </c>
    </row>
    <row r="22" spans="1:23" ht="12">
      <c r="A22" t="s">
        <v>9</v>
      </c>
      <c r="D22" s="2">
        <v>1</v>
      </c>
      <c r="H22" t="s">
        <v>9</v>
      </c>
      <c r="M22" s="2">
        <v>0</v>
      </c>
      <c r="V22">
        <f>+V21*60</f>
        <v>29.75</v>
      </c>
      <c r="W22">
        <f>+W21*60</f>
        <v>30.25</v>
      </c>
    </row>
    <row r="23" spans="1:23" ht="12">
      <c r="A23" t="s">
        <v>10</v>
      </c>
      <c r="D23">
        <f>+D20-D22</f>
        <v>260</v>
      </c>
      <c r="H23" t="s">
        <v>10</v>
      </c>
      <c r="M23">
        <f>+M20-M22</f>
        <v>112</v>
      </c>
      <c r="V23">
        <f>+V22-INT(V22)</f>
        <v>0.75</v>
      </c>
      <c r="W23">
        <f>+W22-INT(W22)</f>
        <v>0.25</v>
      </c>
    </row>
    <row r="24" spans="1:23" ht="12">
      <c r="A24" t="s">
        <v>11</v>
      </c>
      <c r="D24" s="7">
        <f>+D23/(D17+D21)</f>
        <v>6.046511627906977</v>
      </c>
      <c r="H24" t="s">
        <v>11</v>
      </c>
      <c r="M24" s="7">
        <f>+M23/(M17+M21)</f>
        <v>4.148148148148148</v>
      </c>
      <c r="V24">
        <f>+V23*60</f>
        <v>45</v>
      </c>
      <c r="W24">
        <f>+W23*60</f>
        <v>15</v>
      </c>
    </row>
    <row r="25" spans="1:23" ht="12">
      <c r="A25" t="s">
        <v>12</v>
      </c>
      <c r="D25" s="7">
        <f>+D20/D18</f>
        <v>14.5</v>
      </c>
      <c r="H25" t="s">
        <v>12</v>
      </c>
      <c r="M25" s="7">
        <f>+M20/M18</f>
        <v>8.615384615384615</v>
      </c>
      <c r="Q25" s="11"/>
      <c r="U25">
        <v>0</v>
      </c>
      <c r="V25" s="11">
        <f>ROUND(V24,0)</f>
        <v>45</v>
      </c>
      <c r="W25">
        <f>ROUND(W24,0)</f>
        <v>15</v>
      </c>
    </row>
    <row r="26" spans="22:23" ht="12">
      <c r="V26">
        <f>INT(V22)</f>
        <v>29</v>
      </c>
      <c r="W26">
        <f>INT(W22)</f>
        <v>30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316</v>
      </c>
      <c r="H28" t="s">
        <v>14</v>
      </c>
      <c r="M28">
        <f>+M23+M14</f>
        <v>215</v>
      </c>
      <c r="Q28" s="14"/>
      <c r="R28" s="9"/>
      <c r="V28" s="14" t="str">
        <f>+V26&amp;V27&amp;V25</f>
        <v>29:45</v>
      </c>
      <c r="W28" s="9" t="str">
        <f>+W26&amp;W27&amp;W25</f>
        <v>30:15</v>
      </c>
    </row>
    <row r="29" spans="1:23" ht="12">
      <c r="A29" t="s">
        <v>15</v>
      </c>
      <c r="D29" s="7">
        <f>+D14/D28*100</f>
        <v>17.72151898734177</v>
      </c>
      <c r="H29" t="s">
        <v>15</v>
      </c>
      <c r="M29" s="7">
        <f>+M14/M28*100</f>
        <v>47.906976744186046</v>
      </c>
      <c r="Q29" s="9"/>
      <c r="R29" s="9"/>
      <c r="V29" s="9" t="str">
        <f>IF(V25&lt;10,+V26&amp;V27&amp;$U$25&amp;V25,+V26&amp;V27&amp;V25)</f>
        <v>29:45</v>
      </c>
      <c r="W29" s="9" t="str">
        <f>IF(W25&lt;10,+W26&amp;W27&amp;$U$25&amp;W25,+W26&amp;W27&amp;W25)</f>
        <v>30:15</v>
      </c>
    </row>
    <row r="30" spans="1:16" ht="12">
      <c r="A30" s="1" t="s">
        <v>90</v>
      </c>
      <c r="D30" s="7">
        <f>+D23/D28*100</f>
        <v>82.27848101265823</v>
      </c>
      <c r="H30" s="1" t="s">
        <v>90</v>
      </c>
      <c r="M30" s="7">
        <f>+M23/M28*100</f>
        <v>52.093023255813954</v>
      </c>
      <c r="P30" s="13"/>
    </row>
    <row r="32" spans="1:13" ht="12">
      <c r="A32" t="s">
        <v>16</v>
      </c>
      <c r="D32">
        <f>+D13+D17+D21</f>
        <v>66</v>
      </c>
      <c r="H32" t="s">
        <v>16</v>
      </c>
      <c r="M32">
        <f>+M13+M17+M21</f>
        <v>61</v>
      </c>
    </row>
    <row r="33" spans="1:14" ht="12">
      <c r="A33" t="s">
        <v>17</v>
      </c>
      <c r="C33" s="7"/>
      <c r="D33" s="8">
        <f>+D28/D32</f>
        <v>4.787878787878788</v>
      </c>
      <c r="F33" s="7"/>
      <c r="G33" s="7"/>
      <c r="H33" s="7" t="s">
        <v>17</v>
      </c>
      <c r="I33" s="7"/>
      <c r="J33" s="7"/>
      <c r="K33" s="7"/>
      <c r="M33" s="8">
        <f>+M28/M32</f>
        <v>3.5245901639344264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3</v>
      </c>
      <c r="H36" t="s">
        <v>19</v>
      </c>
      <c r="M36" s="2">
        <v>0</v>
      </c>
    </row>
    <row r="37" spans="1:13" ht="12">
      <c r="A37" t="s">
        <v>20</v>
      </c>
      <c r="D37" s="2">
        <f>8+0+9</f>
        <v>17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7</v>
      </c>
    </row>
    <row r="41" spans="1:13" ht="12">
      <c r="A41" t="s">
        <v>23</v>
      </c>
      <c r="D41" s="2">
        <f>45+27+42+48+40</f>
        <v>202</v>
      </c>
      <c r="H41" t="s">
        <v>23</v>
      </c>
      <c r="M41" s="2">
        <f>24+46+52+40+40+54+45</f>
        <v>301</v>
      </c>
    </row>
    <row r="42" spans="1:14" ht="12">
      <c r="A42" t="s">
        <v>24</v>
      </c>
      <c r="C42" s="7"/>
      <c r="D42" s="8">
        <f>+D41/D40</f>
        <v>40.4</v>
      </c>
      <c r="F42" s="7"/>
      <c r="G42" s="7"/>
      <c r="H42" s="7" t="s">
        <v>24</v>
      </c>
      <c r="I42" s="7"/>
      <c r="J42" s="7"/>
      <c r="K42" s="7"/>
      <c r="M42" s="8">
        <f>+M41/M40</f>
        <v>43</v>
      </c>
      <c r="N42" s="7"/>
    </row>
    <row r="44" spans="1:13" ht="12">
      <c r="A44" t="s">
        <v>25</v>
      </c>
      <c r="D44" s="2">
        <v>4</v>
      </c>
      <c r="H44" t="s">
        <v>25</v>
      </c>
      <c r="M44" s="2">
        <v>4</v>
      </c>
    </row>
    <row r="45" spans="1:13" ht="12">
      <c r="A45" t="s">
        <v>26</v>
      </c>
      <c r="D45" s="2">
        <f>8+2+31+1</f>
        <v>42</v>
      </c>
      <c r="H45" t="s">
        <v>26</v>
      </c>
      <c r="M45" s="2">
        <f>4+43+43+64</f>
        <v>154</v>
      </c>
    </row>
    <row r="46" spans="1:13" ht="12">
      <c r="A46" t="s">
        <v>27</v>
      </c>
      <c r="D46" s="8">
        <f>+D45/D44</f>
        <v>10.5</v>
      </c>
      <c r="H46" t="s">
        <v>27</v>
      </c>
      <c r="M46" s="8">
        <f>+M45/M44</f>
        <v>38.5</v>
      </c>
    </row>
    <row r="47" spans="1:13" ht="12">
      <c r="A47" s="18" t="s">
        <v>131</v>
      </c>
      <c r="D47" s="2">
        <v>2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1</v>
      </c>
    </row>
    <row r="50" spans="1:13" ht="12">
      <c r="A50" t="s">
        <v>30</v>
      </c>
      <c r="D50" s="2">
        <v>4</v>
      </c>
      <c r="H50" t="s">
        <v>30</v>
      </c>
      <c r="M50" s="2">
        <v>2</v>
      </c>
    </row>
    <row r="51" spans="1:13" ht="12">
      <c r="A51" t="s">
        <v>26</v>
      </c>
      <c r="D51" s="2">
        <f>17+26+34+19</f>
        <v>96</v>
      </c>
      <c r="H51" t="s">
        <v>26</v>
      </c>
      <c r="M51" s="2">
        <v>49</v>
      </c>
    </row>
    <row r="52" spans="1:13" ht="12">
      <c r="A52" t="s">
        <v>27</v>
      </c>
      <c r="D52" s="8">
        <f>+D51/D50</f>
        <v>24</v>
      </c>
      <c r="H52" t="s">
        <v>27</v>
      </c>
      <c r="M52" s="8">
        <f>+M51/M50</f>
        <v>24.5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2</v>
      </c>
      <c r="G55" t="str">
        <f>IF(D55-D56=M50,"ok","err")</f>
        <v>ok</v>
      </c>
      <c r="H55" t="s">
        <v>127</v>
      </c>
      <c r="K55" s="2"/>
      <c r="M55" s="2">
        <v>4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4</v>
      </c>
      <c r="H59" t="s">
        <v>31</v>
      </c>
      <c r="M59" s="2">
        <v>4</v>
      </c>
    </row>
    <row r="60" spans="1:13" ht="12">
      <c r="A60" t="s">
        <v>32</v>
      </c>
      <c r="D60" s="2">
        <v>88</v>
      </c>
      <c r="H60" t="s">
        <v>32</v>
      </c>
      <c r="M60" s="2">
        <v>30</v>
      </c>
    </row>
    <row r="62" spans="1:13" ht="12">
      <c r="A62" t="s">
        <v>33</v>
      </c>
      <c r="D62" s="2">
        <v>2</v>
      </c>
      <c r="H62" t="s">
        <v>33</v>
      </c>
      <c r="M62" s="2">
        <v>1</v>
      </c>
    </row>
    <row r="63" spans="1:13" ht="12">
      <c r="A63" t="s">
        <v>34</v>
      </c>
      <c r="D63" s="2">
        <v>2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7</v>
      </c>
      <c r="E68" t="str">
        <f>IF(B68=B69*6+B75*2+B76*3+B73,"ok","ERR")</f>
        <v>ok</v>
      </c>
      <c r="H68" t="s">
        <v>38</v>
      </c>
      <c r="M68" s="2">
        <v>17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2</v>
      </c>
    </row>
    <row r="70" spans="1:13" ht="12">
      <c r="A70" t="s">
        <v>40</v>
      </c>
      <c r="D70" s="2">
        <v>0</v>
      </c>
      <c r="H70" t="s">
        <v>40</v>
      </c>
      <c r="M70" s="2">
        <v>1</v>
      </c>
    </row>
    <row r="71" spans="1:13" ht="12">
      <c r="A71" t="s">
        <v>41</v>
      </c>
      <c r="D71" s="2">
        <v>1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1</v>
      </c>
    </row>
    <row r="73" spans="1:13" ht="12">
      <c r="A73" t="s">
        <v>43</v>
      </c>
      <c r="D73" s="2">
        <v>1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4</v>
      </c>
    </row>
    <row r="78" spans="1:14" ht="12">
      <c r="A78" t="s">
        <v>47</v>
      </c>
      <c r="C78" s="7"/>
      <c r="D78" s="8">
        <f>+D76/D77*100</f>
        <v>0</v>
      </c>
      <c r="F78" s="7"/>
      <c r="G78" s="7"/>
      <c r="H78" s="7" t="s">
        <v>47</v>
      </c>
      <c r="I78" s="7"/>
      <c r="J78" s="7"/>
      <c r="K78" s="7"/>
      <c r="M78" s="8">
        <f>+M76/M77*100</f>
        <v>25</v>
      </c>
      <c r="N78" s="7"/>
    </row>
    <row r="79" spans="1:13" ht="12">
      <c r="A79" t="s">
        <v>93</v>
      </c>
      <c r="D79" s="10" t="str">
        <f>IF(V25&lt;10,V29,V28)</f>
        <v>29:45</v>
      </c>
      <c r="E79" s="8"/>
      <c r="F79" s="8"/>
      <c r="H79" t="s">
        <v>93</v>
      </c>
      <c r="M79" s="10" t="str">
        <f>IF(W25&lt;10,W29,W28)</f>
        <v>30:15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8" ht="12">
      <c r="A83" t="s">
        <v>133</v>
      </c>
      <c r="C83">
        <v>2</v>
      </c>
      <c r="D83">
        <v>6</v>
      </c>
      <c r="E83" s="12">
        <f>+D83/C83</f>
        <v>3</v>
      </c>
      <c r="F83">
        <v>5</v>
      </c>
      <c r="G83">
        <v>0</v>
      </c>
      <c r="H83">
        <v>0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2</v>
      </c>
      <c r="D87">
        <v>5</v>
      </c>
      <c r="E87" s="12">
        <f t="shared" si="0"/>
        <v>2.5</v>
      </c>
      <c r="F87">
        <v>4</v>
      </c>
      <c r="G87">
        <v>0</v>
      </c>
      <c r="H87">
        <v>0</v>
      </c>
    </row>
    <row r="88" spans="1:8" ht="12">
      <c r="A88" t="s">
        <v>138</v>
      </c>
      <c r="C88">
        <v>5</v>
      </c>
      <c r="D88">
        <v>32</v>
      </c>
      <c r="E88" s="12">
        <f t="shared" si="0"/>
        <v>6.4</v>
      </c>
      <c r="F88">
        <v>11</v>
      </c>
      <c r="G88">
        <v>0</v>
      </c>
      <c r="H88">
        <v>0</v>
      </c>
    </row>
    <row r="89" spans="1:8" ht="12">
      <c r="A89" t="s">
        <v>139</v>
      </c>
      <c r="C89">
        <v>4</v>
      </c>
      <c r="D89">
        <v>-7</v>
      </c>
      <c r="E89" s="12">
        <f t="shared" si="0"/>
        <v>-1.75</v>
      </c>
      <c r="F89">
        <v>2</v>
      </c>
      <c r="G89">
        <v>0</v>
      </c>
      <c r="H89">
        <v>0</v>
      </c>
    </row>
    <row r="90" spans="1:8" ht="12">
      <c r="A90" t="s">
        <v>140</v>
      </c>
      <c r="C90">
        <v>10</v>
      </c>
      <c r="D90">
        <v>20</v>
      </c>
      <c r="E90" s="12">
        <f t="shared" si="0"/>
        <v>2</v>
      </c>
      <c r="F90">
        <v>6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5</v>
      </c>
      <c r="D101">
        <v>81</v>
      </c>
      <c r="E101" s="12">
        <f aca="true" t="shared" si="1" ref="E101:E112">+D101/C101</f>
        <v>16.2</v>
      </c>
      <c r="F101">
        <v>31</v>
      </c>
      <c r="G101">
        <v>0</v>
      </c>
      <c r="H101">
        <v>0</v>
      </c>
    </row>
    <row r="102" spans="1:8" ht="12">
      <c r="A102" t="s">
        <v>135</v>
      </c>
      <c r="C102">
        <v>1</v>
      </c>
      <c r="D102">
        <v>13</v>
      </c>
      <c r="E102" s="12">
        <f t="shared" si="1"/>
        <v>13</v>
      </c>
      <c r="F102">
        <v>13</v>
      </c>
      <c r="G102">
        <v>0</v>
      </c>
      <c r="H102">
        <v>0</v>
      </c>
    </row>
    <row r="103" spans="1:8" ht="12">
      <c r="A103" t="s">
        <v>144</v>
      </c>
      <c r="C103">
        <v>4</v>
      </c>
      <c r="D103">
        <v>43</v>
      </c>
      <c r="E103" s="12">
        <f t="shared" si="1"/>
        <v>10.75</v>
      </c>
      <c r="F103">
        <v>30</v>
      </c>
      <c r="G103">
        <v>0</v>
      </c>
      <c r="H103">
        <v>0</v>
      </c>
    </row>
    <row r="104" spans="1:8" ht="12">
      <c r="A104" t="s">
        <v>136</v>
      </c>
      <c r="C104">
        <v>2</v>
      </c>
      <c r="D104">
        <v>77</v>
      </c>
      <c r="E104" s="12">
        <f t="shared" si="1"/>
        <v>38.5</v>
      </c>
      <c r="F104">
        <v>66</v>
      </c>
      <c r="G104">
        <v>1</v>
      </c>
      <c r="H104">
        <v>0</v>
      </c>
    </row>
    <row r="105" spans="1:8" ht="12">
      <c r="A105" t="s">
        <v>138</v>
      </c>
      <c r="C105">
        <v>1</v>
      </c>
      <c r="D105">
        <v>4</v>
      </c>
      <c r="E105" s="12">
        <f t="shared" si="1"/>
        <v>4</v>
      </c>
      <c r="F105">
        <v>4</v>
      </c>
      <c r="G105">
        <v>0</v>
      </c>
      <c r="H105">
        <v>0</v>
      </c>
    </row>
    <row r="106" spans="1:8" ht="12">
      <c r="A106" t="s">
        <v>139</v>
      </c>
      <c r="C106">
        <v>2</v>
      </c>
      <c r="D106">
        <v>19</v>
      </c>
      <c r="E106" s="12">
        <f t="shared" si="1"/>
        <v>9.5</v>
      </c>
      <c r="F106">
        <v>13</v>
      </c>
      <c r="G106">
        <v>0</v>
      </c>
      <c r="H106">
        <v>0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3</v>
      </c>
      <c r="D109">
        <v>24</v>
      </c>
      <c r="E109" s="12">
        <f t="shared" si="1"/>
        <v>8</v>
      </c>
      <c r="F109">
        <v>12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42</v>
      </c>
      <c r="D123">
        <v>18</v>
      </c>
      <c r="E123" s="12">
        <f t="shared" si="2"/>
        <v>42.857142857142854</v>
      </c>
      <c r="F123">
        <v>261</v>
      </c>
      <c r="G123">
        <v>1</v>
      </c>
      <c r="H123">
        <v>66</v>
      </c>
      <c r="I123">
        <v>3</v>
      </c>
      <c r="J123" s="8">
        <f t="shared" si="3"/>
        <v>2.380952380952381</v>
      </c>
      <c r="K123" s="12">
        <f t="shared" si="4"/>
        <v>7.142857142857142</v>
      </c>
      <c r="L123" s="12">
        <f t="shared" si="5"/>
        <v>6.214285714285714</v>
      </c>
      <c r="M123" s="12">
        <f t="shared" si="6"/>
        <v>41.86507936507936</v>
      </c>
      <c r="N123">
        <v>1</v>
      </c>
      <c r="O123">
        <v>1</v>
      </c>
      <c r="R123">
        <f t="shared" si="7"/>
        <v>0.6428571428571427</v>
      </c>
      <c r="S123" s="2">
        <f t="shared" si="8"/>
        <v>0.6428571428571427</v>
      </c>
      <c r="T123" s="6">
        <f t="shared" si="9"/>
        <v>0.8035714285714286</v>
      </c>
      <c r="U123" s="2">
        <f t="shared" si="10"/>
        <v>0.8035714285714286</v>
      </c>
      <c r="V123">
        <f t="shared" si="11"/>
        <v>0.47619047619047616</v>
      </c>
      <c r="W123" s="2">
        <f t="shared" si="12"/>
        <v>0.47619047619047616</v>
      </c>
      <c r="X123">
        <f t="shared" si="13"/>
        <v>0.5892857142857144</v>
      </c>
      <c r="Y123" s="2">
        <f t="shared" si="14"/>
        <v>0.5892857142857144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4</v>
      </c>
      <c r="D131">
        <v>2</v>
      </c>
      <c r="E131">
        <f>8+2+31+1</f>
        <v>42</v>
      </c>
      <c r="F131" s="12">
        <f aca="true" t="shared" si="15" ref="F131:F136">+E131/C131</f>
        <v>10.5</v>
      </c>
      <c r="G131">
        <v>31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2</v>
      </c>
      <c r="D144">
        <f>34+19</f>
        <v>53</v>
      </c>
      <c r="E144" s="12">
        <f t="shared" si="16"/>
        <v>26.5</v>
      </c>
      <c r="F144">
        <v>34</v>
      </c>
    </row>
    <row r="145" spans="1:5" ht="12">
      <c r="A145" t="s">
        <v>142</v>
      </c>
      <c r="E145" s="12" t="e">
        <f t="shared" si="16"/>
        <v>#DIV/0!</v>
      </c>
    </row>
    <row r="146" spans="1:8" ht="12">
      <c r="A146" t="s">
        <v>151</v>
      </c>
      <c r="C146">
        <v>2</v>
      </c>
      <c r="D146">
        <v>43</v>
      </c>
      <c r="E146" s="12">
        <f t="shared" si="16"/>
        <v>21.5</v>
      </c>
      <c r="F146">
        <v>26</v>
      </c>
      <c r="H146">
        <v>1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spans="1:6" ht="12">
      <c r="A157" t="s">
        <v>137</v>
      </c>
      <c r="C157">
        <v>2</v>
      </c>
      <c r="D157">
        <v>88</v>
      </c>
      <c r="F157">
        <v>48</v>
      </c>
    </row>
    <row r="158" spans="1:6" ht="12">
      <c r="A158" t="s">
        <v>141</v>
      </c>
      <c r="C158">
        <v>3</v>
      </c>
      <c r="D158">
        <f>45+27+42</f>
        <v>114</v>
      </c>
      <c r="F158">
        <v>45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8" ht="12">
      <c r="A164" t="s">
        <v>153</v>
      </c>
      <c r="C164">
        <v>2</v>
      </c>
      <c r="E164">
        <v>1</v>
      </c>
      <c r="F164">
        <v>1</v>
      </c>
      <c r="G164">
        <v>3</v>
      </c>
      <c r="I164" s="12">
        <f aca="true" t="shared" si="18" ref="I164:I171">+H164/G164*100</f>
        <v>0</v>
      </c>
      <c r="P164">
        <v>2</v>
      </c>
      <c r="R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spans="1:3" ht="12">
      <c r="A214" t="s">
        <v>155</v>
      </c>
      <c r="C214">
        <v>1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spans="1:3" ht="12">
      <c r="A253" t="s">
        <v>182</v>
      </c>
      <c r="C253">
        <v>1</v>
      </c>
    </row>
    <row r="254" spans="1:3" ht="12">
      <c r="A254" t="s">
        <v>151</v>
      </c>
      <c r="C254">
        <v>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12</v>
      </c>
      <c r="H6" s="1" t="s">
        <v>29</v>
      </c>
      <c r="M6" s="2">
        <v>17</v>
      </c>
    </row>
    <row r="7" spans="1:13" ht="12">
      <c r="A7" s="16" t="s">
        <v>95</v>
      </c>
      <c r="D7" s="2">
        <v>5</v>
      </c>
      <c r="H7" s="16" t="s">
        <v>95</v>
      </c>
      <c r="M7" s="2">
        <v>5</v>
      </c>
    </row>
    <row r="8" spans="1:13" ht="12">
      <c r="A8" s="16" t="s">
        <v>96</v>
      </c>
      <c r="D8" s="2">
        <v>6</v>
      </c>
      <c r="H8" s="16" t="s">
        <v>96</v>
      </c>
      <c r="M8" s="2">
        <v>11</v>
      </c>
    </row>
    <row r="9" spans="1:13" ht="12">
      <c r="A9" s="16" t="s">
        <v>97</v>
      </c>
      <c r="D9" s="2">
        <v>1</v>
      </c>
      <c r="H9" s="16" t="s">
        <v>97</v>
      </c>
      <c r="M9" s="2">
        <v>1</v>
      </c>
    </row>
    <row r="10" spans="1:14" ht="12">
      <c r="A10" s="18" t="s">
        <v>108</v>
      </c>
      <c r="C10">
        <v>2</v>
      </c>
      <c r="D10" s="2">
        <v>12</v>
      </c>
      <c r="E10" s="19">
        <f>+C10/D10</f>
        <v>0.16666666666666666</v>
      </c>
      <c r="H10" s="18" t="s">
        <v>108</v>
      </c>
      <c r="L10">
        <v>2</v>
      </c>
      <c r="M10" s="2">
        <v>14</v>
      </c>
      <c r="N10" s="19">
        <f>+L10/M10</f>
        <v>0.14285714285714285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9+7+2+2+3</f>
        <v>23</v>
      </c>
      <c r="H13" t="s">
        <v>1</v>
      </c>
      <c r="M13" s="2">
        <f>22+10+1+3</f>
        <v>36</v>
      </c>
      <c r="V13">
        <f>+D13</f>
        <v>23</v>
      </c>
      <c r="W13">
        <f>+M13</f>
        <v>36</v>
      </c>
    </row>
    <row r="14" spans="1:23" ht="12">
      <c r="A14" t="s">
        <v>2</v>
      </c>
      <c r="D14" s="2">
        <f>31+46+4+10+5</f>
        <v>96</v>
      </c>
      <c r="H14" t="s">
        <v>2</v>
      </c>
      <c r="M14" s="2">
        <f>71+20+3+2</f>
        <v>96</v>
      </c>
      <c r="P14" s="13"/>
      <c r="U14" s="13"/>
      <c r="V14">
        <f>+D18</f>
        <v>13</v>
      </c>
      <c r="W14">
        <f>+M18</f>
        <v>12</v>
      </c>
    </row>
    <row r="15" spans="1:23" ht="12">
      <c r="A15" s="1" t="s">
        <v>3</v>
      </c>
      <c r="D15" s="8">
        <f>+D14/D13</f>
        <v>4.173913043478261</v>
      </c>
      <c r="H15" s="1" t="s">
        <v>3</v>
      </c>
      <c r="M15" s="8">
        <f>+M14/M13</f>
        <v>2.6666666666666665</v>
      </c>
      <c r="V15">
        <f>+(D17-D18)/2</f>
        <v>10</v>
      </c>
      <c r="W15">
        <f>+(M17-M18)/2</f>
        <v>9.5</v>
      </c>
    </row>
    <row r="16" spans="22:23" ht="12">
      <c r="V16">
        <f>+D40/2</f>
        <v>3.5</v>
      </c>
      <c r="W16">
        <f>+M40/2</f>
        <v>4.5</v>
      </c>
    </row>
    <row r="17" spans="1:23" ht="12">
      <c r="A17" t="s">
        <v>4</v>
      </c>
      <c r="D17" s="2">
        <v>33</v>
      </c>
      <c r="H17" t="s">
        <v>4</v>
      </c>
      <c r="M17" s="2">
        <f>19+12</f>
        <v>31</v>
      </c>
      <c r="V17">
        <f>+D44/2</f>
        <v>2.5</v>
      </c>
      <c r="W17">
        <f>+M44/2</f>
        <v>1.5</v>
      </c>
    </row>
    <row r="18" spans="1:23" ht="12">
      <c r="A18" t="s">
        <v>5</v>
      </c>
      <c r="D18" s="2">
        <v>13</v>
      </c>
      <c r="H18" t="s">
        <v>5</v>
      </c>
      <c r="M18" s="2">
        <v>12</v>
      </c>
      <c r="V18">
        <f>+D50/2</f>
        <v>2.5</v>
      </c>
      <c r="W18">
        <f>+M50/2</f>
        <v>1</v>
      </c>
    </row>
    <row r="19" spans="1:13" ht="12">
      <c r="A19" t="s">
        <v>6</v>
      </c>
      <c r="D19" s="8">
        <f>+D18/D17*100</f>
        <v>39.39393939393939</v>
      </c>
      <c r="H19" t="s">
        <v>6</v>
      </c>
      <c r="M19" s="8">
        <f>+M18/M17*100</f>
        <v>38.70967741935484</v>
      </c>
    </row>
    <row r="20" spans="1:24" ht="12">
      <c r="A20" t="s">
        <v>7</v>
      </c>
      <c r="D20" s="2">
        <v>138</v>
      </c>
      <c r="H20" t="s">
        <v>7</v>
      </c>
      <c r="M20" s="2">
        <f>97+98</f>
        <v>195</v>
      </c>
      <c r="V20">
        <f>SUM(V13:V18)</f>
        <v>54.5</v>
      </c>
      <c r="W20">
        <f>SUM(W13:W18)</f>
        <v>64.5</v>
      </c>
      <c r="X20">
        <f>+W20+V20</f>
        <v>119</v>
      </c>
    </row>
    <row r="21" spans="1:23" ht="12">
      <c r="A21" t="s">
        <v>8</v>
      </c>
      <c r="D21" s="2">
        <v>2</v>
      </c>
      <c r="H21" t="s">
        <v>8</v>
      </c>
      <c r="M21" s="2">
        <v>3</v>
      </c>
      <c r="V21">
        <f>+V20/X20</f>
        <v>0.4579831932773109</v>
      </c>
      <c r="W21">
        <f>+W20/X20</f>
        <v>0.542016806722689</v>
      </c>
    </row>
    <row r="22" spans="1:23" ht="12">
      <c r="A22" t="s">
        <v>9</v>
      </c>
      <c r="D22" s="2">
        <v>28</v>
      </c>
      <c r="H22" t="s">
        <v>9</v>
      </c>
      <c r="M22" s="2">
        <f>12+14+9</f>
        <v>35</v>
      </c>
      <c r="V22">
        <f>+V21*60</f>
        <v>27.478991596638654</v>
      </c>
      <c r="W22">
        <f>+W21*60</f>
        <v>32.52100840336134</v>
      </c>
    </row>
    <row r="23" spans="1:23" ht="12">
      <c r="A23" t="s">
        <v>10</v>
      </c>
      <c r="D23">
        <f>+D20-D22</f>
        <v>110</v>
      </c>
      <c r="H23" t="s">
        <v>10</v>
      </c>
      <c r="M23">
        <f>+M20-M22</f>
        <v>160</v>
      </c>
      <c r="V23">
        <f>+V22-INT(V22)</f>
        <v>0.47899159663865376</v>
      </c>
      <c r="W23">
        <f>+W22-INT(W22)</f>
        <v>0.5210084033613427</v>
      </c>
    </row>
    <row r="24" spans="1:23" ht="12">
      <c r="A24" t="s">
        <v>11</v>
      </c>
      <c r="D24" s="7">
        <f>+D23/(D17+D21)</f>
        <v>3.142857142857143</v>
      </c>
      <c r="H24" t="s">
        <v>11</v>
      </c>
      <c r="M24" s="7">
        <f>+M23/(M17+M21)</f>
        <v>4.705882352941177</v>
      </c>
      <c r="V24">
        <f>+V23*60</f>
        <v>28.739495798319226</v>
      </c>
      <c r="W24">
        <f>+W23*60</f>
        <v>31.26050420168056</v>
      </c>
    </row>
    <row r="25" spans="1:23" ht="12">
      <c r="A25" t="s">
        <v>12</v>
      </c>
      <c r="D25" s="7">
        <f>+D20/D18</f>
        <v>10.615384615384615</v>
      </c>
      <c r="H25" t="s">
        <v>12</v>
      </c>
      <c r="M25" s="7">
        <f>+M20/M18</f>
        <v>16.25</v>
      </c>
      <c r="Q25" s="11"/>
      <c r="U25">
        <v>0</v>
      </c>
      <c r="V25" s="11">
        <f>ROUND(V24,0)</f>
        <v>29</v>
      </c>
      <c r="W25">
        <f>ROUND(W24,0)</f>
        <v>31</v>
      </c>
    </row>
    <row r="26" spans="22:23" ht="12">
      <c r="V26">
        <f>INT(V22)</f>
        <v>27</v>
      </c>
      <c r="W26">
        <f>INT(W22)</f>
        <v>32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206</v>
      </c>
      <c r="H28" t="s">
        <v>14</v>
      </c>
      <c r="M28">
        <f>+M23+M14</f>
        <v>256</v>
      </c>
      <c r="Q28" s="14"/>
      <c r="R28" s="9"/>
      <c r="V28" s="14" t="str">
        <f>+V26&amp;V27&amp;V25</f>
        <v>27:29</v>
      </c>
      <c r="W28" s="9" t="str">
        <f>+W26&amp;W27&amp;W25</f>
        <v>32:31</v>
      </c>
    </row>
    <row r="29" spans="1:23" ht="12">
      <c r="A29" t="s">
        <v>15</v>
      </c>
      <c r="D29" s="7">
        <f>+D14/D28*100</f>
        <v>46.601941747572816</v>
      </c>
      <c r="H29" t="s">
        <v>15</v>
      </c>
      <c r="M29" s="7">
        <f>+M14/M28*100</f>
        <v>37.5</v>
      </c>
      <c r="Q29" s="9"/>
      <c r="R29" s="9"/>
      <c r="V29" s="9" t="str">
        <f>IF(V25&lt;10,+V26&amp;V27&amp;$U$25&amp;V25,+V26&amp;V27&amp;V25)</f>
        <v>27:29</v>
      </c>
      <c r="W29" s="9" t="str">
        <f>IF(W25&lt;10,+W26&amp;W27&amp;$U$25&amp;W25,+W26&amp;W27&amp;W25)</f>
        <v>32:31</v>
      </c>
    </row>
    <row r="30" spans="1:16" ht="12">
      <c r="A30" s="1" t="s">
        <v>90</v>
      </c>
      <c r="D30" s="7">
        <f>+D23/D28*100</f>
        <v>53.398058252427184</v>
      </c>
      <c r="H30" s="1" t="s">
        <v>90</v>
      </c>
      <c r="M30" s="7">
        <f>+M23/M28*100</f>
        <v>62.5</v>
      </c>
      <c r="P30" s="13"/>
    </row>
    <row r="32" spans="1:13" ht="12">
      <c r="A32" t="s">
        <v>16</v>
      </c>
      <c r="D32">
        <f>+D13+D17+D21</f>
        <v>58</v>
      </c>
      <c r="H32" t="s">
        <v>16</v>
      </c>
      <c r="M32">
        <f>+M13+M17+M21</f>
        <v>70</v>
      </c>
    </row>
    <row r="33" spans="1:13" ht="12">
      <c r="A33" t="s">
        <v>17</v>
      </c>
      <c r="D33" s="8">
        <f>+D28/D32</f>
        <v>3.5517241379310347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3.657142857142857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3</v>
      </c>
      <c r="H36" t="s">
        <v>19</v>
      </c>
      <c r="M36" s="2">
        <v>2</v>
      </c>
    </row>
    <row r="37" spans="1:13" ht="12">
      <c r="A37" t="s">
        <v>20</v>
      </c>
      <c r="D37" s="2">
        <v>56</v>
      </c>
      <c r="H37" t="s">
        <v>20</v>
      </c>
      <c r="M37" s="2">
        <v>22</v>
      </c>
    </row>
    <row r="38" spans="1:13" ht="12">
      <c r="A38" t="s">
        <v>21</v>
      </c>
      <c r="D38" s="2">
        <v>1</v>
      </c>
      <c r="H38" t="s">
        <v>21</v>
      </c>
      <c r="M38" s="2">
        <v>0</v>
      </c>
    </row>
    <row r="40" spans="1:13" ht="12">
      <c r="A40" t="s">
        <v>22</v>
      </c>
      <c r="D40" s="2">
        <v>7</v>
      </c>
      <c r="H40" t="s">
        <v>22</v>
      </c>
      <c r="M40" s="2">
        <v>9</v>
      </c>
    </row>
    <row r="41" spans="1:13" ht="12">
      <c r="A41" t="s">
        <v>23</v>
      </c>
      <c r="D41" s="2">
        <f>39+62+42+45+31+54+41</f>
        <v>314</v>
      </c>
      <c r="H41" t="s">
        <v>23</v>
      </c>
      <c r="M41" s="2">
        <f>54+55+52+42+33+54+58+41+40</f>
        <v>429</v>
      </c>
    </row>
    <row r="42" spans="1:13" ht="12">
      <c r="A42" t="s">
        <v>24</v>
      </c>
      <c r="D42" s="8">
        <f>+D41/D40</f>
        <v>44.857142857142854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47.666666666666664</v>
      </c>
    </row>
    <row r="44" spans="1:13" ht="12">
      <c r="A44" t="s">
        <v>25</v>
      </c>
      <c r="D44" s="2">
        <v>5</v>
      </c>
      <c r="H44" t="s">
        <v>25</v>
      </c>
      <c r="M44" s="2">
        <v>3</v>
      </c>
    </row>
    <row r="45" spans="1:13" ht="12">
      <c r="A45" t="s">
        <v>26</v>
      </c>
      <c r="D45" s="2">
        <f>9+23+11+8+6</f>
        <v>57</v>
      </c>
      <c r="H45" t="s">
        <v>26</v>
      </c>
      <c r="M45" s="2">
        <v>13</v>
      </c>
    </row>
    <row r="46" spans="1:13" ht="12">
      <c r="A46" t="s">
        <v>27</v>
      </c>
      <c r="D46" s="8">
        <f>+D45/D44</f>
        <v>11.4</v>
      </c>
      <c r="H46" t="s">
        <v>27</v>
      </c>
      <c r="M46" s="8">
        <f>+M45/M44</f>
        <v>4.333333333333333</v>
      </c>
    </row>
    <row r="47" spans="1:13" ht="12">
      <c r="A47" s="18" t="s">
        <v>131</v>
      </c>
      <c r="D47" s="2">
        <v>2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2</v>
      </c>
    </row>
    <row r="51" spans="1:13" ht="12">
      <c r="A51" t="s">
        <v>26</v>
      </c>
      <c r="D51" s="2">
        <f>45+19+7+63+15</f>
        <v>149</v>
      </c>
      <c r="H51" t="s">
        <v>26</v>
      </c>
      <c r="M51" s="2">
        <v>34</v>
      </c>
    </row>
    <row r="52" spans="1:13" ht="12">
      <c r="A52" t="s">
        <v>27</v>
      </c>
      <c r="D52" s="8">
        <f>+D51/D50</f>
        <v>29.8</v>
      </c>
      <c r="H52" t="s">
        <v>27</v>
      </c>
      <c r="M52" s="8">
        <f>+M51/M50</f>
        <v>17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0.3333333333333333</v>
      </c>
      <c r="H57" t="s">
        <v>129</v>
      </c>
      <c r="M57">
        <f>+M56/M55</f>
        <v>0</v>
      </c>
    </row>
    <row r="59" spans="1:13" ht="12">
      <c r="A59" t="s">
        <v>31</v>
      </c>
      <c r="D59" s="2">
        <v>6</v>
      </c>
      <c r="H59" t="s">
        <v>31</v>
      </c>
      <c r="M59" s="2">
        <v>5</v>
      </c>
    </row>
    <row r="60" spans="1:13" ht="12">
      <c r="A60" t="s">
        <v>32</v>
      </c>
      <c r="D60" s="2">
        <v>73</v>
      </c>
      <c r="H60" t="s">
        <v>32</v>
      </c>
      <c r="M60" s="2">
        <v>49</v>
      </c>
    </row>
    <row r="62" spans="1:13" ht="12">
      <c r="A62" t="s">
        <v>33</v>
      </c>
      <c r="D62" s="2">
        <v>1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14</v>
      </c>
      <c r="H68" t="s">
        <v>38</v>
      </c>
      <c r="M68" s="2">
        <v>20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2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1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1</v>
      </c>
    </row>
    <row r="73" spans="1:13" ht="12">
      <c r="A73" t="s">
        <v>43</v>
      </c>
      <c r="D73" s="2">
        <v>2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2</v>
      </c>
    </row>
    <row r="77" spans="1:13" ht="12">
      <c r="A77" t="s">
        <v>46</v>
      </c>
      <c r="D77" s="2">
        <v>2</v>
      </c>
      <c r="H77" t="s">
        <v>46</v>
      </c>
      <c r="M77" s="2">
        <v>3</v>
      </c>
    </row>
    <row r="78" spans="1:13" ht="12">
      <c r="A78" t="s">
        <v>47</v>
      </c>
      <c r="D78" s="8">
        <f>+D76/D77*100</f>
        <v>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66.66666666666666</v>
      </c>
    </row>
    <row r="79" spans="1:13" ht="12">
      <c r="A79" t="s">
        <v>93</v>
      </c>
      <c r="D79" s="10" t="str">
        <f>IF(V25&lt;10,V29,V28)</f>
        <v>27:29</v>
      </c>
      <c r="E79" s="8"/>
      <c r="F79" s="8"/>
      <c r="H79" t="s">
        <v>93</v>
      </c>
      <c r="M79" s="10" t="str">
        <f>IF(W25&lt;10,W29,W28)</f>
        <v>32:31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8" ht="12">
      <c r="A83" t="s">
        <v>133</v>
      </c>
      <c r="C83">
        <v>2</v>
      </c>
      <c r="D83">
        <v>4</v>
      </c>
      <c r="E83" s="12">
        <f>+D83/C83</f>
        <v>2</v>
      </c>
      <c r="F83">
        <v>3</v>
      </c>
      <c r="G83">
        <v>0</v>
      </c>
      <c r="H83">
        <v>0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3</v>
      </c>
      <c r="D87">
        <v>5</v>
      </c>
      <c r="E87" s="12">
        <f t="shared" si="0"/>
        <v>1.6666666666666667</v>
      </c>
      <c r="F87">
        <v>4</v>
      </c>
      <c r="G87">
        <v>0</v>
      </c>
      <c r="H87">
        <v>0</v>
      </c>
    </row>
    <row r="88" spans="1:8" ht="12">
      <c r="A88" t="s">
        <v>138</v>
      </c>
      <c r="C88">
        <v>7</v>
      </c>
      <c r="D88">
        <v>46</v>
      </c>
      <c r="E88" s="12">
        <f t="shared" si="0"/>
        <v>6.571428571428571</v>
      </c>
      <c r="F88">
        <v>15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9</v>
      </c>
      <c r="D90">
        <v>31</v>
      </c>
      <c r="E90" s="12">
        <f t="shared" si="0"/>
        <v>3.4444444444444446</v>
      </c>
      <c r="F90">
        <v>18</v>
      </c>
      <c r="G90">
        <v>1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2</v>
      </c>
      <c r="D92">
        <v>10</v>
      </c>
      <c r="E92" s="12">
        <f t="shared" si="0"/>
        <v>5</v>
      </c>
      <c r="F92">
        <v>6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5</v>
      </c>
      <c r="D101">
        <v>50</v>
      </c>
      <c r="E101" s="12">
        <f aca="true" t="shared" si="1" ref="E101:E112">+D101/C101</f>
        <v>10</v>
      </c>
      <c r="F101">
        <v>28</v>
      </c>
      <c r="G101">
        <v>0</v>
      </c>
      <c r="H101">
        <v>0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3</v>
      </c>
      <c r="D103">
        <v>46</v>
      </c>
      <c r="E103" s="12">
        <f t="shared" si="1"/>
        <v>15.333333333333334</v>
      </c>
      <c r="F103">
        <v>34</v>
      </c>
      <c r="G103">
        <v>1</v>
      </c>
      <c r="H103">
        <v>0</v>
      </c>
    </row>
    <row r="104" spans="1:8" ht="12">
      <c r="A104" t="s">
        <v>136</v>
      </c>
      <c r="C104">
        <v>1</v>
      </c>
      <c r="D104">
        <v>5</v>
      </c>
      <c r="E104" s="12">
        <f t="shared" si="1"/>
        <v>5</v>
      </c>
      <c r="F104">
        <v>5</v>
      </c>
      <c r="G104">
        <v>0</v>
      </c>
      <c r="H104">
        <v>0</v>
      </c>
    </row>
    <row r="105" spans="1:8" ht="12">
      <c r="A105" t="s">
        <v>138</v>
      </c>
      <c r="C105">
        <v>2</v>
      </c>
      <c r="D105">
        <v>18</v>
      </c>
      <c r="E105" s="12">
        <f t="shared" si="1"/>
        <v>9</v>
      </c>
      <c r="F105">
        <v>10</v>
      </c>
      <c r="G105">
        <v>0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2</v>
      </c>
      <c r="D109">
        <v>19</v>
      </c>
      <c r="E109" s="12">
        <f t="shared" si="1"/>
        <v>9.5</v>
      </c>
      <c r="F109">
        <v>10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32</v>
      </c>
      <c r="D123">
        <v>13</v>
      </c>
      <c r="E123" s="12">
        <f t="shared" si="2"/>
        <v>40.625</v>
      </c>
      <c r="F123">
        <v>138</v>
      </c>
      <c r="G123">
        <v>1</v>
      </c>
      <c r="H123">
        <v>34</v>
      </c>
      <c r="I123">
        <v>3</v>
      </c>
      <c r="J123" s="8">
        <f t="shared" si="3"/>
        <v>3.125</v>
      </c>
      <c r="K123" s="12">
        <f t="shared" si="4"/>
        <v>9.375</v>
      </c>
      <c r="L123" s="12">
        <f t="shared" si="5"/>
        <v>4.3125</v>
      </c>
      <c r="M123" s="12">
        <f t="shared" si="6"/>
        <v>25.260416666666668</v>
      </c>
      <c r="N123">
        <v>0</v>
      </c>
      <c r="O123">
        <v>2</v>
      </c>
      <c r="R123">
        <f t="shared" si="7"/>
        <v>0.53125</v>
      </c>
      <c r="S123" s="2">
        <f t="shared" si="8"/>
        <v>0.53125</v>
      </c>
      <c r="T123" s="6">
        <f t="shared" si="9"/>
        <v>0.328125</v>
      </c>
      <c r="U123" s="2">
        <f t="shared" si="10"/>
        <v>0.328125</v>
      </c>
      <c r="V123">
        <f t="shared" si="11"/>
        <v>0.625</v>
      </c>
      <c r="W123" s="2">
        <f t="shared" si="12"/>
        <v>0.625</v>
      </c>
      <c r="X123">
        <f t="shared" si="13"/>
        <v>0.03125</v>
      </c>
      <c r="Y123" s="2">
        <f t="shared" si="14"/>
        <v>0.03125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C125">
        <v>1</v>
      </c>
      <c r="D125">
        <v>0</v>
      </c>
      <c r="E125" s="12">
        <f t="shared" si="2"/>
        <v>0</v>
      </c>
      <c r="F125">
        <v>0</v>
      </c>
      <c r="G125">
        <v>0</v>
      </c>
      <c r="H125">
        <v>0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0</v>
      </c>
      <c r="M125" s="12">
        <f t="shared" si="6"/>
        <v>39.583333333333336</v>
      </c>
      <c r="N125">
        <v>0</v>
      </c>
      <c r="O125">
        <v>0</v>
      </c>
      <c r="R125">
        <f t="shared" si="7"/>
        <v>-1.5</v>
      </c>
      <c r="S125" s="2">
        <f t="shared" si="8"/>
        <v>0</v>
      </c>
      <c r="T125" s="6">
        <f t="shared" si="9"/>
        <v>-0.75</v>
      </c>
      <c r="U125" s="2">
        <f t="shared" si="10"/>
        <v>0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5</v>
      </c>
      <c r="E131">
        <f>9+23+11+8+6</f>
        <v>57</v>
      </c>
      <c r="F131" s="12">
        <f aca="true" t="shared" si="15" ref="F131:F136">+E131/C131</f>
        <v>11.4</v>
      </c>
      <c r="G131">
        <v>23</v>
      </c>
    </row>
    <row r="132" spans="1:6" ht="12">
      <c r="A132" t="s">
        <v>149</v>
      </c>
      <c r="D132">
        <v>1</v>
      </c>
      <c r="F132" s="12" t="e">
        <f t="shared" si="15"/>
        <v>#DIV/0!</v>
      </c>
    </row>
    <row r="133" spans="1:6" ht="12">
      <c r="A133" t="s">
        <v>142</v>
      </c>
      <c r="D133">
        <v>1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6" ht="12">
      <c r="A141" t="s">
        <v>148</v>
      </c>
      <c r="C141">
        <v>2</v>
      </c>
      <c r="D141">
        <v>70</v>
      </c>
      <c r="E141" s="12">
        <f aca="true" t="shared" si="16" ref="E141:E146">+D141/C141</f>
        <v>35</v>
      </c>
      <c r="F141">
        <v>63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2</v>
      </c>
      <c r="D144">
        <f>45+19</f>
        <v>64</v>
      </c>
      <c r="E144" s="12">
        <f t="shared" si="16"/>
        <v>32</v>
      </c>
      <c r="F144">
        <v>45</v>
      </c>
    </row>
    <row r="145" spans="1:5" ht="12">
      <c r="A145" t="s">
        <v>142</v>
      </c>
      <c r="E145" s="12" t="e">
        <f t="shared" si="16"/>
        <v>#DIV/0!</v>
      </c>
    </row>
    <row r="146" spans="1:8" ht="12">
      <c r="A146" t="s">
        <v>151</v>
      </c>
      <c r="C146">
        <v>1</v>
      </c>
      <c r="D146">
        <v>15</v>
      </c>
      <c r="E146" s="12">
        <f t="shared" si="16"/>
        <v>15</v>
      </c>
      <c r="F146">
        <v>15</v>
      </c>
      <c r="H146">
        <v>1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7</v>
      </c>
      <c r="D158">
        <f>39+62+42+45+31+54+41</f>
        <v>314</v>
      </c>
      <c r="F158">
        <v>62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8" ht="12">
      <c r="A164" t="s">
        <v>153</v>
      </c>
      <c r="C164">
        <v>3</v>
      </c>
      <c r="D164">
        <v>1</v>
      </c>
      <c r="E164">
        <v>2</v>
      </c>
      <c r="F164">
        <v>2</v>
      </c>
      <c r="G164">
        <v>2</v>
      </c>
      <c r="I164" s="12">
        <f aca="true" t="shared" si="18" ref="I164:I171">+H164/G164*100</f>
        <v>0</v>
      </c>
      <c r="N164">
        <v>1</v>
      </c>
      <c r="R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6" ht="12">
      <c r="A175" t="s">
        <v>154</v>
      </c>
      <c r="C175">
        <v>1</v>
      </c>
      <c r="D175">
        <v>4</v>
      </c>
      <c r="E175" s="12">
        <f>+D175/C175</f>
        <v>4</v>
      </c>
      <c r="F175">
        <v>4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6" ht="12">
      <c r="A178" t="s">
        <v>150</v>
      </c>
      <c r="C178">
        <v>1</v>
      </c>
      <c r="D178">
        <v>18</v>
      </c>
      <c r="E178" s="12">
        <f t="shared" si="19"/>
        <v>18</v>
      </c>
      <c r="F178">
        <v>18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>
        <v>0.5</v>
      </c>
      <c r="D190" s="3">
        <v>4.5</v>
      </c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>
        <v>1</v>
      </c>
      <c r="D192" s="3">
        <v>12</v>
      </c>
    </row>
    <row r="193" spans="1:4" ht="12">
      <c r="A193" s="20" t="s">
        <v>159</v>
      </c>
      <c r="C193" s="3">
        <v>0.5</v>
      </c>
      <c r="D193" s="3">
        <v>4.5</v>
      </c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>
        <v>1</v>
      </c>
      <c r="D197" s="3">
        <v>14</v>
      </c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G105" sqref="G105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42187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25</v>
      </c>
      <c r="H6" s="1" t="s">
        <v>29</v>
      </c>
      <c r="M6" s="2">
        <v>15</v>
      </c>
    </row>
    <row r="7" spans="1:13" ht="12">
      <c r="A7" s="16" t="s">
        <v>95</v>
      </c>
      <c r="D7" s="2">
        <v>8</v>
      </c>
      <c r="H7" s="16" t="s">
        <v>95</v>
      </c>
      <c r="M7" s="2">
        <v>8</v>
      </c>
    </row>
    <row r="8" spans="1:13" ht="12">
      <c r="A8" s="16" t="s">
        <v>96</v>
      </c>
      <c r="D8" s="2">
        <v>14</v>
      </c>
      <c r="H8" s="16" t="s">
        <v>96</v>
      </c>
      <c r="M8" s="2">
        <v>6</v>
      </c>
    </row>
    <row r="9" spans="1:13" ht="12">
      <c r="A9" s="16" t="s">
        <v>97</v>
      </c>
      <c r="D9" s="2">
        <v>3</v>
      </c>
      <c r="H9" s="16" t="s">
        <v>97</v>
      </c>
      <c r="M9" s="2">
        <v>1</v>
      </c>
    </row>
    <row r="10" spans="1:14" ht="12">
      <c r="A10" s="18" t="s">
        <v>108</v>
      </c>
      <c r="C10">
        <v>4</v>
      </c>
      <c r="D10" s="2">
        <v>11</v>
      </c>
      <c r="E10" s="19">
        <f>+C10/D10</f>
        <v>0.36363636363636365</v>
      </c>
      <c r="H10" s="18" t="s">
        <v>108</v>
      </c>
      <c r="L10">
        <v>3</v>
      </c>
      <c r="M10" s="2">
        <v>10</v>
      </c>
      <c r="N10" s="19">
        <f>+L10/M10</f>
        <v>0.3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16+9+7+3+1</f>
        <v>36</v>
      </c>
      <c r="H13" t="s">
        <v>1</v>
      </c>
      <c r="M13" s="2">
        <f>20+2+1+1+2+1</f>
        <v>27</v>
      </c>
      <c r="V13">
        <f>+D13</f>
        <v>36</v>
      </c>
      <c r="W13">
        <f>+M13</f>
        <v>27</v>
      </c>
    </row>
    <row r="14" spans="1:23" ht="12">
      <c r="A14" t="s">
        <v>2</v>
      </c>
      <c r="D14" s="2">
        <f>33+56+53+7+4</f>
        <v>153</v>
      </c>
      <c r="H14" t="s">
        <v>2</v>
      </c>
      <c r="M14" s="2">
        <f>104-3-12+7+1-2</f>
        <v>95</v>
      </c>
      <c r="P14" s="13"/>
      <c r="U14" s="13"/>
      <c r="V14">
        <f>+D18</f>
        <v>22</v>
      </c>
      <c r="W14">
        <f>+M18</f>
        <v>14</v>
      </c>
    </row>
    <row r="15" spans="1:23" ht="12">
      <c r="A15" s="1" t="s">
        <v>3</v>
      </c>
      <c r="D15" s="8">
        <f>+D14/D13</f>
        <v>4.25</v>
      </c>
      <c r="H15" s="1" t="s">
        <v>3</v>
      </c>
      <c r="M15" s="8">
        <f>+M14/M13</f>
        <v>3.5185185185185186</v>
      </c>
      <c r="V15">
        <f>+(D17-D18)/2</f>
        <v>5</v>
      </c>
      <c r="W15">
        <f>+(M17-M18)/2</f>
        <v>8</v>
      </c>
    </row>
    <row r="16" spans="22:23" ht="12">
      <c r="V16">
        <f>+D40/2</f>
        <v>2.5</v>
      </c>
      <c r="W16">
        <f>+M40/2</f>
        <v>1.5</v>
      </c>
    </row>
    <row r="17" spans="1:23" ht="12">
      <c r="A17" t="s">
        <v>4</v>
      </c>
      <c r="D17" s="2">
        <f>27+3+1+1</f>
        <v>32</v>
      </c>
      <c r="H17" t="s">
        <v>4</v>
      </c>
      <c r="M17" s="2">
        <v>30</v>
      </c>
      <c r="V17">
        <f>+D44/2</f>
        <v>0.5</v>
      </c>
      <c r="W17">
        <f>+M44/2</f>
        <v>0.5</v>
      </c>
    </row>
    <row r="18" spans="1:23" ht="12">
      <c r="A18" t="s">
        <v>5</v>
      </c>
      <c r="D18" s="2">
        <f>19+2+1</f>
        <v>22</v>
      </c>
      <c r="H18" t="s">
        <v>5</v>
      </c>
      <c r="M18" s="2">
        <v>14</v>
      </c>
      <c r="V18">
        <f>+D50/2</f>
        <v>1.5</v>
      </c>
      <c r="W18">
        <f>+M50/2</f>
        <v>2.5</v>
      </c>
    </row>
    <row r="19" spans="1:13" ht="12">
      <c r="A19" t="s">
        <v>6</v>
      </c>
      <c r="D19" s="8">
        <f>+D18/D17*100</f>
        <v>68.75</v>
      </c>
      <c r="H19" t="s">
        <v>6</v>
      </c>
      <c r="M19" s="8">
        <f>+M18/M17*100</f>
        <v>46.666666666666664</v>
      </c>
    </row>
    <row r="20" spans="1:24" ht="12">
      <c r="A20" t="s">
        <v>7</v>
      </c>
      <c r="D20" s="2">
        <f>291+17+14</f>
        <v>322</v>
      </c>
      <c r="H20" t="s">
        <v>7</v>
      </c>
      <c r="M20" s="2">
        <v>232</v>
      </c>
      <c r="V20">
        <f>SUM(V13:V18)</f>
        <v>67.5</v>
      </c>
      <c r="W20">
        <f>SUM(W13:W18)</f>
        <v>53.5</v>
      </c>
      <c r="X20">
        <f>+W20+V20</f>
        <v>121</v>
      </c>
    </row>
    <row r="21" spans="1:23" ht="12">
      <c r="A21" t="s">
        <v>8</v>
      </c>
      <c r="D21" s="2">
        <v>1</v>
      </c>
      <c r="H21" t="s">
        <v>8</v>
      </c>
      <c r="M21" s="2">
        <v>0</v>
      </c>
      <c r="V21">
        <f>+V20/X20</f>
        <v>0.5578512396694215</v>
      </c>
      <c r="W21">
        <f>+W20/X20</f>
        <v>0.44214876033057854</v>
      </c>
    </row>
    <row r="22" spans="1:23" ht="12">
      <c r="A22" t="s">
        <v>9</v>
      </c>
      <c r="D22" s="2">
        <v>2</v>
      </c>
      <c r="H22" t="s">
        <v>9</v>
      </c>
      <c r="M22" s="2">
        <v>0</v>
      </c>
      <c r="V22">
        <f>+V21*60</f>
        <v>33.47107438016529</v>
      </c>
      <c r="W22">
        <f>+W21*60</f>
        <v>26.528925619834713</v>
      </c>
    </row>
    <row r="23" spans="1:23" ht="12">
      <c r="A23" t="s">
        <v>10</v>
      </c>
      <c r="D23">
        <f>+D20-D22</f>
        <v>320</v>
      </c>
      <c r="H23" t="s">
        <v>10</v>
      </c>
      <c r="M23">
        <f>+M20-M22</f>
        <v>232</v>
      </c>
      <c r="V23">
        <f>+V22-INT(V22)</f>
        <v>0.471074380165291</v>
      </c>
      <c r="W23">
        <f>+W22-INT(W22)</f>
        <v>0.5289256198347125</v>
      </c>
    </row>
    <row r="24" spans="1:23" ht="12">
      <c r="A24" t="s">
        <v>11</v>
      </c>
      <c r="D24" s="7">
        <f>+D23/(D17+D21)</f>
        <v>9.696969696969697</v>
      </c>
      <c r="H24" t="s">
        <v>11</v>
      </c>
      <c r="M24" s="7">
        <f>+M23/(M17+M21)</f>
        <v>7.733333333333333</v>
      </c>
      <c r="V24">
        <f>+V23*60</f>
        <v>28.26446280991746</v>
      </c>
      <c r="W24">
        <f>+W23*60</f>
        <v>31.735537190082752</v>
      </c>
    </row>
    <row r="25" spans="1:23" ht="12">
      <c r="A25" t="s">
        <v>12</v>
      </c>
      <c r="D25" s="7">
        <f>+D20/D18</f>
        <v>14.636363636363637</v>
      </c>
      <c r="H25" t="s">
        <v>12</v>
      </c>
      <c r="M25" s="7">
        <f>+M20/M18</f>
        <v>16.571428571428573</v>
      </c>
      <c r="Q25" s="11"/>
      <c r="U25">
        <v>0</v>
      </c>
      <c r="V25" s="11">
        <f>ROUND(V24,0)</f>
        <v>28</v>
      </c>
      <c r="W25">
        <f>ROUND(W24,0)</f>
        <v>32</v>
      </c>
    </row>
    <row r="26" spans="22:23" ht="12">
      <c r="V26">
        <f>INT(V22)</f>
        <v>33</v>
      </c>
      <c r="W26">
        <f>INT(W22)</f>
        <v>26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473</v>
      </c>
      <c r="H28" t="s">
        <v>14</v>
      </c>
      <c r="M28">
        <f>+M23+M14</f>
        <v>327</v>
      </c>
      <c r="Q28" s="14"/>
      <c r="R28" s="9"/>
      <c r="V28" s="14" t="str">
        <f>+V26&amp;V27&amp;V25</f>
        <v>33:28</v>
      </c>
      <c r="W28" s="9" t="str">
        <f>+W26&amp;W27&amp;W25</f>
        <v>26:32</v>
      </c>
    </row>
    <row r="29" spans="1:23" ht="12">
      <c r="A29" t="s">
        <v>15</v>
      </c>
      <c r="D29" s="7">
        <f>+D14/D28*100</f>
        <v>32.346723044397464</v>
      </c>
      <c r="H29" t="s">
        <v>15</v>
      </c>
      <c r="M29" s="7">
        <f>+M14/M28*100</f>
        <v>29.051987767584098</v>
      </c>
      <c r="Q29" s="9"/>
      <c r="R29" s="9"/>
      <c r="V29" s="9" t="str">
        <f>IF(V25&lt;10,+V26&amp;V27&amp;$U$25&amp;V25,+V26&amp;V27&amp;V25)</f>
        <v>33:28</v>
      </c>
      <c r="W29" s="9" t="str">
        <f>IF(W25&lt;10,+W26&amp;W27&amp;$U$25&amp;W25,+W26&amp;W27&amp;W25)</f>
        <v>26:32</v>
      </c>
    </row>
    <row r="30" spans="1:16" ht="12">
      <c r="A30" s="1" t="s">
        <v>90</v>
      </c>
      <c r="D30" s="7">
        <f>+D23/D28*100</f>
        <v>67.65327695560254</v>
      </c>
      <c r="H30" s="1" t="s">
        <v>90</v>
      </c>
      <c r="M30" s="7">
        <f>+M23/M28*100</f>
        <v>70.9480122324159</v>
      </c>
      <c r="P30" s="13"/>
    </row>
    <row r="32" spans="1:13" ht="12">
      <c r="A32" t="s">
        <v>16</v>
      </c>
      <c r="D32">
        <f>+D13+D17+D21</f>
        <v>69</v>
      </c>
      <c r="H32" t="s">
        <v>16</v>
      </c>
      <c r="M32">
        <f>+M13+M17+M21</f>
        <v>57</v>
      </c>
    </row>
    <row r="33" spans="1:14" ht="12">
      <c r="A33" t="s">
        <v>17</v>
      </c>
      <c r="C33" s="7"/>
      <c r="D33" s="8">
        <f>+D28/D32</f>
        <v>6.855072463768116</v>
      </c>
      <c r="F33" s="7"/>
      <c r="G33" s="7"/>
      <c r="H33" s="7" t="s">
        <v>17</v>
      </c>
      <c r="I33" s="7"/>
      <c r="J33" s="7"/>
      <c r="K33" s="7"/>
      <c r="M33" s="8">
        <f>+M28/M32</f>
        <v>5.7368421052631575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6</v>
      </c>
    </row>
    <row r="37" spans="1:13" ht="12">
      <c r="A37" t="s">
        <v>20</v>
      </c>
      <c r="D37" s="2">
        <v>0</v>
      </c>
      <c r="H37" t="s">
        <v>20</v>
      </c>
      <c r="M37" s="2">
        <f>5+15+9+9+0+4</f>
        <v>42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3</v>
      </c>
    </row>
    <row r="41" spans="1:13" ht="12">
      <c r="A41" t="s">
        <v>23</v>
      </c>
      <c r="D41" s="2">
        <f>26+48+32+41+33</f>
        <v>180</v>
      </c>
      <c r="H41" t="s">
        <v>23</v>
      </c>
      <c r="M41" s="2">
        <f>32+34+63</f>
        <v>129</v>
      </c>
    </row>
    <row r="42" spans="1:14" ht="12">
      <c r="A42" t="s">
        <v>24</v>
      </c>
      <c r="C42" s="7"/>
      <c r="D42" s="8">
        <f>+D41/D40</f>
        <v>36</v>
      </c>
      <c r="F42" s="7"/>
      <c r="G42" s="7"/>
      <c r="H42" s="7" t="s">
        <v>24</v>
      </c>
      <c r="I42" s="7"/>
      <c r="J42" s="7"/>
      <c r="K42" s="7"/>
      <c r="M42" s="8">
        <f>+M41/M40</f>
        <v>43</v>
      </c>
      <c r="N42" s="7"/>
    </row>
    <row r="44" spans="1:13" ht="12">
      <c r="A44" t="s">
        <v>25</v>
      </c>
      <c r="D44" s="2">
        <v>1</v>
      </c>
      <c r="H44" t="s">
        <v>25</v>
      </c>
      <c r="M44" s="2">
        <v>1</v>
      </c>
    </row>
    <row r="45" spans="1:13" ht="12">
      <c r="A45" t="s">
        <v>26</v>
      </c>
      <c r="D45" s="2">
        <v>15</v>
      </c>
      <c r="H45" t="s">
        <v>26</v>
      </c>
      <c r="M45" s="2">
        <v>7</v>
      </c>
    </row>
    <row r="46" spans="1:13" ht="12">
      <c r="A46" t="s">
        <v>27</v>
      </c>
      <c r="D46" s="8">
        <f>+D45/D44</f>
        <v>15</v>
      </c>
      <c r="H46" t="s">
        <v>27</v>
      </c>
      <c r="M46" s="8">
        <f>+M45/M44</f>
        <v>7</v>
      </c>
    </row>
    <row r="47" spans="1:13" ht="12">
      <c r="A47" s="18" t="s">
        <v>131</v>
      </c>
      <c r="D47" s="2">
        <v>1</v>
      </c>
      <c r="H47" s="18" t="s">
        <v>131</v>
      </c>
      <c r="M47" s="2">
        <v>3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3</v>
      </c>
      <c r="H50" t="s">
        <v>30</v>
      </c>
      <c r="M50" s="2">
        <v>5</v>
      </c>
    </row>
    <row r="51" spans="1:13" ht="12">
      <c r="A51" t="s">
        <v>26</v>
      </c>
      <c r="D51" s="2">
        <f>20+41+34</f>
        <v>95</v>
      </c>
      <c r="H51" t="s">
        <v>26</v>
      </c>
      <c r="M51" s="2">
        <f>34+20+34+18+26</f>
        <v>132</v>
      </c>
    </row>
    <row r="52" spans="1:13" ht="12">
      <c r="A52" t="s">
        <v>27</v>
      </c>
      <c r="D52" s="8">
        <f>+D51/D50</f>
        <v>31.666666666666668</v>
      </c>
      <c r="H52" t="s">
        <v>27</v>
      </c>
      <c r="M52" s="8">
        <f>+M51/M50</f>
        <v>26.4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8</v>
      </c>
      <c r="G55" t="str">
        <f>IF(D55-D56=M50,"ok","err")</f>
        <v>ok</v>
      </c>
      <c r="H55" t="s">
        <v>127</v>
      </c>
      <c r="K55" s="2"/>
      <c r="M55" s="2">
        <v>3</v>
      </c>
      <c r="P55" s="2"/>
    </row>
    <row r="56" spans="1:16" ht="12">
      <c r="A56" t="s">
        <v>128</v>
      </c>
      <c r="D56" s="2">
        <v>3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0.375</v>
      </c>
      <c r="H57" t="s">
        <v>129</v>
      </c>
      <c r="M57">
        <f>+M56/M55</f>
        <v>0</v>
      </c>
    </row>
    <row r="59" spans="1:13" ht="12">
      <c r="A59" t="s">
        <v>31</v>
      </c>
      <c r="D59" s="2">
        <v>5</v>
      </c>
      <c r="H59" t="s">
        <v>31</v>
      </c>
      <c r="M59" s="2">
        <v>12</v>
      </c>
    </row>
    <row r="60" spans="1:13" ht="12">
      <c r="A60" t="s">
        <v>32</v>
      </c>
      <c r="D60" s="2">
        <v>62</v>
      </c>
      <c r="H60" t="s">
        <v>32</v>
      </c>
      <c r="M60" s="2">
        <v>98</v>
      </c>
    </row>
    <row r="62" spans="1:13" ht="12">
      <c r="A62" t="s">
        <v>33</v>
      </c>
      <c r="D62" s="2">
        <v>1</v>
      </c>
      <c r="H62" t="s">
        <v>33</v>
      </c>
      <c r="M62" s="2">
        <v>1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45</v>
      </c>
      <c r="E68" t="str">
        <f>IF(B68=B69*6+B75*2+B76*3+B73,"ok","ERR")</f>
        <v>ok</v>
      </c>
      <c r="H68" t="s">
        <v>38</v>
      </c>
      <c r="M68" s="2">
        <v>14</v>
      </c>
      <c r="P68" t="str">
        <f>IF(M68=M69*6+M75*2+M76*3+M73,"ok","ERR")</f>
        <v>ok</v>
      </c>
    </row>
    <row r="69" spans="1:13" ht="12">
      <c r="A69" t="s">
        <v>39</v>
      </c>
      <c r="D69" s="2">
        <v>6</v>
      </c>
      <c r="H69" t="s">
        <v>39</v>
      </c>
      <c r="M69" s="2">
        <v>2</v>
      </c>
    </row>
    <row r="70" spans="1:13" ht="12">
      <c r="A70" t="s">
        <v>40</v>
      </c>
      <c r="D70" s="2">
        <v>1</v>
      </c>
      <c r="H70" t="s">
        <v>40</v>
      </c>
      <c r="M70" s="2">
        <v>2</v>
      </c>
    </row>
    <row r="71" spans="1:13" ht="12">
      <c r="A71" t="s">
        <v>41</v>
      </c>
      <c r="D71" s="2">
        <v>5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6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0</v>
      </c>
    </row>
    <row r="77" spans="1:13" ht="12">
      <c r="A77" t="s">
        <v>46</v>
      </c>
      <c r="D77" s="2">
        <v>1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100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0</v>
      </c>
    </row>
    <row r="79" spans="1:13" ht="12">
      <c r="A79" t="s">
        <v>93</v>
      </c>
      <c r="D79" s="10" t="str">
        <f>IF(V25&lt;10,V29,V28)</f>
        <v>33:28</v>
      </c>
      <c r="E79" s="8"/>
      <c r="F79" s="8"/>
      <c r="H79" t="s">
        <v>93</v>
      </c>
      <c r="M79" s="10" t="str">
        <f>IF(W25&lt;10,W29,W28)</f>
        <v>26:32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1</v>
      </c>
      <c r="D84">
        <v>4</v>
      </c>
      <c r="E84" s="12">
        <f>+D84/C84</f>
        <v>4</v>
      </c>
      <c r="F84">
        <v>4</v>
      </c>
      <c r="G84">
        <v>0</v>
      </c>
      <c r="H84">
        <v>0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3</v>
      </c>
      <c r="D87">
        <v>7</v>
      </c>
      <c r="E87" s="12">
        <f t="shared" si="0"/>
        <v>2.3333333333333335</v>
      </c>
      <c r="F87">
        <v>4</v>
      </c>
      <c r="G87">
        <v>0</v>
      </c>
      <c r="H87">
        <v>1</v>
      </c>
    </row>
    <row r="88" spans="1:8" ht="12">
      <c r="A88" t="s">
        <v>138</v>
      </c>
      <c r="C88">
        <v>9</v>
      </c>
      <c r="D88">
        <v>56</v>
      </c>
      <c r="E88" s="12">
        <f t="shared" si="0"/>
        <v>6.222222222222222</v>
      </c>
      <c r="F88">
        <v>13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16</v>
      </c>
      <c r="D90">
        <v>33</v>
      </c>
      <c r="E90" s="12">
        <f t="shared" si="0"/>
        <v>2.0625</v>
      </c>
      <c r="F90">
        <v>10</v>
      </c>
      <c r="G90">
        <v>1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7</v>
      </c>
      <c r="D92">
        <v>53</v>
      </c>
      <c r="E92" s="12">
        <f t="shared" si="0"/>
        <v>7.571428571428571</v>
      </c>
      <c r="F92">
        <v>20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4</v>
      </c>
      <c r="D101">
        <v>97</v>
      </c>
      <c r="E101" s="12">
        <f aca="true" t="shared" si="1" ref="E101:E112">+D101/C101</f>
        <v>24.25</v>
      </c>
      <c r="F101">
        <v>42</v>
      </c>
      <c r="G101">
        <v>1</v>
      </c>
      <c r="H101">
        <v>0</v>
      </c>
    </row>
    <row r="102" spans="1:5" ht="12">
      <c r="A102" t="s">
        <v>135</v>
      </c>
      <c r="E102" s="12" t="e">
        <f t="shared" si="1"/>
        <v>#DIV/0!</v>
      </c>
    </row>
    <row r="103" spans="1:8" ht="12">
      <c r="A103" t="s">
        <v>144</v>
      </c>
      <c r="C103">
        <v>5</v>
      </c>
      <c r="D103">
        <v>60</v>
      </c>
      <c r="E103" s="12">
        <f t="shared" si="1"/>
        <v>12</v>
      </c>
      <c r="F103">
        <v>14</v>
      </c>
      <c r="G103">
        <v>1</v>
      </c>
      <c r="H103">
        <v>0</v>
      </c>
    </row>
    <row r="104" spans="1:8" ht="12">
      <c r="A104" t="s">
        <v>136</v>
      </c>
      <c r="C104">
        <v>4</v>
      </c>
      <c r="D104">
        <v>63</v>
      </c>
      <c r="E104" s="12">
        <f t="shared" si="1"/>
        <v>15.75</v>
      </c>
      <c r="F104">
        <v>30</v>
      </c>
      <c r="G104">
        <v>1</v>
      </c>
      <c r="H104">
        <v>0</v>
      </c>
    </row>
    <row r="105" spans="1:8" ht="12">
      <c r="A105" t="s">
        <v>138</v>
      </c>
      <c r="C105">
        <v>1</v>
      </c>
      <c r="D105">
        <v>41</v>
      </c>
      <c r="E105" s="12">
        <f t="shared" si="1"/>
        <v>41</v>
      </c>
      <c r="F105">
        <v>41</v>
      </c>
      <c r="G105">
        <v>1</v>
      </c>
      <c r="H105">
        <v>0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13</v>
      </c>
      <c r="E107" s="12">
        <f t="shared" si="1"/>
        <v>13</v>
      </c>
      <c r="F107">
        <v>13</v>
      </c>
      <c r="G107">
        <v>1</v>
      </c>
      <c r="H107">
        <v>0</v>
      </c>
    </row>
    <row r="108" spans="1:8" ht="12">
      <c r="A108" t="s">
        <v>146</v>
      </c>
      <c r="C108">
        <v>3</v>
      </c>
      <c r="D108">
        <v>26</v>
      </c>
      <c r="E108" s="12">
        <f t="shared" si="1"/>
        <v>8.666666666666666</v>
      </c>
      <c r="F108">
        <v>13</v>
      </c>
      <c r="G108">
        <v>0</v>
      </c>
      <c r="H108">
        <v>0</v>
      </c>
    </row>
    <row r="109" spans="1:8" ht="12">
      <c r="A109" t="s">
        <v>140</v>
      </c>
      <c r="C109">
        <v>4</v>
      </c>
      <c r="D109">
        <v>22</v>
      </c>
      <c r="E109" s="12">
        <f t="shared" si="1"/>
        <v>5.5</v>
      </c>
      <c r="F109">
        <v>17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7">+D121/C121*100</f>
        <v>#DIV/0!</v>
      </c>
      <c r="J121" s="8" t="e">
        <f aca="true" t="shared" si="3" ref="J121:J127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27</v>
      </c>
      <c r="D123">
        <v>19</v>
      </c>
      <c r="E123" s="12">
        <f t="shared" si="2"/>
        <v>70.37037037037037</v>
      </c>
      <c r="F123">
        <v>291</v>
      </c>
      <c r="G123">
        <v>5</v>
      </c>
      <c r="H123">
        <v>42</v>
      </c>
      <c r="I123">
        <v>0</v>
      </c>
      <c r="J123" s="8">
        <f t="shared" si="3"/>
        <v>18.51851851851852</v>
      </c>
      <c r="K123" s="12">
        <f t="shared" si="4"/>
        <v>0</v>
      </c>
      <c r="L123" s="12">
        <f t="shared" si="5"/>
        <v>10.777777777777779</v>
      </c>
      <c r="M123" s="12">
        <f t="shared" si="6"/>
        <v>145.21604938271602</v>
      </c>
      <c r="N123">
        <v>0</v>
      </c>
      <c r="O123">
        <v>1</v>
      </c>
      <c r="R123">
        <f t="shared" si="7"/>
        <v>2.018518518518518</v>
      </c>
      <c r="S123" s="2">
        <f t="shared" si="8"/>
        <v>2.018518518518518</v>
      </c>
      <c r="T123" s="6">
        <f t="shared" si="9"/>
        <v>1.9444444444444446</v>
      </c>
      <c r="U123" s="2">
        <f t="shared" si="10"/>
        <v>1.9444444444444446</v>
      </c>
      <c r="V123">
        <f t="shared" si="11"/>
        <v>3.7037037037037037</v>
      </c>
      <c r="W123" s="2">
        <f t="shared" si="12"/>
        <v>2.375</v>
      </c>
      <c r="X123">
        <f t="shared" si="13"/>
        <v>2.375</v>
      </c>
      <c r="Y123" s="2">
        <f t="shared" si="14"/>
        <v>2.375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C125">
        <v>1</v>
      </c>
      <c r="D125">
        <v>1</v>
      </c>
      <c r="E125" s="12">
        <f t="shared" si="2"/>
        <v>100</v>
      </c>
      <c r="F125">
        <v>17</v>
      </c>
      <c r="G125">
        <v>0</v>
      </c>
      <c r="H125">
        <v>17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17</v>
      </c>
      <c r="M125" s="12">
        <f t="shared" si="6"/>
        <v>118.75</v>
      </c>
      <c r="N125">
        <v>0</v>
      </c>
      <c r="O125">
        <v>0</v>
      </c>
      <c r="R125">
        <f t="shared" si="7"/>
        <v>3.5</v>
      </c>
      <c r="S125" s="2">
        <f t="shared" si="8"/>
        <v>2.375</v>
      </c>
      <c r="T125" s="6">
        <f t="shared" si="9"/>
        <v>3.5</v>
      </c>
      <c r="U125" s="2">
        <f t="shared" si="10"/>
        <v>2.375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1:25" ht="12">
      <c r="A126" t="s">
        <v>143</v>
      </c>
      <c r="C126">
        <v>3</v>
      </c>
      <c r="D126">
        <v>2</v>
      </c>
      <c r="E126" s="12">
        <f t="shared" si="2"/>
        <v>66.66666666666666</v>
      </c>
      <c r="F126">
        <v>14</v>
      </c>
      <c r="G126">
        <v>0</v>
      </c>
      <c r="H126">
        <v>7</v>
      </c>
      <c r="I126">
        <v>0</v>
      </c>
      <c r="J126" s="8">
        <f t="shared" si="3"/>
        <v>0</v>
      </c>
      <c r="K126" s="12">
        <f t="shared" si="4"/>
        <v>0</v>
      </c>
      <c r="L126" s="12">
        <f t="shared" si="5"/>
        <v>4.666666666666667</v>
      </c>
      <c r="M126" s="12">
        <f t="shared" si="6"/>
        <v>77.08333333333333</v>
      </c>
      <c r="N126">
        <v>0</v>
      </c>
      <c r="O126">
        <v>0</v>
      </c>
      <c r="R126">
        <f t="shared" si="7"/>
        <v>1.8333333333333328</v>
      </c>
      <c r="S126" s="2">
        <f t="shared" si="8"/>
        <v>1.8333333333333328</v>
      </c>
      <c r="T126" s="6">
        <f t="shared" si="9"/>
        <v>0.41666666666666674</v>
      </c>
      <c r="U126" s="2">
        <f t="shared" si="10"/>
        <v>0.41666666666666674</v>
      </c>
      <c r="V126">
        <f t="shared" si="11"/>
        <v>0</v>
      </c>
      <c r="W126" s="2">
        <f t="shared" si="12"/>
        <v>0</v>
      </c>
      <c r="X126">
        <f t="shared" si="13"/>
        <v>2.375</v>
      </c>
      <c r="Y126" s="2">
        <f t="shared" si="14"/>
        <v>2.375</v>
      </c>
    </row>
    <row r="127" spans="1:25" ht="12">
      <c r="A127" t="s">
        <v>147</v>
      </c>
      <c r="C127">
        <v>1</v>
      </c>
      <c r="D127">
        <v>0</v>
      </c>
      <c r="E127" s="12">
        <f t="shared" si="2"/>
        <v>0</v>
      </c>
      <c r="F127">
        <v>0</v>
      </c>
      <c r="G127">
        <v>0</v>
      </c>
      <c r="H127">
        <v>0</v>
      </c>
      <c r="I127">
        <v>0</v>
      </c>
      <c r="J127" s="8">
        <f t="shared" si="3"/>
        <v>0</v>
      </c>
      <c r="K127" s="12">
        <f>+I127/C127*100</f>
        <v>0</v>
      </c>
      <c r="L127" s="12">
        <f>+F127/C127</f>
        <v>0</v>
      </c>
      <c r="M127" s="12">
        <f>100*(S127+U127+W127+Y127)/6</f>
        <v>39.583333333333336</v>
      </c>
      <c r="N127">
        <v>0</v>
      </c>
      <c r="O127">
        <v>0</v>
      </c>
      <c r="R127">
        <f>+(E127-30)/20</f>
        <v>-1.5</v>
      </c>
      <c r="S127" s="2">
        <f>IF(R127&lt;0,0,IF(R127&gt;2.375,2.375,R127))</f>
        <v>0</v>
      </c>
      <c r="T127" s="6">
        <f>+(L127-3)/4</f>
        <v>-0.75</v>
      </c>
      <c r="U127" s="2">
        <f>IF(T127&lt;0,0,IF(T127&gt;2.375,2.375,T127))</f>
        <v>0</v>
      </c>
      <c r="V127">
        <f>+J127/5</f>
        <v>0</v>
      </c>
      <c r="W127" s="2">
        <f>IF(V127&lt;0,0,IF(V127&gt;2.375,2.375,V127))</f>
        <v>0</v>
      </c>
      <c r="X127">
        <f>(9.5-K127)/4</f>
        <v>2.375</v>
      </c>
      <c r="Y127" s="2">
        <f>IF(X127&lt;0,0,X127)</f>
        <v>2.375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1</v>
      </c>
      <c r="D131">
        <v>1</v>
      </c>
      <c r="E131">
        <v>15</v>
      </c>
      <c r="F131" s="12">
        <f aca="true" t="shared" si="15" ref="F131:F136">+E131/C131</f>
        <v>15</v>
      </c>
      <c r="G131">
        <v>15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1</v>
      </c>
      <c r="D144">
        <v>20</v>
      </c>
      <c r="E144" s="12">
        <f t="shared" si="16"/>
        <v>20</v>
      </c>
      <c r="F144">
        <v>20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2</v>
      </c>
      <c r="D146">
        <f>41+34</f>
        <v>75</v>
      </c>
      <c r="E146" s="12">
        <f t="shared" si="16"/>
        <v>37.5</v>
      </c>
      <c r="F146">
        <v>75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5</v>
      </c>
      <c r="D158">
        <f>26+48+32+41+33</f>
        <v>180</v>
      </c>
      <c r="F158">
        <v>48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3" ht="12">
      <c r="A164" t="s">
        <v>153</v>
      </c>
      <c r="C164">
        <v>8</v>
      </c>
      <c r="D164">
        <v>3</v>
      </c>
      <c r="E164">
        <v>6</v>
      </c>
      <c r="F164">
        <v>6</v>
      </c>
      <c r="G164">
        <v>1</v>
      </c>
      <c r="H164">
        <v>1</v>
      </c>
      <c r="I164" s="12">
        <f aca="true" t="shared" si="18" ref="I164:I171">+H164/G164*100</f>
        <v>100</v>
      </c>
      <c r="J164">
        <v>17</v>
      </c>
      <c r="L164">
        <v>1</v>
      </c>
      <c r="M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6" ht="12">
      <c r="A175" t="s">
        <v>154</v>
      </c>
      <c r="C175">
        <v>2</v>
      </c>
      <c r="D175">
        <v>4</v>
      </c>
      <c r="E175" s="12">
        <f>+D175/C175</f>
        <v>2</v>
      </c>
      <c r="F175">
        <v>4</v>
      </c>
    </row>
    <row r="176" spans="1:6" ht="12">
      <c r="A176" t="s">
        <v>155</v>
      </c>
      <c r="C176">
        <v>2</v>
      </c>
      <c r="D176">
        <v>20</v>
      </c>
      <c r="E176" s="12">
        <f aca="true" t="shared" si="19" ref="E176:E182">+D176/C176</f>
        <v>10</v>
      </c>
      <c r="F176">
        <v>15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6" ht="12">
      <c r="A179" t="s">
        <v>149</v>
      </c>
      <c r="C179">
        <v>2</v>
      </c>
      <c r="D179">
        <v>18</v>
      </c>
      <c r="E179" s="12">
        <f t="shared" si="19"/>
        <v>9</v>
      </c>
      <c r="F179">
        <v>9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5" sqref="A5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18</v>
      </c>
    </row>
    <row r="7" spans="1:13" ht="12">
      <c r="A7" s="16" t="s">
        <v>95</v>
      </c>
      <c r="D7" s="2">
        <v>5</v>
      </c>
      <c r="H7" s="16" t="s">
        <v>95</v>
      </c>
      <c r="M7" s="2">
        <v>7</v>
      </c>
    </row>
    <row r="8" spans="1:13" ht="12">
      <c r="A8" s="16" t="s">
        <v>96</v>
      </c>
      <c r="D8" s="2">
        <v>12</v>
      </c>
      <c r="H8" s="16" t="s">
        <v>96</v>
      </c>
      <c r="M8" s="2">
        <v>10</v>
      </c>
    </row>
    <row r="9" spans="1:13" ht="12">
      <c r="A9" s="16" t="s">
        <v>97</v>
      </c>
      <c r="D9" s="2">
        <v>0</v>
      </c>
      <c r="H9" s="16" t="s">
        <v>97</v>
      </c>
      <c r="M9" s="2">
        <v>1</v>
      </c>
    </row>
    <row r="10" spans="1:14" ht="12">
      <c r="A10" s="18" t="s">
        <v>108</v>
      </c>
      <c r="C10">
        <v>2</v>
      </c>
      <c r="D10" s="2">
        <v>7</v>
      </c>
      <c r="E10" s="19">
        <f>+C10/D10</f>
        <v>0.2857142857142857</v>
      </c>
      <c r="H10" s="18" t="s">
        <v>108</v>
      </c>
      <c r="L10">
        <v>2</v>
      </c>
      <c r="M10" s="2">
        <v>13</v>
      </c>
      <c r="N10" s="19">
        <f>+L10/M10</f>
        <v>0.15384615384615385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6+6+5+1+4</f>
        <v>22</v>
      </c>
      <c r="H13" t="s">
        <v>1</v>
      </c>
      <c r="M13" s="2">
        <f>18+12+5+3+1+1</f>
        <v>40</v>
      </c>
      <c r="V13">
        <f>+D13</f>
        <v>22</v>
      </c>
      <c r="W13">
        <f>+M13</f>
        <v>40</v>
      </c>
    </row>
    <row r="14" spans="1:23" ht="12">
      <c r="A14" t="s">
        <v>2</v>
      </c>
      <c r="D14" s="2">
        <f>13+43+17+0+2</f>
        <v>75</v>
      </c>
      <c r="H14" t="s">
        <v>2</v>
      </c>
      <c r="M14" s="2">
        <f>82+48+9+10+2-7</f>
        <v>144</v>
      </c>
      <c r="P14" s="13"/>
      <c r="U14" s="13"/>
      <c r="V14">
        <f>+D18</f>
        <v>20</v>
      </c>
      <c r="W14">
        <f>+M18</f>
        <v>20</v>
      </c>
    </row>
    <row r="15" spans="1:23" ht="12">
      <c r="A15" s="1" t="s">
        <v>3</v>
      </c>
      <c r="D15" s="8">
        <f>+D14/D13</f>
        <v>3.409090909090909</v>
      </c>
      <c r="H15" s="1" t="s">
        <v>3</v>
      </c>
      <c r="M15" s="8">
        <f>+M14/M13</f>
        <v>3.6</v>
      </c>
      <c r="V15">
        <f>+(D17-D18)/2</f>
        <v>7</v>
      </c>
      <c r="W15">
        <f>+(M17-M18)/2</f>
        <v>4.5</v>
      </c>
    </row>
    <row r="16" spans="22:23" ht="12">
      <c r="V16">
        <f>+D40/2</f>
        <v>2</v>
      </c>
      <c r="W16">
        <f>+M40/2</f>
        <v>2.5</v>
      </c>
    </row>
    <row r="17" spans="1:23" ht="12">
      <c r="A17" t="s">
        <v>4</v>
      </c>
      <c r="D17" s="2">
        <v>34</v>
      </c>
      <c r="H17" t="s">
        <v>4</v>
      </c>
      <c r="M17" s="2">
        <v>29</v>
      </c>
      <c r="V17">
        <f>+D44/2</f>
        <v>1.5</v>
      </c>
      <c r="W17">
        <f>+M44/2</f>
        <v>2</v>
      </c>
    </row>
    <row r="18" spans="1:23" ht="12">
      <c r="A18" t="s">
        <v>5</v>
      </c>
      <c r="D18" s="2">
        <v>20</v>
      </c>
      <c r="H18" t="s">
        <v>5</v>
      </c>
      <c r="M18" s="2">
        <v>20</v>
      </c>
      <c r="V18">
        <f>+D50/2</f>
        <v>2.5</v>
      </c>
      <c r="W18">
        <f>+M50/2</f>
        <v>2</v>
      </c>
    </row>
    <row r="19" spans="1:13" ht="12">
      <c r="A19" t="s">
        <v>6</v>
      </c>
      <c r="D19" s="8">
        <f>+D18/D17*100</f>
        <v>58.82352941176471</v>
      </c>
      <c r="H19" t="s">
        <v>6</v>
      </c>
      <c r="M19" s="8">
        <f>+M18/M17*100</f>
        <v>68.96551724137932</v>
      </c>
    </row>
    <row r="20" spans="1:24" ht="12">
      <c r="A20" t="s">
        <v>7</v>
      </c>
      <c r="D20" s="2">
        <v>266</v>
      </c>
      <c r="H20" t="s">
        <v>7</v>
      </c>
      <c r="M20" s="2">
        <v>245</v>
      </c>
      <c r="V20">
        <f>SUM(V13:V18)</f>
        <v>55</v>
      </c>
      <c r="W20">
        <f>SUM(W13:W18)</f>
        <v>71</v>
      </c>
      <c r="X20">
        <f>+W20+V20</f>
        <v>126</v>
      </c>
    </row>
    <row r="21" spans="1:23" ht="12">
      <c r="A21" t="s">
        <v>8</v>
      </c>
      <c r="D21" s="2">
        <v>3</v>
      </c>
      <c r="H21" t="s">
        <v>8</v>
      </c>
      <c r="M21" s="2">
        <v>0</v>
      </c>
      <c r="V21">
        <f>+V20/X20</f>
        <v>0.4365079365079365</v>
      </c>
      <c r="W21">
        <f>+W20/X20</f>
        <v>0.5634920634920635</v>
      </c>
    </row>
    <row r="22" spans="1:23" ht="12">
      <c r="A22" t="s">
        <v>9</v>
      </c>
      <c r="D22" s="2">
        <v>8</v>
      </c>
      <c r="H22" t="s">
        <v>9</v>
      </c>
      <c r="M22" s="2">
        <v>0</v>
      </c>
      <c r="V22">
        <f>+V21*60</f>
        <v>26.19047619047619</v>
      </c>
      <c r="W22">
        <f>+W21*60</f>
        <v>33.80952380952381</v>
      </c>
    </row>
    <row r="23" spans="1:23" ht="12">
      <c r="A23" t="s">
        <v>10</v>
      </c>
      <c r="D23">
        <f>+D20-D22</f>
        <v>258</v>
      </c>
      <c r="H23" t="s">
        <v>10</v>
      </c>
      <c r="M23">
        <f>+M20-M22</f>
        <v>245</v>
      </c>
      <c r="V23">
        <f>+V22-INT(V22)</f>
        <v>0.1904761904761898</v>
      </c>
      <c r="W23">
        <f>+W22-INT(W22)</f>
        <v>0.8095238095238102</v>
      </c>
    </row>
    <row r="24" spans="1:23" ht="12">
      <c r="A24" t="s">
        <v>11</v>
      </c>
      <c r="D24" s="7">
        <f>+D23/(D17+D21)</f>
        <v>6.972972972972973</v>
      </c>
      <c r="H24" t="s">
        <v>11</v>
      </c>
      <c r="M24" s="7">
        <f>+M23/(M17+M21)</f>
        <v>8.448275862068966</v>
      </c>
      <c r="V24">
        <f>+V23*60</f>
        <v>11.428571428571388</v>
      </c>
      <c r="W24">
        <f>+W23*60</f>
        <v>48.57142857142861</v>
      </c>
    </row>
    <row r="25" spans="1:23" ht="12">
      <c r="A25" t="s">
        <v>12</v>
      </c>
      <c r="D25" s="7">
        <f>+D20/D18</f>
        <v>13.3</v>
      </c>
      <c r="H25" t="s">
        <v>12</v>
      </c>
      <c r="M25" s="7">
        <f>+M20/M18</f>
        <v>12.25</v>
      </c>
      <c r="Q25" s="11"/>
      <c r="U25">
        <v>0</v>
      </c>
      <c r="V25" s="11">
        <f>ROUND(V24,0)</f>
        <v>11</v>
      </c>
      <c r="W25">
        <f>ROUND(W24,0)</f>
        <v>49</v>
      </c>
    </row>
    <row r="26" spans="22:23" ht="12">
      <c r="V26">
        <f>INT(V22)</f>
        <v>26</v>
      </c>
      <c r="W26">
        <f>INT(W22)</f>
        <v>33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333</v>
      </c>
      <c r="H28" t="s">
        <v>14</v>
      </c>
      <c r="M28">
        <f>+M23+M14</f>
        <v>389</v>
      </c>
      <c r="Q28" s="14"/>
      <c r="R28" s="9"/>
      <c r="V28" s="14" t="str">
        <f>+V26&amp;V27&amp;V25</f>
        <v>26:11</v>
      </c>
      <c r="W28" s="9" t="str">
        <f>+W26&amp;W27&amp;W25</f>
        <v>33:49</v>
      </c>
    </row>
    <row r="29" spans="1:23" ht="12">
      <c r="A29" t="s">
        <v>15</v>
      </c>
      <c r="D29" s="7">
        <f>+D14/D28*100</f>
        <v>22.52252252252252</v>
      </c>
      <c r="H29" t="s">
        <v>15</v>
      </c>
      <c r="M29" s="7">
        <f>+M14/M28*100</f>
        <v>37.01799485861182</v>
      </c>
      <c r="Q29" s="9"/>
      <c r="R29" s="9"/>
      <c r="V29" s="9" t="str">
        <f>IF(V25&lt;10,+V26&amp;V27&amp;$U$25&amp;V25,+V26&amp;V27&amp;V25)</f>
        <v>26:11</v>
      </c>
      <c r="W29" s="9" t="str">
        <f>IF(W25&lt;10,+W26&amp;W27&amp;$U$25&amp;W25,+W26&amp;W27&amp;W25)</f>
        <v>33:49</v>
      </c>
    </row>
    <row r="30" spans="1:16" ht="12">
      <c r="A30" s="1" t="s">
        <v>90</v>
      </c>
      <c r="D30" s="7">
        <f>+D23/D28*100</f>
        <v>77.47747747747748</v>
      </c>
      <c r="H30" s="1" t="s">
        <v>90</v>
      </c>
      <c r="M30" s="7">
        <f>+M23/M28*100</f>
        <v>62.98200514138818</v>
      </c>
      <c r="P30" s="13"/>
    </row>
    <row r="32" spans="1:13" ht="12">
      <c r="A32" t="s">
        <v>16</v>
      </c>
      <c r="D32">
        <f>+D13+D17+D21</f>
        <v>59</v>
      </c>
      <c r="H32" t="s">
        <v>16</v>
      </c>
      <c r="M32">
        <f>+M13+M17+M21</f>
        <v>69</v>
      </c>
    </row>
    <row r="33" spans="1:14" ht="12">
      <c r="A33" t="s">
        <v>17</v>
      </c>
      <c r="C33" s="7"/>
      <c r="D33" s="8">
        <f>+D28/D32</f>
        <v>5.6440677966101696</v>
      </c>
      <c r="F33" s="7"/>
      <c r="G33" s="7"/>
      <c r="H33" s="7" t="s">
        <v>17</v>
      </c>
      <c r="I33" s="7"/>
      <c r="J33" s="7"/>
      <c r="K33" s="7"/>
      <c r="M33" s="8">
        <f>+M28/M32</f>
        <v>5.63768115942029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3</v>
      </c>
      <c r="H36" t="s">
        <v>19</v>
      </c>
      <c r="M36" s="2">
        <v>0</v>
      </c>
    </row>
    <row r="37" spans="1:13" ht="12">
      <c r="A37" t="s">
        <v>20</v>
      </c>
      <c r="D37" s="2">
        <v>4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4</v>
      </c>
      <c r="H40" t="s">
        <v>22</v>
      </c>
      <c r="M40" s="2">
        <v>5</v>
      </c>
    </row>
    <row r="41" spans="1:13" ht="12">
      <c r="A41" t="s">
        <v>23</v>
      </c>
      <c r="D41" s="2">
        <f>34+37+37+31</f>
        <v>139</v>
      </c>
      <c r="H41" t="s">
        <v>23</v>
      </c>
      <c r="M41" s="2">
        <f>35+40+37+40+52</f>
        <v>204</v>
      </c>
    </row>
    <row r="42" spans="1:14" ht="12">
      <c r="A42" t="s">
        <v>24</v>
      </c>
      <c r="C42" s="7"/>
      <c r="D42" s="8">
        <f>+D41/D40</f>
        <v>34.75</v>
      </c>
      <c r="F42" s="7"/>
      <c r="G42" s="7"/>
      <c r="H42" s="7" t="s">
        <v>24</v>
      </c>
      <c r="I42" s="7"/>
      <c r="J42" s="7"/>
      <c r="K42" s="7"/>
      <c r="M42" s="8">
        <f>+M41/M40</f>
        <v>40.8</v>
      </c>
      <c r="N42" s="7"/>
    </row>
    <row r="44" spans="1:13" ht="12">
      <c r="A44" t="s">
        <v>25</v>
      </c>
      <c r="D44" s="2">
        <v>3</v>
      </c>
      <c r="H44" t="s">
        <v>25</v>
      </c>
      <c r="M44" s="2">
        <v>4</v>
      </c>
    </row>
    <row r="45" spans="1:13" ht="12">
      <c r="A45" t="s">
        <v>26</v>
      </c>
      <c r="D45" s="2">
        <f>11+20+17</f>
        <v>48</v>
      </c>
      <c r="H45" t="s">
        <v>26</v>
      </c>
      <c r="M45" s="2">
        <f>11+8+6+4</f>
        <v>29</v>
      </c>
    </row>
    <row r="46" spans="1:13" ht="12">
      <c r="A46" t="s">
        <v>27</v>
      </c>
      <c r="D46" s="8">
        <f>+D45/D44</f>
        <v>16</v>
      </c>
      <c r="H46" t="s">
        <v>27</v>
      </c>
      <c r="M46" s="8">
        <f>+M45/M44</f>
        <v>7.25</v>
      </c>
    </row>
    <row r="47" spans="1:13" ht="12">
      <c r="A47" s="18" t="s">
        <v>131</v>
      </c>
      <c r="D47" s="2">
        <v>1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4</v>
      </c>
    </row>
    <row r="51" spans="1:13" ht="12">
      <c r="A51" t="s">
        <v>26</v>
      </c>
      <c r="D51" s="2">
        <f>15+6+8+28+22</f>
        <v>79</v>
      </c>
      <c r="H51" t="s">
        <v>26</v>
      </c>
      <c r="M51" s="2">
        <f>30+24+27+43</f>
        <v>124</v>
      </c>
    </row>
    <row r="52" spans="1:13" ht="12">
      <c r="A52" t="s">
        <v>27</v>
      </c>
      <c r="D52" s="8">
        <f>+D51/D50</f>
        <v>15.8</v>
      </c>
      <c r="H52" t="s">
        <v>27</v>
      </c>
      <c r="M52" s="8">
        <f>+M51/M50</f>
        <v>31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4</v>
      </c>
      <c r="G55" t="str">
        <f>IF(D55-D56=M50,"ok","err")</f>
        <v>ok</v>
      </c>
      <c r="H55" t="s">
        <v>127</v>
      </c>
      <c r="K55" s="2"/>
      <c r="M55" s="2">
        <v>8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3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0.375</v>
      </c>
    </row>
    <row r="59" spans="1:13" ht="12">
      <c r="A59" t="s">
        <v>31</v>
      </c>
      <c r="D59" s="2">
        <v>4</v>
      </c>
      <c r="H59" t="s">
        <v>31</v>
      </c>
      <c r="M59" s="2">
        <v>5</v>
      </c>
    </row>
    <row r="60" spans="1:13" ht="12">
      <c r="A60" t="s">
        <v>32</v>
      </c>
      <c r="D60" s="2">
        <v>72</v>
      </c>
      <c r="H60" t="s">
        <v>32</v>
      </c>
      <c r="M60" s="2">
        <v>57</v>
      </c>
    </row>
    <row r="62" spans="1:13" ht="12">
      <c r="A62" t="s">
        <v>33</v>
      </c>
      <c r="D62" s="2">
        <v>4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4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17</v>
      </c>
      <c r="E68" t="str">
        <f>IF(B68=B69*6+B75*2+B76*3+B73,"ok","ERR")</f>
        <v>ok</v>
      </c>
      <c r="H68" t="s">
        <v>38</v>
      </c>
      <c r="M68" s="2">
        <v>37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4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1</v>
      </c>
      <c r="H71" t="s">
        <v>41</v>
      </c>
      <c r="M71" s="2">
        <v>3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4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3</v>
      </c>
    </row>
    <row r="77" spans="1:13" ht="12">
      <c r="A77" t="s">
        <v>46</v>
      </c>
      <c r="D77" s="2">
        <v>1</v>
      </c>
      <c r="H77" t="s">
        <v>46</v>
      </c>
      <c r="M77" s="2">
        <v>5</v>
      </c>
    </row>
    <row r="78" spans="1:13" ht="12">
      <c r="A78" t="s">
        <v>47</v>
      </c>
      <c r="D78" s="8">
        <f>+D76/D77*100</f>
        <v>100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60</v>
      </c>
    </row>
    <row r="79" spans="1:13" ht="12">
      <c r="A79" t="s">
        <v>93</v>
      </c>
      <c r="D79" s="10" t="str">
        <f>IF(V25&lt;10,V29,V28)</f>
        <v>26:11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5</v>
      </c>
      <c r="D85">
        <v>17</v>
      </c>
      <c r="E85" s="12">
        <f>+D85/C85</f>
        <v>3.4</v>
      </c>
      <c r="F85">
        <v>9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4</v>
      </c>
      <c r="D87">
        <v>2</v>
      </c>
      <c r="E87" s="12">
        <f t="shared" si="0"/>
        <v>0.5</v>
      </c>
      <c r="F87">
        <v>2</v>
      </c>
      <c r="G87">
        <v>0</v>
      </c>
      <c r="H87">
        <v>1</v>
      </c>
    </row>
    <row r="88" spans="1:8" ht="12">
      <c r="A88" t="s">
        <v>138</v>
      </c>
      <c r="C88">
        <v>6</v>
      </c>
      <c r="D88">
        <v>43</v>
      </c>
      <c r="E88" s="12">
        <f t="shared" si="0"/>
        <v>7.166666666666667</v>
      </c>
      <c r="F88">
        <v>22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6</v>
      </c>
      <c r="D90">
        <v>13</v>
      </c>
      <c r="E90" s="12">
        <f t="shared" si="0"/>
        <v>2.1666666666666665</v>
      </c>
      <c r="F90">
        <v>5</v>
      </c>
      <c r="G90">
        <v>1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1</v>
      </c>
      <c r="D92">
        <v>0</v>
      </c>
      <c r="E92" s="12">
        <f t="shared" si="0"/>
        <v>0</v>
      </c>
      <c r="F92">
        <v>0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1</v>
      </c>
      <c r="D101">
        <v>24</v>
      </c>
      <c r="E101" s="12">
        <f aca="true" t="shared" si="1" ref="E101:E112">+D101/C101</f>
        <v>24</v>
      </c>
      <c r="F101">
        <v>24</v>
      </c>
      <c r="G101">
        <v>0</v>
      </c>
      <c r="H101">
        <v>0</v>
      </c>
    </row>
    <row r="102" spans="1:8" ht="12">
      <c r="A102" t="s">
        <v>135</v>
      </c>
      <c r="C102">
        <v>1</v>
      </c>
      <c r="D102">
        <v>13</v>
      </c>
      <c r="E102" s="12">
        <f t="shared" si="1"/>
        <v>13</v>
      </c>
      <c r="F102">
        <v>13</v>
      </c>
      <c r="G102">
        <v>1</v>
      </c>
      <c r="H102">
        <v>0</v>
      </c>
    </row>
    <row r="103" spans="1:8" ht="12">
      <c r="A103" t="s">
        <v>144</v>
      </c>
      <c r="C103">
        <v>7</v>
      </c>
      <c r="D103">
        <v>60</v>
      </c>
      <c r="E103" s="12">
        <f t="shared" si="1"/>
        <v>8.571428571428571</v>
      </c>
      <c r="F103">
        <v>23</v>
      </c>
      <c r="G103">
        <v>0</v>
      </c>
      <c r="H103">
        <v>1</v>
      </c>
    </row>
    <row r="104" spans="1:8" ht="12">
      <c r="A104" t="s">
        <v>136</v>
      </c>
      <c r="C104">
        <v>5</v>
      </c>
      <c r="D104">
        <v>81</v>
      </c>
      <c r="E104" s="12">
        <f t="shared" si="1"/>
        <v>16.2</v>
      </c>
      <c r="F104">
        <v>29</v>
      </c>
      <c r="G104">
        <v>0</v>
      </c>
      <c r="H104">
        <v>0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20</v>
      </c>
      <c r="E107" s="12">
        <f t="shared" si="1"/>
        <v>20</v>
      </c>
      <c r="F107">
        <v>20</v>
      </c>
      <c r="G107">
        <v>0</v>
      </c>
      <c r="H107">
        <v>0</v>
      </c>
    </row>
    <row r="108" spans="1:8" ht="12">
      <c r="A108" t="s">
        <v>146</v>
      </c>
      <c r="C108">
        <v>1</v>
      </c>
      <c r="D108">
        <v>13</v>
      </c>
      <c r="E108" s="12">
        <f t="shared" si="1"/>
        <v>13</v>
      </c>
      <c r="F108">
        <v>13</v>
      </c>
      <c r="G108">
        <v>0</v>
      </c>
      <c r="H108">
        <v>0</v>
      </c>
    </row>
    <row r="109" spans="1:8" ht="12">
      <c r="A109" t="s">
        <v>140</v>
      </c>
      <c r="C109">
        <v>4</v>
      </c>
      <c r="D109">
        <v>55</v>
      </c>
      <c r="E109" s="12">
        <f t="shared" si="1"/>
        <v>13.75</v>
      </c>
      <c r="F109">
        <v>18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1</v>
      </c>
      <c r="D122">
        <v>0</v>
      </c>
      <c r="E122" s="12">
        <f t="shared" si="2"/>
        <v>0</v>
      </c>
      <c r="F122">
        <v>0</v>
      </c>
      <c r="G122">
        <v>0</v>
      </c>
      <c r="H122">
        <v>0</v>
      </c>
      <c r="I122">
        <v>0</v>
      </c>
      <c r="J122" s="8">
        <f t="shared" si="3"/>
        <v>0</v>
      </c>
      <c r="K122" s="12">
        <f t="shared" si="4"/>
        <v>0</v>
      </c>
      <c r="L122" s="12">
        <f t="shared" si="5"/>
        <v>0</v>
      </c>
      <c r="M122" s="12">
        <f t="shared" si="6"/>
        <v>39.583333333333336</v>
      </c>
      <c r="N122">
        <v>0</v>
      </c>
      <c r="O122">
        <v>0</v>
      </c>
      <c r="R122">
        <f t="shared" si="7"/>
        <v>-1.5</v>
      </c>
      <c r="S122" s="2">
        <f t="shared" si="8"/>
        <v>0</v>
      </c>
      <c r="T122" s="6">
        <f t="shared" si="9"/>
        <v>-0.75</v>
      </c>
      <c r="U122" s="2">
        <f t="shared" si="10"/>
        <v>0</v>
      </c>
      <c r="V122">
        <f t="shared" si="11"/>
        <v>0</v>
      </c>
      <c r="W122" s="2">
        <f t="shared" si="12"/>
        <v>0</v>
      </c>
      <c r="X122">
        <f t="shared" si="13"/>
        <v>2.375</v>
      </c>
      <c r="Y122" s="2">
        <f t="shared" si="14"/>
        <v>2.375</v>
      </c>
    </row>
    <row r="123" spans="1:25" ht="12">
      <c r="A123" t="s">
        <v>137</v>
      </c>
      <c r="C123">
        <v>33</v>
      </c>
      <c r="D123">
        <v>20</v>
      </c>
      <c r="E123" s="12">
        <f t="shared" si="2"/>
        <v>60.60606060606061</v>
      </c>
      <c r="F123">
        <v>266</v>
      </c>
      <c r="G123">
        <v>1</v>
      </c>
      <c r="H123">
        <v>29</v>
      </c>
      <c r="I123">
        <v>3</v>
      </c>
      <c r="J123" s="8">
        <f t="shared" si="3"/>
        <v>3.0303030303030303</v>
      </c>
      <c r="K123" s="12">
        <f t="shared" si="4"/>
        <v>9.090909090909092</v>
      </c>
      <c r="L123" s="12">
        <f t="shared" si="5"/>
        <v>8.06060606060606</v>
      </c>
      <c r="M123" s="12">
        <f t="shared" si="6"/>
        <v>58.39646464646464</v>
      </c>
      <c r="N123">
        <v>1</v>
      </c>
      <c r="O123">
        <v>3</v>
      </c>
      <c r="R123">
        <f t="shared" si="7"/>
        <v>1.5303030303030305</v>
      </c>
      <c r="S123" s="2">
        <f t="shared" si="8"/>
        <v>1.5303030303030305</v>
      </c>
      <c r="T123" s="6">
        <f t="shared" si="9"/>
        <v>1.2651515151515151</v>
      </c>
      <c r="U123" s="2">
        <f t="shared" si="10"/>
        <v>1.2651515151515151</v>
      </c>
      <c r="V123">
        <f t="shared" si="11"/>
        <v>0.6060606060606061</v>
      </c>
      <c r="W123" s="2">
        <f t="shared" si="12"/>
        <v>0.6060606060606061</v>
      </c>
      <c r="X123">
        <f t="shared" si="13"/>
        <v>0.10227272727272707</v>
      </c>
      <c r="Y123" s="2">
        <f t="shared" si="14"/>
        <v>0.10227272727272707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9" ht="12">
      <c r="A131" t="s">
        <v>148</v>
      </c>
      <c r="C131">
        <v>3</v>
      </c>
      <c r="D131">
        <v>1</v>
      </c>
      <c r="E131">
        <f>11+20+17</f>
        <v>48</v>
      </c>
      <c r="F131" s="12">
        <f aca="true" t="shared" si="15" ref="F131:F136">+E131/C131</f>
        <v>16</v>
      </c>
      <c r="G131">
        <v>20</v>
      </c>
      <c r="I131">
        <v>1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6" ht="12">
      <c r="A141" t="s">
        <v>148</v>
      </c>
      <c r="C141">
        <v>2</v>
      </c>
      <c r="D141">
        <v>50</v>
      </c>
      <c r="E141" s="12">
        <f aca="true" t="shared" si="16" ref="E141:E146">+D141/C141</f>
        <v>25</v>
      </c>
      <c r="F141">
        <v>28</v>
      </c>
    </row>
    <row r="142" spans="1:6" ht="12">
      <c r="A142" t="s">
        <v>150</v>
      </c>
      <c r="C142">
        <v>2</v>
      </c>
      <c r="D142">
        <v>14</v>
      </c>
      <c r="E142" s="12">
        <f t="shared" si="16"/>
        <v>7</v>
      </c>
      <c r="F142">
        <v>8</v>
      </c>
    </row>
    <row r="143" spans="1:5" ht="12">
      <c r="A143" t="s">
        <v>139</v>
      </c>
      <c r="E143" s="12" t="e">
        <f t="shared" si="16"/>
        <v>#DIV/0!</v>
      </c>
    </row>
    <row r="144" spans="1:5" ht="12">
      <c r="A144" t="s">
        <v>140</v>
      </c>
      <c r="E144" s="12" t="e">
        <f t="shared" si="16"/>
        <v>#DIV/0!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15</v>
      </c>
      <c r="E146" s="12">
        <f t="shared" si="16"/>
        <v>15</v>
      </c>
      <c r="F146">
        <v>15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4</v>
      </c>
      <c r="D158">
        <f>34+37+37+31</f>
        <v>139</v>
      </c>
      <c r="F158">
        <v>37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7" ht="12">
      <c r="A164" t="s">
        <v>153</v>
      </c>
      <c r="C164">
        <v>4</v>
      </c>
      <c r="E164">
        <v>2</v>
      </c>
      <c r="F164">
        <v>2</v>
      </c>
      <c r="G164">
        <v>1</v>
      </c>
      <c r="H164">
        <v>1</v>
      </c>
      <c r="I164" s="12">
        <f aca="true" t="shared" si="18" ref="I164:I171">+H164/G164*100</f>
        <v>100</v>
      </c>
      <c r="J164">
        <v>32</v>
      </c>
      <c r="P164">
        <v>1</v>
      </c>
      <c r="Q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K92" sqref="K9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20</v>
      </c>
      <c r="H6" s="1" t="s">
        <v>29</v>
      </c>
      <c r="M6" s="2">
        <v>17</v>
      </c>
    </row>
    <row r="7" spans="1:13" ht="12">
      <c r="A7" s="16" t="s">
        <v>95</v>
      </c>
      <c r="D7" s="2">
        <v>9</v>
      </c>
      <c r="H7" s="16" t="s">
        <v>95</v>
      </c>
      <c r="M7" s="2">
        <v>4</v>
      </c>
    </row>
    <row r="8" spans="1:13" ht="12">
      <c r="A8" s="16" t="s">
        <v>96</v>
      </c>
      <c r="D8" s="2">
        <v>9</v>
      </c>
      <c r="H8" s="16" t="s">
        <v>96</v>
      </c>
      <c r="M8" s="2">
        <v>10</v>
      </c>
    </row>
    <row r="9" spans="1:13" ht="12">
      <c r="A9" s="16" t="s">
        <v>97</v>
      </c>
      <c r="D9" s="2">
        <v>2</v>
      </c>
      <c r="H9" s="16" t="s">
        <v>97</v>
      </c>
      <c r="M9" s="2">
        <v>3</v>
      </c>
    </row>
    <row r="10" spans="1:14" ht="12">
      <c r="A10" s="18" t="s">
        <v>108</v>
      </c>
      <c r="C10">
        <v>4</v>
      </c>
      <c r="D10" s="2">
        <v>11</v>
      </c>
      <c r="E10" s="19">
        <f>+C10/D10</f>
        <v>0.36363636363636365</v>
      </c>
      <c r="H10" s="18" t="s">
        <v>108</v>
      </c>
      <c r="L10">
        <v>4</v>
      </c>
      <c r="M10" s="2">
        <v>11</v>
      </c>
      <c r="N10" s="19">
        <f>+L10/M10</f>
        <v>0.36363636363636365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11+4+2+3+3+5</f>
        <v>28</v>
      </c>
      <c r="H13" t="s">
        <v>1</v>
      </c>
      <c r="M13" s="2">
        <f>10+5+8+6+1</f>
        <v>30</v>
      </c>
      <c r="V13">
        <f>+D13</f>
        <v>28</v>
      </c>
      <c r="W13">
        <f>+M13</f>
        <v>30</v>
      </c>
    </row>
    <row r="14" spans="1:23" ht="12">
      <c r="A14" t="s">
        <v>2</v>
      </c>
      <c r="D14" s="2">
        <f>89+12+6+13+11+16</f>
        <v>147</v>
      </c>
      <c r="H14" t="s">
        <v>2</v>
      </c>
      <c r="M14" s="2">
        <f>26+12+20+27+0</f>
        <v>85</v>
      </c>
      <c r="P14" s="13"/>
      <c r="U14" s="13"/>
      <c r="V14">
        <f>+D18</f>
        <v>22</v>
      </c>
      <c r="W14">
        <f>+M18</f>
        <v>15</v>
      </c>
    </row>
    <row r="15" spans="1:23" ht="12">
      <c r="A15" s="1" t="s">
        <v>3</v>
      </c>
      <c r="D15" s="8">
        <f>+D14/D13</f>
        <v>5.25</v>
      </c>
      <c r="H15" s="1" t="s">
        <v>3</v>
      </c>
      <c r="M15" s="8">
        <f>+M14/M13</f>
        <v>2.8333333333333335</v>
      </c>
      <c r="V15">
        <f>+(D17-D18)/2</f>
        <v>8.5</v>
      </c>
      <c r="W15">
        <f>+(M17-M18)/2</f>
        <v>7.5</v>
      </c>
    </row>
    <row r="16" spans="22:23" ht="12">
      <c r="V16">
        <f>+D40/2</f>
        <v>1.5</v>
      </c>
      <c r="W16">
        <f>+M40/2</f>
        <v>1</v>
      </c>
    </row>
    <row r="17" spans="1:23" ht="12">
      <c r="A17" t="s">
        <v>4</v>
      </c>
      <c r="D17" s="2">
        <v>39</v>
      </c>
      <c r="H17" t="s">
        <v>4</v>
      </c>
      <c r="M17" s="2">
        <v>30</v>
      </c>
      <c r="V17">
        <f>+D44/2</f>
        <v>0</v>
      </c>
      <c r="W17">
        <f>+M44/2</f>
        <v>1</v>
      </c>
    </row>
    <row r="18" spans="1:23" ht="12">
      <c r="A18" t="s">
        <v>5</v>
      </c>
      <c r="D18" s="2">
        <v>22</v>
      </c>
      <c r="H18" t="s">
        <v>5</v>
      </c>
      <c r="M18" s="2">
        <v>15</v>
      </c>
      <c r="V18">
        <f>+D50/2</f>
        <v>3</v>
      </c>
      <c r="W18">
        <f>+M50/2</f>
        <v>2.5</v>
      </c>
    </row>
    <row r="19" spans="1:13" ht="12">
      <c r="A19" t="s">
        <v>6</v>
      </c>
      <c r="D19" s="8">
        <f>+D18/D17*100</f>
        <v>56.41025641025641</v>
      </c>
      <c r="H19" t="s">
        <v>6</v>
      </c>
      <c r="M19" s="8">
        <f>+M18/M17*100</f>
        <v>50</v>
      </c>
    </row>
    <row r="20" spans="1:24" ht="12">
      <c r="A20" t="s">
        <v>7</v>
      </c>
      <c r="D20" s="2">
        <v>252</v>
      </c>
      <c r="H20" t="s">
        <v>7</v>
      </c>
      <c r="M20" s="2">
        <v>264</v>
      </c>
      <c r="V20">
        <f>SUM(V13:V18)</f>
        <v>63</v>
      </c>
      <c r="W20">
        <f>SUM(W13:W18)</f>
        <v>57</v>
      </c>
      <c r="X20">
        <f>+W20+V20</f>
        <v>120</v>
      </c>
    </row>
    <row r="21" spans="1:23" ht="12">
      <c r="A21" t="s">
        <v>8</v>
      </c>
      <c r="D21" s="2">
        <v>1</v>
      </c>
      <c r="H21" t="s">
        <v>8</v>
      </c>
      <c r="M21" s="2">
        <v>3</v>
      </c>
      <c r="V21">
        <f>+V20/X20</f>
        <v>0.525</v>
      </c>
      <c r="W21">
        <f>+W20/X20</f>
        <v>0.475</v>
      </c>
    </row>
    <row r="22" spans="1:23" ht="12">
      <c r="A22" t="s">
        <v>9</v>
      </c>
      <c r="D22" s="2">
        <v>7</v>
      </c>
      <c r="H22" t="s">
        <v>9</v>
      </c>
      <c r="M22" s="2">
        <f>8+19+1</f>
        <v>28</v>
      </c>
      <c r="V22">
        <f>+V21*60</f>
        <v>31.5</v>
      </c>
      <c r="W22">
        <f>+W21*60</f>
        <v>28.5</v>
      </c>
    </row>
    <row r="23" spans="1:23" ht="12">
      <c r="A23" t="s">
        <v>10</v>
      </c>
      <c r="D23">
        <f>+D20-D22</f>
        <v>245</v>
      </c>
      <c r="H23" t="s">
        <v>10</v>
      </c>
      <c r="M23">
        <f>+M20-M22</f>
        <v>236</v>
      </c>
      <c r="V23">
        <f>+V22-INT(V22)</f>
        <v>0.5</v>
      </c>
      <c r="W23">
        <f>+W22-INT(W22)</f>
        <v>0.5</v>
      </c>
    </row>
    <row r="24" spans="1:23" ht="12">
      <c r="A24" t="s">
        <v>11</v>
      </c>
      <c r="D24" s="7">
        <f>+D23/(D17+D21)</f>
        <v>6.125</v>
      </c>
      <c r="H24" t="s">
        <v>11</v>
      </c>
      <c r="M24" s="7">
        <f>+M23/(M17+M21)</f>
        <v>7.151515151515151</v>
      </c>
      <c r="V24">
        <f>+V23*60</f>
        <v>30</v>
      </c>
      <c r="W24">
        <f>+W23*60</f>
        <v>30</v>
      </c>
    </row>
    <row r="25" spans="1:23" ht="12">
      <c r="A25" t="s">
        <v>12</v>
      </c>
      <c r="D25" s="7">
        <f>+D20/D18</f>
        <v>11.454545454545455</v>
      </c>
      <c r="H25" t="s">
        <v>12</v>
      </c>
      <c r="M25" s="7">
        <f>+M20/M18</f>
        <v>17.6</v>
      </c>
      <c r="Q25" s="11"/>
      <c r="U25">
        <v>0</v>
      </c>
      <c r="V25" s="11">
        <f>ROUND(V24,0)</f>
        <v>30</v>
      </c>
      <c r="W25">
        <f>ROUND(W24,0)</f>
        <v>30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392</v>
      </c>
      <c r="H28" t="s">
        <v>14</v>
      </c>
      <c r="M28">
        <f>+M23+M14</f>
        <v>321</v>
      </c>
      <c r="Q28" s="14"/>
      <c r="R28" s="9"/>
      <c r="V28" s="14" t="str">
        <f>+V26&amp;V27&amp;V25</f>
        <v>31:30</v>
      </c>
      <c r="W28" s="9" t="str">
        <f>+W26&amp;W27&amp;W25</f>
        <v>28:30</v>
      </c>
    </row>
    <row r="29" spans="1:23" ht="12">
      <c r="A29" t="s">
        <v>15</v>
      </c>
      <c r="D29" s="7">
        <f>+D14/D28*100</f>
        <v>37.5</v>
      </c>
      <c r="H29" t="s">
        <v>15</v>
      </c>
      <c r="M29" s="7">
        <f>+M14/M28*100</f>
        <v>26.479750778816197</v>
      </c>
      <c r="Q29" s="9"/>
      <c r="R29" s="9"/>
      <c r="V29" s="9" t="str">
        <f>IF(V25&lt;10,+V26&amp;V27&amp;$U$25&amp;V25,+V26&amp;V27&amp;V25)</f>
        <v>31:30</v>
      </c>
      <c r="W29" s="9" t="str">
        <f>IF(W25&lt;10,+W26&amp;W27&amp;$U$25&amp;W25,+W26&amp;W27&amp;W25)</f>
        <v>28:30</v>
      </c>
    </row>
    <row r="30" spans="1:16" ht="12">
      <c r="A30" s="1" t="s">
        <v>90</v>
      </c>
      <c r="D30" s="7">
        <f>+D23/D28*100</f>
        <v>62.5</v>
      </c>
      <c r="H30" s="1" t="s">
        <v>90</v>
      </c>
      <c r="M30" s="7">
        <f>+M23/M28*100</f>
        <v>73.5202492211838</v>
      </c>
      <c r="P30" s="13"/>
    </row>
    <row r="32" spans="1:13" ht="12">
      <c r="A32" t="s">
        <v>16</v>
      </c>
      <c r="D32">
        <f>+D13+D17+D21</f>
        <v>68</v>
      </c>
      <c r="H32" t="s">
        <v>16</v>
      </c>
      <c r="M32">
        <f>+M13+M17+M21</f>
        <v>63</v>
      </c>
    </row>
    <row r="33" spans="1:13" ht="12">
      <c r="A33" t="s">
        <v>17</v>
      </c>
      <c r="D33" s="8">
        <f>+D28/D32</f>
        <v>5.764705882352941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5.095238095238095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2</v>
      </c>
    </row>
    <row r="37" spans="1:13" ht="12">
      <c r="A37" t="s">
        <v>20</v>
      </c>
      <c r="D37" s="2">
        <v>47</v>
      </c>
      <c r="H37" t="s">
        <v>20</v>
      </c>
      <c r="M37" s="2">
        <v>27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3</v>
      </c>
      <c r="H40" t="s">
        <v>22</v>
      </c>
      <c r="M40" s="2">
        <v>2</v>
      </c>
    </row>
    <row r="41" spans="1:13" ht="12">
      <c r="A41" t="s">
        <v>23</v>
      </c>
      <c r="D41" s="2">
        <f>29+37+31</f>
        <v>97</v>
      </c>
      <c r="H41" t="s">
        <v>23</v>
      </c>
      <c r="M41" s="2">
        <v>48</v>
      </c>
    </row>
    <row r="42" spans="1:13" ht="12">
      <c r="A42" t="s">
        <v>24</v>
      </c>
      <c r="D42" s="8">
        <f>+D41/D40</f>
        <v>32.333333333333336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24</v>
      </c>
    </row>
    <row r="44" spans="1:13" ht="12">
      <c r="A44" t="s">
        <v>25</v>
      </c>
      <c r="D44" s="2">
        <v>0</v>
      </c>
      <c r="H44" t="s">
        <v>25</v>
      </c>
      <c r="M44" s="2">
        <v>2</v>
      </c>
    </row>
    <row r="45" spans="1:13" ht="12">
      <c r="A45" t="s">
        <v>26</v>
      </c>
      <c r="D45" s="2">
        <v>0</v>
      </c>
      <c r="H45" t="s">
        <v>26</v>
      </c>
      <c r="M45" s="2">
        <f>17+27</f>
        <v>44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>
        <f>+M45/M44</f>
        <v>22</v>
      </c>
    </row>
    <row r="47" spans="1:13" ht="12">
      <c r="A47" s="18" t="s">
        <v>131</v>
      </c>
      <c r="D47" s="2">
        <v>1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6</v>
      </c>
      <c r="H50" t="s">
        <v>30</v>
      </c>
      <c r="M50" s="2">
        <v>5</v>
      </c>
    </row>
    <row r="51" spans="1:13" ht="12">
      <c r="A51" t="s">
        <v>26</v>
      </c>
      <c r="D51" s="2">
        <f>30+18+19+12+27+27</f>
        <v>133</v>
      </c>
      <c r="H51" t="s">
        <v>26</v>
      </c>
      <c r="M51" s="2">
        <f>21+43+27+26+30</f>
        <v>147</v>
      </c>
    </row>
    <row r="52" spans="1:13" ht="12">
      <c r="A52" t="s">
        <v>27</v>
      </c>
      <c r="D52" s="8">
        <f>+D51/D50</f>
        <v>22.166666666666668</v>
      </c>
      <c r="H52" t="s">
        <v>27</v>
      </c>
      <c r="M52" s="8">
        <f>+M51/M50</f>
        <v>29.4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6</v>
      </c>
      <c r="G55" t="str">
        <f>IF(D55-D56=M50,"ok","err")</f>
        <v>ok</v>
      </c>
      <c r="H55" t="s">
        <v>127</v>
      </c>
      <c r="K55" s="2"/>
      <c r="M55" s="2">
        <v>7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0.16666666666666666</v>
      </c>
      <c r="H57" t="s">
        <v>129</v>
      </c>
      <c r="M57">
        <f>+M56/M55</f>
        <v>0.14285714285714285</v>
      </c>
    </row>
    <row r="59" spans="1:13" ht="12">
      <c r="A59" t="s">
        <v>31</v>
      </c>
      <c r="D59" s="2">
        <v>9</v>
      </c>
      <c r="H59" t="s">
        <v>31</v>
      </c>
      <c r="M59" s="2">
        <v>7</v>
      </c>
    </row>
    <row r="60" spans="1:13" ht="12">
      <c r="A60" t="s">
        <v>32</v>
      </c>
      <c r="D60" s="2">
        <v>115</v>
      </c>
      <c r="H60" t="s">
        <v>32</v>
      </c>
      <c r="M60" s="2">
        <v>48</v>
      </c>
    </row>
    <row r="62" spans="1:13" ht="12">
      <c r="A62" t="s">
        <v>33</v>
      </c>
      <c r="D62" s="2">
        <v>1</v>
      </c>
      <c r="H62" t="s">
        <v>33</v>
      </c>
      <c r="M62" s="2">
        <v>1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28</v>
      </c>
      <c r="H68" t="s">
        <v>38</v>
      </c>
      <c r="M68" s="2">
        <v>29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3</v>
      </c>
      <c r="H69" t="s">
        <v>39</v>
      </c>
      <c r="M69" s="2">
        <v>3</v>
      </c>
    </row>
    <row r="70" spans="1:13" ht="12">
      <c r="A70" t="s">
        <v>40</v>
      </c>
      <c r="D70" s="2">
        <v>2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3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2</v>
      </c>
    </row>
    <row r="74" spans="1:13" ht="12">
      <c r="A74" t="s">
        <v>120</v>
      </c>
      <c r="D74" s="2">
        <v>1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3</v>
      </c>
    </row>
    <row r="77" spans="1:13" ht="12">
      <c r="A77" t="s">
        <v>46</v>
      </c>
      <c r="D77" s="2">
        <v>3</v>
      </c>
      <c r="H77" t="s">
        <v>46</v>
      </c>
      <c r="M77" s="2">
        <v>6</v>
      </c>
    </row>
    <row r="78" spans="1:13" ht="12">
      <c r="A78" t="s">
        <v>47</v>
      </c>
      <c r="D78" s="8">
        <f>+D76/D77*100</f>
        <v>66.66666666666666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50</v>
      </c>
    </row>
    <row r="79" spans="1:13" ht="12">
      <c r="A79" t="s">
        <v>93</v>
      </c>
      <c r="D79" s="10" t="str">
        <f>IF(V25&lt;10,V29,V28)</f>
        <v>31:30</v>
      </c>
      <c r="E79" s="8"/>
      <c r="F79" s="8"/>
      <c r="H79" t="s">
        <v>93</v>
      </c>
      <c r="M79" s="10" t="str">
        <f>IF(W25&lt;10,W29,W28)</f>
        <v>28:30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3</v>
      </c>
      <c r="D85">
        <v>13</v>
      </c>
      <c r="E85" s="12">
        <f>+D85/C85</f>
        <v>4.333333333333333</v>
      </c>
      <c r="F85">
        <v>8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5</v>
      </c>
      <c r="D87">
        <v>16</v>
      </c>
      <c r="E87" s="12">
        <f t="shared" si="0"/>
        <v>3.2</v>
      </c>
      <c r="F87">
        <v>4</v>
      </c>
      <c r="G87">
        <v>0</v>
      </c>
      <c r="H87">
        <v>0</v>
      </c>
    </row>
    <row r="88" spans="1:8" ht="12">
      <c r="A88" t="s">
        <v>138</v>
      </c>
      <c r="C88">
        <v>4</v>
      </c>
      <c r="D88">
        <v>12</v>
      </c>
      <c r="E88" s="12">
        <f t="shared" si="0"/>
        <v>3</v>
      </c>
      <c r="F88">
        <v>11</v>
      </c>
      <c r="G88">
        <v>1</v>
      </c>
      <c r="H88">
        <v>0</v>
      </c>
    </row>
    <row r="89" spans="1:8" ht="12">
      <c r="A89" t="s">
        <v>139</v>
      </c>
      <c r="C89">
        <v>2</v>
      </c>
      <c r="D89">
        <v>6</v>
      </c>
      <c r="E89" s="12">
        <f t="shared" si="0"/>
        <v>3</v>
      </c>
      <c r="F89">
        <v>13</v>
      </c>
      <c r="G89">
        <v>0</v>
      </c>
      <c r="H89">
        <v>0</v>
      </c>
    </row>
    <row r="90" spans="1:8" ht="12">
      <c r="A90" t="s">
        <v>140</v>
      </c>
      <c r="C90">
        <v>11</v>
      </c>
      <c r="D90">
        <v>89</v>
      </c>
      <c r="E90" s="12">
        <f t="shared" si="0"/>
        <v>8.090909090909092</v>
      </c>
      <c r="F90">
        <v>30</v>
      </c>
      <c r="G90">
        <v>1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3</v>
      </c>
      <c r="D92">
        <v>11</v>
      </c>
      <c r="E92" s="12">
        <f t="shared" si="0"/>
        <v>3.6666666666666665</v>
      </c>
      <c r="F92">
        <v>9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7</v>
      </c>
      <c r="D101">
        <v>72</v>
      </c>
      <c r="E101" s="12">
        <f aca="true" t="shared" si="1" ref="E101:E112">+D101/C101</f>
        <v>10.285714285714286</v>
      </c>
      <c r="F101">
        <v>22</v>
      </c>
      <c r="G101">
        <v>1</v>
      </c>
      <c r="H101">
        <v>0</v>
      </c>
    </row>
    <row r="102" spans="1:8" ht="12">
      <c r="A102" t="s">
        <v>135</v>
      </c>
      <c r="C102">
        <v>3</v>
      </c>
      <c r="D102">
        <v>35</v>
      </c>
      <c r="E102" s="12">
        <f t="shared" si="1"/>
        <v>11.666666666666666</v>
      </c>
      <c r="F102">
        <v>33</v>
      </c>
      <c r="G102">
        <v>0</v>
      </c>
      <c r="H102">
        <v>0</v>
      </c>
    </row>
    <row r="103" spans="1:8" ht="12">
      <c r="A103" t="s">
        <v>144</v>
      </c>
      <c r="C103">
        <v>5</v>
      </c>
      <c r="D103">
        <v>39</v>
      </c>
      <c r="E103" s="12">
        <f t="shared" si="1"/>
        <v>7.8</v>
      </c>
      <c r="F103">
        <v>21</v>
      </c>
      <c r="G103">
        <v>0</v>
      </c>
      <c r="H103">
        <v>1</v>
      </c>
    </row>
    <row r="104" spans="1:8" ht="12">
      <c r="A104" t="s">
        <v>136</v>
      </c>
      <c r="C104">
        <v>4</v>
      </c>
      <c r="D104">
        <v>72</v>
      </c>
      <c r="E104" s="12">
        <f t="shared" si="1"/>
        <v>18</v>
      </c>
      <c r="F104">
        <v>31</v>
      </c>
      <c r="G104">
        <v>0</v>
      </c>
      <c r="H104">
        <v>0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8" ht="12">
      <c r="A108" t="s">
        <v>146</v>
      </c>
      <c r="C108">
        <v>1</v>
      </c>
      <c r="D108">
        <v>15</v>
      </c>
      <c r="E108" s="12">
        <f t="shared" si="1"/>
        <v>15</v>
      </c>
      <c r="F108">
        <v>15</v>
      </c>
      <c r="G108">
        <v>0</v>
      </c>
      <c r="H108">
        <v>0</v>
      </c>
    </row>
    <row r="109" spans="1:8" ht="12">
      <c r="A109" t="s">
        <v>140</v>
      </c>
      <c r="C109">
        <v>2</v>
      </c>
      <c r="D109">
        <v>19</v>
      </c>
      <c r="E109" s="12">
        <f t="shared" si="1"/>
        <v>9.5</v>
      </c>
      <c r="F109">
        <v>20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39</v>
      </c>
      <c r="D123">
        <v>22</v>
      </c>
      <c r="E123" s="12">
        <f t="shared" si="2"/>
        <v>56.41025641025641</v>
      </c>
      <c r="F123">
        <v>252</v>
      </c>
      <c r="G123">
        <v>1</v>
      </c>
      <c r="H123">
        <v>33</v>
      </c>
      <c r="I123">
        <v>2</v>
      </c>
      <c r="J123" s="8">
        <f t="shared" si="3"/>
        <v>2.564102564102564</v>
      </c>
      <c r="K123" s="12">
        <f t="shared" si="4"/>
        <v>5.128205128205128</v>
      </c>
      <c r="L123" s="12">
        <f t="shared" si="5"/>
        <v>6.461538461538462</v>
      </c>
      <c r="M123" s="12">
        <f t="shared" si="6"/>
        <v>63.19444444444445</v>
      </c>
      <c r="N123">
        <v>0</v>
      </c>
      <c r="O123">
        <v>0</v>
      </c>
      <c r="R123">
        <f t="shared" si="7"/>
        <v>1.3205128205128205</v>
      </c>
      <c r="S123" s="2">
        <f t="shared" si="8"/>
        <v>1.3205128205128205</v>
      </c>
      <c r="T123" s="6">
        <f t="shared" si="9"/>
        <v>0.8653846153846154</v>
      </c>
      <c r="U123" s="2">
        <f t="shared" si="10"/>
        <v>0.8653846153846154</v>
      </c>
      <c r="V123">
        <f t="shared" si="11"/>
        <v>0.5128205128205128</v>
      </c>
      <c r="W123" s="2">
        <f t="shared" si="12"/>
        <v>0.5128205128205128</v>
      </c>
      <c r="X123">
        <f t="shared" si="13"/>
        <v>1.092948717948718</v>
      </c>
      <c r="Y123" s="2">
        <f t="shared" si="14"/>
        <v>1.092948717948718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C125">
        <v>0</v>
      </c>
      <c r="D125">
        <v>0</v>
      </c>
      <c r="E125" s="12" t="e">
        <f t="shared" si="2"/>
        <v>#DIV/0!</v>
      </c>
      <c r="F125">
        <v>0</v>
      </c>
      <c r="G125">
        <v>0</v>
      </c>
      <c r="H125">
        <v>0</v>
      </c>
      <c r="I125">
        <v>0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N125">
        <v>0</v>
      </c>
      <c r="O125">
        <v>1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6" ht="12">
      <c r="A131" t="s">
        <v>148</v>
      </c>
      <c r="F131" s="12" t="e">
        <f aca="true" t="shared" si="15" ref="F131:F136">+E131/C131</f>
        <v>#DIV/0!</v>
      </c>
    </row>
    <row r="132" spans="1:6" ht="12">
      <c r="A132" t="s">
        <v>149</v>
      </c>
      <c r="D132">
        <v>1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6" ht="12">
      <c r="A141" t="s">
        <v>148</v>
      </c>
      <c r="C141">
        <v>1</v>
      </c>
      <c r="D141">
        <v>30</v>
      </c>
      <c r="E141" s="12">
        <f aca="true" t="shared" si="16" ref="E141:E146">+D141/C141</f>
        <v>30</v>
      </c>
      <c r="F141">
        <v>30</v>
      </c>
    </row>
    <row r="142" spans="1:5" ht="12">
      <c r="A142" t="s">
        <v>150</v>
      </c>
      <c r="E142" s="12" t="e">
        <f t="shared" si="16"/>
        <v>#DIV/0!</v>
      </c>
    </row>
    <row r="143" spans="1:6" ht="12">
      <c r="A143" t="s">
        <v>139</v>
      </c>
      <c r="C143">
        <v>2</v>
      </c>
      <c r="D143">
        <f>12+27</f>
        <v>39</v>
      </c>
      <c r="E143" s="12">
        <f t="shared" si="16"/>
        <v>19.5</v>
      </c>
      <c r="F143">
        <v>27</v>
      </c>
    </row>
    <row r="144" spans="1:6" ht="12">
      <c r="A144" t="s">
        <v>140</v>
      </c>
      <c r="C144">
        <v>1</v>
      </c>
      <c r="D144">
        <v>27</v>
      </c>
      <c r="E144" s="12">
        <f t="shared" si="16"/>
        <v>27</v>
      </c>
      <c r="F144">
        <v>27</v>
      </c>
    </row>
    <row r="145" spans="1:6" ht="12">
      <c r="A145" t="s">
        <v>142</v>
      </c>
      <c r="C145">
        <v>1</v>
      </c>
      <c r="D145">
        <v>18</v>
      </c>
      <c r="E145" s="12">
        <f t="shared" si="16"/>
        <v>18</v>
      </c>
      <c r="F145">
        <v>18</v>
      </c>
    </row>
    <row r="146" spans="1:6" ht="12">
      <c r="A146" t="s">
        <v>151</v>
      </c>
      <c r="C146">
        <v>1</v>
      </c>
      <c r="D146">
        <v>19</v>
      </c>
      <c r="E146" s="12">
        <f t="shared" si="16"/>
        <v>19</v>
      </c>
      <c r="F146">
        <v>19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3</v>
      </c>
      <c r="D158">
        <f>29+37+31</f>
        <v>97</v>
      </c>
      <c r="F158">
        <v>37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6" ht="12">
      <c r="A164" t="s">
        <v>153</v>
      </c>
      <c r="C164">
        <v>6</v>
      </c>
      <c r="D164">
        <v>1</v>
      </c>
      <c r="E164">
        <v>2</v>
      </c>
      <c r="F164">
        <v>2</v>
      </c>
      <c r="G164">
        <v>3</v>
      </c>
      <c r="H164">
        <v>2</v>
      </c>
      <c r="I164" s="12">
        <f aca="true" t="shared" si="18" ref="I164:I171">+H164/G164*100</f>
        <v>66.66666666666666</v>
      </c>
      <c r="J164">
        <v>27</v>
      </c>
      <c r="N164">
        <v>2</v>
      </c>
      <c r="O164">
        <v>2</v>
      </c>
      <c r="P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6" ht="12">
      <c r="A177" t="s">
        <v>148</v>
      </c>
      <c r="C177">
        <v>1</v>
      </c>
      <c r="D177">
        <v>1</v>
      </c>
      <c r="E177" s="12">
        <f t="shared" si="19"/>
        <v>1</v>
      </c>
      <c r="F177">
        <v>1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6" ht="12">
      <c r="A180" t="s">
        <v>141</v>
      </c>
      <c r="C180">
        <v>1</v>
      </c>
      <c r="D180">
        <v>26</v>
      </c>
      <c r="E180" s="12">
        <f t="shared" si="19"/>
        <v>26</v>
      </c>
      <c r="F180">
        <v>26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/>
      <c r="D190" s="3"/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>
        <v>1</v>
      </c>
      <c r="D193" s="3">
        <v>19</v>
      </c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>
        <v>1</v>
      </c>
      <c r="D196" s="3">
        <v>8</v>
      </c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>
        <v>1</v>
      </c>
      <c r="D198" s="3">
        <v>1</v>
      </c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6" sqref="A126:G12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16</v>
      </c>
      <c r="H6" s="1" t="s">
        <v>29</v>
      </c>
      <c r="M6" s="2">
        <v>15</v>
      </c>
    </row>
    <row r="7" spans="1:13" ht="12">
      <c r="A7" s="16" t="s">
        <v>95</v>
      </c>
      <c r="D7" s="2">
        <v>4</v>
      </c>
      <c r="H7" s="16" t="s">
        <v>95</v>
      </c>
      <c r="M7" s="2">
        <v>7</v>
      </c>
    </row>
    <row r="8" spans="1:13" ht="12">
      <c r="A8" s="16" t="s">
        <v>96</v>
      </c>
      <c r="D8" s="2">
        <v>7</v>
      </c>
      <c r="H8" s="16" t="s">
        <v>96</v>
      </c>
      <c r="M8" s="2">
        <v>8</v>
      </c>
    </row>
    <row r="9" spans="1:13" ht="12">
      <c r="A9" s="16" t="s">
        <v>97</v>
      </c>
      <c r="D9" s="2">
        <v>5</v>
      </c>
      <c r="H9" s="16" t="s">
        <v>97</v>
      </c>
      <c r="M9" s="2">
        <v>0</v>
      </c>
    </row>
    <row r="10" spans="1:14" ht="12">
      <c r="A10" s="18" t="s">
        <v>108</v>
      </c>
      <c r="C10">
        <v>3</v>
      </c>
      <c r="D10" s="2">
        <v>11</v>
      </c>
      <c r="E10" s="19">
        <f>+C10/D10</f>
        <v>0.2727272727272727</v>
      </c>
      <c r="H10" s="18" t="s">
        <v>108</v>
      </c>
      <c r="L10">
        <v>6</v>
      </c>
      <c r="M10" s="2">
        <v>16</v>
      </c>
      <c r="N10" s="19">
        <f>+L10/M10</f>
        <v>0.375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1</v>
      </c>
      <c r="M11" s="2">
        <v>2</v>
      </c>
      <c r="N11" s="19"/>
    </row>
    <row r="13" spans="1:23" ht="12">
      <c r="A13" t="s">
        <v>1</v>
      </c>
      <c r="D13" s="2">
        <f>5+5+7+1+4+1</f>
        <v>23</v>
      </c>
      <c r="H13" t="s">
        <v>1</v>
      </c>
      <c r="M13" s="2">
        <f>13+11+3+2</f>
        <v>29</v>
      </c>
      <c r="V13">
        <f>+D13</f>
        <v>23</v>
      </c>
      <c r="W13">
        <f>+M13</f>
        <v>29</v>
      </c>
    </row>
    <row r="14" spans="1:23" ht="12">
      <c r="A14" t="s">
        <v>2</v>
      </c>
      <c r="D14" s="2">
        <f>24+19+23+0+6+1</f>
        <v>73</v>
      </c>
      <c r="H14" t="s">
        <v>2</v>
      </c>
      <c r="M14" s="2">
        <f>49+43+8+18</f>
        <v>118</v>
      </c>
      <c r="P14" s="13"/>
      <c r="U14" s="13"/>
      <c r="V14">
        <f>+D18</f>
        <v>17</v>
      </c>
      <c r="W14">
        <f>+M18</f>
        <v>17</v>
      </c>
    </row>
    <row r="15" spans="1:23" ht="12">
      <c r="A15" s="1" t="s">
        <v>3</v>
      </c>
      <c r="D15" s="8">
        <f>+D14/D13</f>
        <v>3.1739130434782608</v>
      </c>
      <c r="H15" s="1" t="s">
        <v>3</v>
      </c>
      <c r="M15" s="8">
        <f>+M14/M13</f>
        <v>4.068965517241379</v>
      </c>
      <c r="V15">
        <f>+(D17-D18)/2</f>
        <v>11</v>
      </c>
      <c r="W15">
        <f>+(M17-M18)/2</f>
        <v>7</v>
      </c>
    </row>
    <row r="16" spans="22:23" ht="12">
      <c r="V16">
        <f>+D40/2</f>
        <v>3</v>
      </c>
      <c r="W16">
        <f>+M40/2</f>
        <v>3.5</v>
      </c>
    </row>
    <row r="17" spans="1:23" ht="12">
      <c r="A17" t="s">
        <v>4</v>
      </c>
      <c r="D17" s="2">
        <v>39</v>
      </c>
      <c r="H17" t="s">
        <v>4</v>
      </c>
      <c r="M17" s="2">
        <v>31</v>
      </c>
      <c r="V17">
        <f>+D44/2</f>
        <v>3</v>
      </c>
      <c r="W17">
        <f>+M44/2</f>
        <v>1.5</v>
      </c>
    </row>
    <row r="18" spans="1:23" ht="12">
      <c r="A18" t="s">
        <v>5</v>
      </c>
      <c r="D18" s="2">
        <v>17</v>
      </c>
      <c r="H18" t="s">
        <v>5</v>
      </c>
      <c r="M18" s="2">
        <v>17</v>
      </c>
      <c r="V18">
        <f>+D50/2</f>
        <v>2.5</v>
      </c>
      <c r="W18">
        <f>+M50/2</f>
        <v>2</v>
      </c>
    </row>
    <row r="19" spans="1:13" ht="12">
      <c r="A19" t="s">
        <v>6</v>
      </c>
      <c r="D19" s="8">
        <f>+D18/D17*100</f>
        <v>43.58974358974359</v>
      </c>
      <c r="H19" t="s">
        <v>6</v>
      </c>
      <c r="M19" s="8">
        <f>+M18/M17*100</f>
        <v>54.83870967741935</v>
      </c>
    </row>
    <row r="20" spans="1:24" ht="12">
      <c r="A20" t="s">
        <v>7</v>
      </c>
      <c r="D20" s="2">
        <f>189+34</f>
        <v>223</v>
      </c>
      <c r="H20" t="s">
        <v>7</v>
      </c>
      <c r="M20" s="2">
        <v>249</v>
      </c>
      <c r="V20">
        <f>SUM(V13:V18)</f>
        <v>59.5</v>
      </c>
      <c r="W20">
        <f>SUM(W13:W18)</f>
        <v>60</v>
      </c>
      <c r="X20">
        <f>+W20+V20</f>
        <v>119.5</v>
      </c>
    </row>
    <row r="21" spans="1:23" ht="12">
      <c r="A21" t="s">
        <v>8</v>
      </c>
      <c r="D21" s="2">
        <v>3</v>
      </c>
      <c r="H21" t="s">
        <v>8</v>
      </c>
      <c r="M21" s="2">
        <v>3</v>
      </c>
      <c r="V21">
        <f>+V20/X20</f>
        <v>0.497907949790795</v>
      </c>
      <c r="W21">
        <f>+W20/X20</f>
        <v>0.502092050209205</v>
      </c>
    </row>
    <row r="22" spans="1:23" ht="12">
      <c r="A22" t="s">
        <v>9</v>
      </c>
      <c r="D22" s="2">
        <f>9+9+7</f>
        <v>25</v>
      </c>
      <c r="H22" t="s">
        <v>9</v>
      </c>
      <c r="M22" s="2">
        <f>13+5+8</f>
        <v>26</v>
      </c>
      <c r="V22">
        <f>+V21*60</f>
        <v>29.8744769874477</v>
      </c>
      <c r="W22">
        <f>+W21*60</f>
        <v>30.1255230125523</v>
      </c>
    </row>
    <row r="23" spans="1:23" ht="12">
      <c r="A23" t="s">
        <v>10</v>
      </c>
      <c r="D23">
        <f>+D20-D22</f>
        <v>198</v>
      </c>
      <c r="H23" t="s">
        <v>10</v>
      </c>
      <c r="M23">
        <f>+M20-M22</f>
        <v>223</v>
      </c>
      <c r="V23">
        <f>+V22-INT(V22)</f>
        <v>0.8744769874477001</v>
      </c>
      <c r="W23">
        <f>+W22-INT(W22)</f>
        <v>0.12552301255229992</v>
      </c>
    </row>
    <row r="24" spans="1:23" ht="12">
      <c r="A24" t="s">
        <v>11</v>
      </c>
      <c r="D24" s="7">
        <f>+D23/(D17+D21)</f>
        <v>4.714285714285714</v>
      </c>
      <c r="H24" t="s">
        <v>11</v>
      </c>
      <c r="M24" s="7">
        <f>+M23/(M17+M21)</f>
        <v>6.5588235294117645</v>
      </c>
      <c r="V24">
        <f>+V23*60</f>
        <v>52.468619246862005</v>
      </c>
      <c r="W24">
        <f>+W23*60</f>
        <v>7.531380753137995</v>
      </c>
    </row>
    <row r="25" spans="1:23" ht="12">
      <c r="A25" t="s">
        <v>12</v>
      </c>
      <c r="D25" s="7">
        <f>+D20/D18</f>
        <v>13.117647058823529</v>
      </c>
      <c r="H25" t="s">
        <v>12</v>
      </c>
      <c r="M25" s="7">
        <f>+M20/M18</f>
        <v>14.647058823529411</v>
      </c>
      <c r="Q25" s="11"/>
      <c r="U25">
        <v>0</v>
      </c>
      <c r="V25" s="11">
        <f>ROUND(V24,0)</f>
        <v>52</v>
      </c>
      <c r="W25">
        <f>ROUND(W24,0)</f>
        <v>8</v>
      </c>
    </row>
    <row r="26" spans="22:23" ht="12">
      <c r="V26">
        <f>INT(V22)</f>
        <v>29</v>
      </c>
      <c r="W26">
        <f>INT(W22)</f>
        <v>30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271</v>
      </c>
      <c r="H28" t="s">
        <v>14</v>
      </c>
      <c r="M28">
        <f>+M23+M14</f>
        <v>341</v>
      </c>
      <c r="Q28" s="14"/>
      <c r="R28" s="9"/>
      <c r="V28" s="14" t="str">
        <f>+V26&amp;V27&amp;V25</f>
        <v>29:52</v>
      </c>
      <c r="W28" s="9" t="str">
        <f>+W26&amp;W27&amp;W25</f>
        <v>30:8</v>
      </c>
    </row>
    <row r="29" spans="1:23" ht="12">
      <c r="A29" t="s">
        <v>15</v>
      </c>
      <c r="D29" s="7">
        <f>+D14/D28*100</f>
        <v>26.937269372693727</v>
      </c>
      <c r="H29" t="s">
        <v>15</v>
      </c>
      <c r="M29" s="7">
        <f>+M14/M28*100</f>
        <v>34.60410557184751</v>
      </c>
      <c r="Q29" s="9"/>
      <c r="R29" s="9"/>
      <c r="V29" s="9" t="str">
        <f>IF(V25&lt;10,+V26&amp;V27&amp;$U$25&amp;V25,+V26&amp;V27&amp;V25)</f>
        <v>29:52</v>
      </c>
      <c r="W29" s="9" t="str">
        <f>IF(W25&lt;10,+W26&amp;W27&amp;$U$25&amp;W25,+W26&amp;W27&amp;W25)</f>
        <v>30:08</v>
      </c>
    </row>
    <row r="30" spans="1:16" ht="12">
      <c r="A30" s="1" t="s">
        <v>90</v>
      </c>
      <c r="D30" s="7">
        <f>+D23/D28*100</f>
        <v>73.06273062730627</v>
      </c>
      <c r="H30" s="1" t="s">
        <v>90</v>
      </c>
      <c r="M30" s="7">
        <f>+M23/M28*100</f>
        <v>65.39589442815249</v>
      </c>
      <c r="P30" s="13"/>
    </row>
    <row r="32" spans="1:13" ht="12">
      <c r="A32" t="s">
        <v>16</v>
      </c>
      <c r="D32">
        <f>+D13+D17+D21</f>
        <v>65</v>
      </c>
      <c r="H32" t="s">
        <v>16</v>
      </c>
      <c r="M32">
        <f>+M13+M17+M21</f>
        <v>63</v>
      </c>
    </row>
    <row r="33" spans="1:13" ht="12">
      <c r="A33" t="s">
        <v>17</v>
      </c>
      <c r="D33" s="8">
        <f>+D28/D32</f>
        <v>4.1692307692307695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5.412698412698413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0</v>
      </c>
    </row>
    <row r="37" spans="1:13" ht="12">
      <c r="A37" t="s">
        <v>20</v>
      </c>
      <c r="D37" s="2">
        <v>27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6</v>
      </c>
      <c r="H40" t="s">
        <v>22</v>
      </c>
      <c r="M40" s="2">
        <v>7</v>
      </c>
    </row>
    <row r="41" spans="1:13" ht="12">
      <c r="A41" t="s">
        <v>23</v>
      </c>
      <c r="D41" s="2">
        <f>40+33+32+32+23+54</f>
        <v>214</v>
      </c>
      <c r="H41" t="s">
        <v>23</v>
      </c>
      <c r="M41" s="2">
        <f>52+37+48+41+41+48+37</f>
        <v>304</v>
      </c>
    </row>
    <row r="42" spans="1:13" ht="12">
      <c r="A42" t="s">
        <v>24</v>
      </c>
      <c r="D42" s="8">
        <f>+D41/D40</f>
        <v>35.666666666666664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43.42857142857143</v>
      </c>
    </row>
    <row r="44" spans="1:13" ht="12">
      <c r="A44" t="s">
        <v>25</v>
      </c>
      <c r="D44" s="2">
        <v>6</v>
      </c>
      <c r="H44" t="s">
        <v>25</v>
      </c>
      <c r="M44" s="2">
        <v>3</v>
      </c>
    </row>
    <row r="45" spans="1:13" ht="12">
      <c r="A45" t="s">
        <v>26</v>
      </c>
      <c r="D45" s="2">
        <f>7+32+18+38+17+10</f>
        <v>122</v>
      </c>
      <c r="H45" t="s">
        <v>26</v>
      </c>
      <c r="M45" s="2">
        <f>1+17+10</f>
        <v>28</v>
      </c>
    </row>
    <row r="46" spans="1:13" ht="12">
      <c r="A46" t="s">
        <v>27</v>
      </c>
      <c r="D46" s="8">
        <f>+D45/D44</f>
        <v>20.333333333333332</v>
      </c>
      <c r="H46" t="s">
        <v>27</v>
      </c>
      <c r="M46" s="8">
        <f>+M45/M44</f>
        <v>9.333333333333334</v>
      </c>
    </row>
    <row r="47" spans="1:13" ht="12">
      <c r="A47" s="18" t="s">
        <v>131</v>
      </c>
      <c r="D47" s="2">
        <v>1</v>
      </c>
      <c r="H47" s="18" t="s">
        <v>131</v>
      </c>
      <c r="M47" s="2">
        <v>3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4</v>
      </c>
    </row>
    <row r="51" spans="1:13" ht="12">
      <c r="A51" t="s">
        <v>26</v>
      </c>
      <c r="D51" s="2">
        <f>14+5+21+21+12</f>
        <v>73</v>
      </c>
      <c r="H51" t="s">
        <v>26</v>
      </c>
      <c r="M51" s="2">
        <f>34+18+5+27</f>
        <v>84</v>
      </c>
    </row>
    <row r="52" spans="1:13" ht="12">
      <c r="A52" t="s">
        <v>27</v>
      </c>
      <c r="D52" s="8">
        <f>+D51/D50</f>
        <v>14.6</v>
      </c>
      <c r="H52" t="s">
        <v>27</v>
      </c>
      <c r="M52" s="8">
        <f>+M51/M50</f>
        <v>21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5</v>
      </c>
      <c r="G55" t="str">
        <f>IF(D55-D56=M50,"ok","err")</f>
        <v>ok</v>
      </c>
      <c r="H55" t="s">
        <v>127</v>
      </c>
      <c r="K55" s="2"/>
      <c r="M55" s="2">
        <v>6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0.2</v>
      </c>
      <c r="H57" t="s">
        <v>129</v>
      </c>
      <c r="M57">
        <f>+M56/M55</f>
        <v>0.16666666666666666</v>
      </c>
    </row>
    <row r="59" spans="1:13" ht="12">
      <c r="A59" t="s">
        <v>31</v>
      </c>
      <c r="D59" s="2">
        <v>5</v>
      </c>
      <c r="H59" t="s">
        <v>31</v>
      </c>
      <c r="M59" s="2">
        <v>11</v>
      </c>
    </row>
    <row r="60" spans="1:13" ht="12">
      <c r="A60" t="s">
        <v>32</v>
      </c>
      <c r="D60" s="2">
        <v>55</v>
      </c>
      <c r="H60" t="s">
        <v>32</v>
      </c>
      <c r="M60" s="2">
        <v>140</v>
      </c>
    </row>
    <row r="62" spans="1:13" ht="12">
      <c r="A62" t="s">
        <v>33</v>
      </c>
      <c r="D62" s="2">
        <v>2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2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20</v>
      </c>
      <c r="H68" t="s">
        <v>38</v>
      </c>
      <c r="M68" s="2">
        <v>31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4</v>
      </c>
    </row>
    <row r="70" spans="1:13" ht="12">
      <c r="A70" t="s">
        <v>40</v>
      </c>
      <c r="D70" s="2">
        <v>0</v>
      </c>
      <c r="H70" t="s">
        <v>40</v>
      </c>
      <c r="M70" s="2">
        <v>1</v>
      </c>
    </row>
    <row r="71" spans="1:13" ht="12">
      <c r="A71" t="s">
        <v>41</v>
      </c>
      <c r="D71" s="2">
        <v>2</v>
      </c>
      <c r="H71" t="s">
        <v>41</v>
      </c>
      <c r="M71" s="2">
        <v>3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4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66.66666666666666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100</v>
      </c>
    </row>
    <row r="79" spans="1:13" ht="12">
      <c r="A79" t="s">
        <v>93</v>
      </c>
      <c r="D79" s="10" t="str">
        <f>IF(V25&lt;10,V29,V28)</f>
        <v>29:52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4</v>
      </c>
      <c r="D87">
        <v>6</v>
      </c>
      <c r="E87" s="12">
        <f t="shared" si="0"/>
        <v>1.5</v>
      </c>
      <c r="F87">
        <v>2</v>
      </c>
      <c r="G87">
        <v>0</v>
      </c>
      <c r="H87">
        <v>1</v>
      </c>
    </row>
    <row r="88" spans="1:8" ht="12">
      <c r="A88" t="s">
        <v>138</v>
      </c>
      <c r="C88">
        <v>5</v>
      </c>
      <c r="D88">
        <v>19</v>
      </c>
      <c r="E88" s="12">
        <f t="shared" si="0"/>
        <v>3.8</v>
      </c>
      <c r="F88">
        <v>11</v>
      </c>
      <c r="G88">
        <v>0</v>
      </c>
      <c r="H88">
        <v>0</v>
      </c>
    </row>
    <row r="89" spans="1:8" ht="12">
      <c r="A89" t="s">
        <v>139</v>
      </c>
      <c r="C89">
        <v>7</v>
      </c>
      <c r="D89">
        <v>23</v>
      </c>
      <c r="E89" s="12">
        <f t="shared" si="0"/>
        <v>3.2857142857142856</v>
      </c>
      <c r="F89">
        <v>26</v>
      </c>
      <c r="G89">
        <v>0</v>
      </c>
      <c r="H89">
        <v>0</v>
      </c>
    </row>
    <row r="90" spans="1:8" ht="12">
      <c r="A90" t="s">
        <v>140</v>
      </c>
      <c r="C90">
        <v>5</v>
      </c>
      <c r="D90">
        <v>24</v>
      </c>
      <c r="E90" s="12">
        <f t="shared" si="0"/>
        <v>4.8</v>
      </c>
      <c r="F90">
        <v>11</v>
      </c>
      <c r="G90">
        <v>0</v>
      </c>
      <c r="H90">
        <v>0</v>
      </c>
    </row>
    <row r="91" spans="1:5" ht="12">
      <c r="A91" t="s">
        <v>141</v>
      </c>
      <c r="E91" s="12" t="e">
        <f t="shared" si="0"/>
        <v>#DIV/0!</v>
      </c>
    </row>
    <row r="92" spans="1:8" ht="12">
      <c r="A92" t="s">
        <v>142</v>
      </c>
      <c r="C92">
        <v>1</v>
      </c>
      <c r="D92">
        <v>0</v>
      </c>
      <c r="E92" s="12">
        <f t="shared" si="0"/>
        <v>0</v>
      </c>
      <c r="F92">
        <v>0</v>
      </c>
      <c r="G92">
        <v>0</v>
      </c>
      <c r="H92">
        <v>0</v>
      </c>
    </row>
    <row r="93" spans="1:8" ht="12">
      <c r="A93" t="s">
        <v>143</v>
      </c>
      <c r="C93">
        <v>1</v>
      </c>
      <c r="D93">
        <v>1</v>
      </c>
      <c r="E93" s="12">
        <f>+D93/C93</f>
        <v>1</v>
      </c>
      <c r="F93">
        <v>1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7</v>
      </c>
      <c r="D101">
        <v>142</v>
      </c>
      <c r="E101" s="12">
        <f aca="true" t="shared" si="1" ref="E101:E112">+D101/C101</f>
        <v>20.285714285714285</v>
      </c>
      <c r="F101">
        <v>77</v>
      </c>
      <c r="G101">
        <v>2</v>
      </c>
      <c r="H101">
        <v>0</v>
      </c>
    </row>
    <row r="102" spans="1:8" ht="12">
      <c r="A102" t="s">
        <v>135</v>
      </c>
      <c r="C102">
        <v>1</v>
      </c>
      <c r="D102">
        <v>27</v>
      </c>
      <c r="E102" s="12">
        <f t="shared" si="1"/>
        <v>27</v>
      </c>
      <c r="F102">
        <v>27</v>
      </c>
      <c r="G102">
        <v>0</v>
      </c>
      <c r="H102">
        <v>0</v>
      </c>
    </row>
    <row r="103" spans="1:8" ht="12">
      <c r="A103" t="s">
        <v>144</v>
      </c>
      <c r="C103">
        <v>5</v>
      </c>
      <c r="D103">
        <v>22</v>
      </c>
      <c r="E103" s="12">
        <f t="shared" si="1"/>
        <v>4.4</v>
      </c>
      <c r="F103">
        <v>9</v>
      </c>
      <c r="G103">
        <v>0</v>
      </c>
      <c r="H103">
        <v>0</v>
      </c>
    </row>
    <row r="104" spans="1:8" ht="12">
      <c r="A104" t="s">
        <v>136</v>
      </c>
      <c r="C104">
        <v>1</v>
      </c>
      <c r="D104">
        <v>15</v>
      </c>
      <c r="E104" s="12">
        <f t="shared" si="1"/>
        <v>15</v>
      </c>
      <c r="F104">
        <v>15</v>
      </c>
      <c r="G104">
        <v>0</v>
      </c>
      <c r="H104">
        <v>0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5" ht="12">
      <c r="A107" t="s">
        <v>145</v>
      </c>
      <c r="E107" s="12" t="e">
        <f t="shared" si="1"/>
        <v>#DIV/0!</v>
      </c>
    </row>
    <row r="108" spans="1:8" ht="12">
      <c r="A108" t="s">
        <v>146</v>
      </c>
      <c r="C108">
        <v>1</v>
      </c>
      <c r="D108">
        <v>3</v>
      </c>
      <c r="E108" s="12">
        <f t="shared" si="1"/>
        <v>3</v>
      </c>
      <c r="F108">
        <v>3</v>
      </c>
      <c r="G108">
        <v>0</v>
      </c>
      <c r="H108">
        <v>0</v>
      </c>
    </row>
    <row r="109" spans="1:8" ht="12">
      <c r="A109" t="s">
        <v>140</v>
      </c>
      <c r="C109">
        <v>2</v>
      </c>
      <c r="D109">
        <v>14</v>
      </c>
      <c r="E109" s="12">
        <f t="shared" si="1"/>
        <v>7</v>
      </c>
      <c r="F109">
        <v>20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32</v>
      </c>
      <c r="D123">
        <v>15</v>
      </c>
      <c r="E123" s="12">
        <f t="shared" si="2"/>
        <v>46.875</v>
      </c>
      <c r="F123">
        <v>189</v>
      </c>
      <c r="G123">
        <v>2</v>
      </c>
      <c r="H123">
        <v>77</v>
      </c>
      <c r="I123">
        <v>1</v>
      </c>
      <c r="J123" s="8">
        <f t="shared" si="3"/>
        <v>6.25</v>
      </c>
      <c r="K123" s="12">
        <f t="shared" si="4"/>
        <v>3.125</v>
      </c>
      <c r="L123" s="12">
        <f t="shared" si="5"/>
        <v>5.90625</v>
      </c>
      <c r="M123" s="12">
        <f t="shared" si="6"/>
        <v>73.56770833333333</v>
      </c>
      <c r="N123">
        <v>0</v>
      </c>
      <c r="O123">
        <v>3</v>
      </c>
      <c r="R123">
        <f t="shared" si="7"/>
        <v>0.84375</v>
      </c>
      <c r="S123" s="2">
        <f t="shared" si="8"/>
        <v>0.84375</v>
      </c>
      <c r="T123" s="6">
        <f t="shared" si="9"/>
        <v>0.7265625</v>
      </c>
      <c r="U123" s="2">
        <f t="shared" si="10"/>
        <v>0.7265625</v>
      </c>
      <c r="V123">
        <f t="shared" si="11"/>
        <v>1.25</v>
      </c>
      <c r="W123" s="2">
        <f t="shared" si="12"/>
        <v>1.25</v>
      </c>
      <c r="X123">
        <f t="shared" si="13"/>
        <v>1.59375</v>
      </c>
      <c r="Y123" s="2">
        <f t="shared" si="14"/>
        <v>1.59375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C126">
        <v>7</v>
      </c>
      <c r="D126">
        <v>2</v>
      </c>
      <c r="E126" s="12">
        <f t="shared" si="2"/>
        <v>28.57142857142857</v>
      </c>
      <c r="F126">
        <v>34</v>
      </c>
      <c r="G126">
        <v>0</v>
      </c>
      <c r="H126">
        <v>19</v>
      </c>
      <c r="I126">
        <v>1</v>
      </c>
      <c r="J126" s="8">
        <f t="shared" si="3"/>
        <v>0</v>
      </c>
      <c r="K126" s="12">
        <f t="shared" si="4"/>
        <v>14.285714285714285</v>
      </c>
      <c r="L126" s="12">
        <f t="shared" si="5"/>
        <v>4.857142857142857</v>
      </c>
      <c r="M126" s="12">
        <f t="shared" si="6"/>
        <v>7.738095238095236</v>
      </c>
      <c r="N126">
        <v>0</v>
      </c>
      <c r="O126">
        <v>0</v>
      </c>
      <c r="R126">
        <f t="shared" si="7"/>
        <v>-0.07142857142857154</v>
      </c>
      <c r="S126" s="2">
        <f t="shared" si="8"/>
        <v>0</v>
      </c>
      <c r="T126" s="6">
        <f t="shared" si="9"/>
        <v>0.4642857142857142</v>
      </c>
      <c r="U126" s="2">
        <f t="shared" si="10"/>
        <v>0.4642857142857142</v>
      </c>
      <c r="V126">
        <f t="shared" si="11"/>
        <v>0</v>
      </c>
      <c r="W126" s="2">
        <f t="shared" si="12"/>
        <v>0</v>
      </c>
      <c r="X126">
        <f t="shared" si="13"/>
        <v>-1.1964285714285712</v>
      </c>
      <c r="Y126" s="2">
        <f t="shared" si="14"/>
        <v>0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6</v>
      </c>
      <c r="E131">
        <f>7+32+18+38+17+10</f>
        <v>122</v>
      </c>
      <c r="F131" s="12">
        <f aca="true" t="shared" si="15" ref="F131:F136">+E131/C131</f>
        <v>20.333333333333332</v>
      </c>
      <c r="G131">
        <v>38</v>
      </c>
    </row>
    <row r="132" spans="1:6" ht="12">
      <c r="A132" t="s">
        <v>149</v>
      </c>
      <c r="D132">
        <v>1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6" ht="12">
      <c r="A143" t="s">
        <v>139</v>
      </c>
      <c r="C143">
        <v>1</v>
      </c>
      <c r="D143">
        <v>12</v>
      </c>
      <c r="E143" s="12">
        <f t="shared" si="16"/>
        <v>12</v>
      </c>
      <c r="F143">
        <v>12</v>
      </c>
    </row>
    <row r="144" spans="1:6" ht="12">
      <c r="A144" t="s">
        <v>140</v>
      </c>
      <c r="C144">
        <v>1</v>
      </c>
      <c r="D144">
        <v>21</v>
      </c>
      <c r="E144" s="12">
        <f t="shared" si="16"/>
        <v>21</v>
      </c>
      <c r="F144">
        <v>21</v>
      </c>
    </row>
    <row r="145" spans="1:5" ht="12">
      <c r="A145" t="s">
        <v>142</v>
      </c>
      <c r="E145" s="12" t="e">
        <f t="shared" si="16"/>
        <v>#DIV/0!</v>
      </c>
    </row>
    <row r="146" spans="1:8" ht="12">
      <c r="A146" t="s">
        <v>151</v>
      </c>
      <c r="C146">
        <v>3</v>
      </c>
      <c r="D146">
        <f>14+5+21</f>
        <v>40</v>
      </c>
      <c r="E146" s="12">
        <f t="shared" si="16"/>
        <v>13.333333333333334</v>
      </c>
      <c r="F146">
        <v>21</v>
      </c>
      <c r="H146">
        <v>1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6</v>
      </c>
      <c r="D158">
        <f>40+33+32+32+23+54</f>
        <v>214</v>
      </c>
      <c r="F158">
        <v>54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8" ht="12">
      <c r="A164" t="s">
        <v>153</v>
      </c>
      <c r="C164">
        <v>5</v>
      </c>
      <c r="D164">
        <v>1</v>
      </c>
      <c r="E164">
        <v>2</v>
      </c>
      <c r="F164">
        <v>2</v>
      </c>
      <c r="G164">
        <v>3</v>
      </c>
      <c r="H164">
        <v>2</v>
      </c>
      <c r="I164" s="12">
        <f aca="true" t="shared" si="18" ref="I164:I171">+H164/G164*100</f>
        <v>66.66666666666666</v>
      </c>
      <c r="J164">
        <v>32</v>
      </c>
      <c r="L164">
        <v>1</v>
      </c>
      <c r="M164">
        <v>1</v>
      </c>
      <c r="P164">
        <v>1</v>
      </c>
      <c r="Q164">
        <v>1</v>
      </c>
      <c r="R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5" ht="12">
      <c r="A175" t="s">
        <v>154</v>
      </c>
      <c r="E175" s="12" t="e">
        <f>+D175/C175</f>
        <v>#DIV/0!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>
        <v>2</v>
      </c>
      <c r="D190" s="3">
        <v>21</v>
      </c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>
        <v>1</v>
      </c>
      <c r="D192" s="3">
        <v>5</v>
      </c>
    </row>
    <row r="193" spans="1:4" ht="12">
      <c r="A193" s="20" t="s">
        <v>159</v>
      </c>
      <c r="C193" s="3"/>
      <c r="D193" s="3"/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/>
      <c r="D195" s="3"/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spans="1:3" ht="12">
      <c r="A215" t="s">
        <v>157</v>
      </c>
      <c r="C215">
        <v>1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ht="12">
      <c r="A219" t="s">
        <v>167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7"/>
  <sheetViews>
    <sheetView zoomScale="125" zoomScaleNormal="125" workbookViewId="0" topLeftCell="A1">
      <selection activeCell="A123" sqref="A123:G126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San Diego Chargers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25</v>
      </c>
      <c r="H6" s="1" t="s">
        <v>29</v>
      </c>
      <c r="M6" s="2">
        <v>11</v>
      </c>
    </row>
    <row r="7" spans="1:13" ht="12">
      <c r="A7" s="16" t="s">
        <v>95</v>
      </c>
      <c r="D7" s="2">
        <v>12</v>
      </c>
      <c r="H7" s="16" t="s">
        <v>95</v>
      </c>
      <c r="M7" s="2">
        <v>5</v>
      </c>
    </row>
    <row r="8" spans="1:13" ht="12">
      <c r="A8" s="16" t="s">
        <v>96</v>
      </c>
      <c r="D8" s="2">
        <v>12</v>
      </c>
      <c r="H8" s="16" t="s">
        <v>96</v>
      </c>
      <c r="M8" s="2">
        <v>4</v>
      </c>
    </row>
    <row r="9" spans="1:13" ht="12">
      <c r="A9" s="16" t="s">
        <v>97</v>
      </c>
      <c r="D9" s="2">
        <v>1</v>
      </c>
      <c r="H9" s="16" t="s">
        <v>97</v>
      </c>
      <c r="M9" s="2">
        <v>2</v>
      </c>
    </row>
    <row r="10" spans="1:14" ht="12">
      <c r="A10" s="18" t="s">
        <v>108</v>
      </c>
      <c r="C10">
        <v>5</v>
      </c>
      <c r="D10" s="2">
        <v>11</v>
      </c>
      <c r="E10" s="19">
        <f>+C10/D10</f>
        <v>0.45454545454545453</v>
      </c>
      <c r="H10" s="18" t="s">
        <v>108</v>
      </c>
      <c r="L10">
        <v>1</v>
      </c>
      <c r="M10" s="2">
        <v>10</v>
      </c>
      <c r="N10" s="19">
        <f>+L10/M10</f>
        <v>0.1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2</v>
      </c>
      <c r="M11" s="2">
        <v>4</v>
      </c>
      <c r="N11" s="19"/>
    </row>
    <row r="13" spans="1:23" ht="12">
      <c r="A13" t="s">
        <v>1</v>
      </c>
      <c r="D13" s="2">
        <f>17+19+2+2+1+5+1+1</f>
        <v>48</v>
      </c>
      <c r="H13" t="s">
        <v>1</v>
      </c>
      <c r="M13" s="2">
        <f>6+7+1+2+1+3</f>
        <v>20</v>
      </c>
      <c r="V13">
        <f>+D13</f>
        <v>48</v>
      </c>
      <c r="W13">
        <f>+M13</f>
        <v>20</v>
      </c>
    </row>
    <row r="14" spans="1:23" ht="12">
      <c r="A14" t="s">
        <v>2</v>
      </c>
      <c r="D14" s="2">
        <f>92+69+4-5+4-1+45+0</f>
        <v>208</v>
      </c>
      <c r="H14" t="s">
        <v>2</v>
      </c>
      <c r="M14" s="2">
        <f>19+62+10+8-1+13</f>
        <v>111</v>
      </c>
      <c r="P14" s="13"/>
      <c r="U14" s="13"/>
      <c r="V14">
        <f>+D18</f>
        <v>18</v>
      </c>
      <c r="W14">
        <f>+M18</f>
        <v>17</v>
      </c>
    </row>
    <row r="15" spans="1:23" ht="12">
      <c r="A15" s="1" t="s">
        <v>3</v>
      </c>
      <c r="D15" s="8">
        <f>+D14/D13</f>
        <v>4.333333333333333</v>
      </c>
      <c r="H15" s="1" t="s">
        <v>3</v>
      </c>
      <c r="M15" s="8">
        <f>+M14/M13</f>
        <v>5.55</v>
      </c>
      <c r="V15">
        <f>+(D17-D18)/2</f>
        <v>6</v>
      </c>
      <c r="W15">
        <f>+(M17-M18)/2</f>
        <v>10.5</v>
      </c>
    </row>
    <row r="16" spans="22:23" ht="12">
      <c r="V16">
        <f>+D40/2</f>
        <v>2</v>
      </c>
      <c r="W16">
        <f>+M40/2</f>
        <v>2.5</v>
      </c>
    </row>
    <row r="17" spans="1:23" ht="12">
      <c r="A17" t="s">
        <v>4</v>
      </c>
      <c r="D17" s="2">
        <v>30</v>
      </c>
      <c r="H17" t="s">
        <v>4</v>
      </c>
      <c r="M17" s="2">
        <v>38</v>
      </c>
      <c r="V17">
        <f>+D44/2</f>
        <v>2.5</v>
      </c>
      <c r="W17">
        <f>+M44/2</f>
        <v>1</v>
      </c>
    </row>
    <row r="18" spans="1:23" ht="12">
      <c r="A18" t="s">
        <v>5</v>
      </c>
      <c r="D18" s="2">
        <v>18</v>
      </c>
      <c r="H18" t="s">
        <v>5</v>
      </c>
      <c r="M18" s="2">
        <v>17</v>
      </c>
      <c r="V18">
        <f>+D50/2</f>
        <v>1</v>
      </c>
      <c r="W18">
        <f>+M50/2</f>
        <v>3</v>
      </c>
    </row>
    <row r="19" spans="1:13" ht="12">
      <c r="A19" t="s">
        <v>6</v>
      </c>
      <c r="D19" s="8">
        <f>+D18/D17*100</f>
        <v>60</v>
      </c>
      <c r="H19" t="s">
        <v>6</v>
      </c>
      <c r="M19" s="8">
        <f>+M18/M17*100</f>
        <v>44.73684210526316</v>
      </c>
    </row>
    <row r="20" spans="1:24" ht="12">
      <c r="A20" t="s">
        <v>7</v>
      </c>
      <c r="D20" s="2">
        <v>272</v>
      </c>
      <c r="H20" t="s">
        <v>7</v>
      </c>
      <c r="M20" s="2">
        <v>171</v>
      </c>
      <c r="V20">
        <f>SUM(V13:V18)</f>
        <v>77.5</v>
      </c>
      <c r="W20">
        <f>SUM(W13:W18)</f>
        <v>54</v>
      </c>
      <c r="X20">
        <f>+W20+V20</f>
        <v>131.5</v>
      </c>
    </row>
    <row r="21" spans="1:23" ht="12">
      <c r="A21" t="s">
        <v>8</v>
      </c>
      <c r="D21" s="2">
        <v>0</v>
      </c>
      <c r="H21" t="s">
        <v>8</v>
      </c>
      <c r="M21" s="2">
        <v>3</v>
      </c>
      <c r="V21">
        <f>+V20/X20</f>
        <v>0.5893536121673004</v>
      </c>
      <c r="W21">
        <f>+W20/X20</f>
        <v>0.41064638783269963</v>
      </c>
    </row>
    <row r="22" spans="1:23" ht="12">
      <c r="A22" t="s">
        <v>9</v>
      </c>
      <c r="D22" s="2">
        <v>0</v>
      </c>
      <c r="H22" t="s">
        <v>9</v>
      </c>
      <c r="M22" s="2">
        <v>14</v>
      </c>
      <c r="V22">
        <f>+V21*60</f>
        <v>35.361216730038024</v>
      </c>
      <c r="W22">
        <f>+W21*60</f>
        <v>24.638783269961976</v>
      </c>
    </row>
    <row r="23" spans="1:23" ht="12">
      <c r="A23" t="s">
        <v>10</v>
      </c>
      <c r="D23">
        <f>+D20-D22</f>
        <v>272</v>
      </c>
      <c r="H23" t="s">
        <v>10</v>
      </c>
      <c r="M23">
        <f>+M20-M22</f>
        <v>157</v>
      </c>
      <c r="V23">
        <f>+V22-INT(V22)</f>
        <v>0.36121673003802357</v>
      </c>
      <c r="W23">
        <f>+W22-INT(W22)</f>
        <v>0.6387832699619764</v>
      </c>
    </row>
    <row r="24" spans="1:23" ht="12">
      <c r="A24" t="s">
        <v>11</v>
      </c>
      <c r="D24" s="7">
        <f>+D23/(D17+D21)</f>
        <v>9.066666666666666</v>
      </c>
      <c r="H24" t="s">
        <v>11</v>
      </c>
      <c r="M24" s="7">
        <f>+M23/(M17+M21)</f>
        <v>3.8292682926829267</v>
      </c>
      <c r="V24">
        <f>+V23*60</f>
        <v>21.673003802281414</v>
      </c>
      <c r="W24">
        <f>+W23*60</f>
        <v>38.326996197718586</v>
      </c>
    </row>
    <row r="25" spans="1:23" ht="12">
      <c r="A25" t="s">
        <v>12</v>
      </c>
      <c r="D25" s="7">
        <f>+D20/D18</f>
        <v>15.11111111111111</v>
      </c>
      <c r="H25" t="s">
        <v>12</v>
      </c>
      <c r="M25" s="7">
        <f>+M20/M18</f>
        <v>10.058823529411764</v>
      </c>
      <c r="Q25" s="11"/>
      <c r="U25">
        <v>0</v>
      </c>
      <c r="V25" s="11">
        <f>ROUND(V24,0)</f>
        <v>22</v>
      </c>
      <c r="W25">
        <f>ROUND(W24,0)</f>
        <v>38</v>
      </c>
    </row>
    <row r="26" spans="22:23" ht="12">
      <c r="V26">
        <f>INT(V22)</f>
        <v>35</v>
      </c>
      <c r="W26">
        <f>INT(W22)</f>
        <v>24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480</v>
      </c>
      <c r="H28" t="s">
        <v>14</v>
      </c>
      <c r="M28">
        <f>+M23+M14</f>
        <v>268</v>
      </c>
      <c r="Q28" s="14"/>
      <c r="R28" s="9"/>
      <c r="V28" s="14" t="str">
        <f>+V26&amp;V27&amp;V25</f>
        <v>35:22</v>
      </c>
      <c r="W28" s="9" t="str">
        <f>+W26&amp;W27&amp;W25</f>
        <v>24:38</v>
      </c>
    </row>
    <row r="29" spans="1:23" ht="12">
      <c r="A29" t="s">
        <v>15</v>
      </c>
      <c r="D29" s="7">
        <f>+D14/D28*100</f>
        <v>43.333333333333336</v>
      </c>
      <c r="H29" t="s">
        <v>15</v>
      </c>
      <c r="M29" s="7">
        <f>+M14/M28*100</f>
        <v>41.417910447761194</v>
      </c>
      <c r="Q29" s="9"/>
      <c r="R29" s="9"/>
      <c r="V29" s="9" t="str">
        <f>IF(V25&lt;10,+V26&amp;V27&amp;$U$25&amp;V25,+V26&amp;V27&amp;V25)</f>
        <v>35:22</v>
      </c>
      <c r="W29" s="9" t="str">
        <f>IF(W25&lt;10,+W26&amp;W27&amp;$U$25&amp;W25,+W26&amp;W27&amp;W25)</f>
        <v>24:38</v>
      </c>
    </row>
    <row r="30" spans="1:16" ht="12">
      <c r="A30" s="1" t="s">
        <v>90</v>
      </c>
      <c r="D30" s="7">
        <f>+D23/D28*100</f>
        <v>56.666666666666664</v>
      </c>
      <c r="H30" s="1" t="s">
        <v>90</v>
      </c>
      <c r="M30" s="7">
        <f>+M23/M28*100</f>
        <v>58.582089552238806</v>
      </c>
      <c r="P30" s="13"/>
    </row>
    <row r="32" spans="1:13" ht="12">
      <c r="A32" t="s">
        <v>16</v>
      </c>
      <c r="D32">
        <f>+D13+D17+D21</f>
        <v>78</v>
      </c>
      <c r="H32" t="s">
        <v>16</v>
      </c>
      <c r="M32">
        <f>+M13+M17+M21</f>
        <v>61</v>
      </c>
    </row>
    <row r="33" spans="1:14" ht="12">
      <c r="A33" t="s">
        <v>17</v>
      </c>
      <c r="C33" s="7"/>
      <c r="D33" s="8">
        <f>+D28/D32</f>
        <v>6.153846153846154</v>
      </c>
      <c r="F33" s="7"/>
      <c r="G33" s="7"/>
      <c r="H33" s="7" t="s">
        <v>17</v>
      </c>
      <c r="I33" s="7"/>
      <c r="J33" s="7"/>
      <c r="K33" s="7"/>
      <c r="M33" s="8">
        <f>+M28/M32</f>
        <v>4.39344262295082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1</v>
      </c>
      <c r="H36" t="s">
        <v>19</v>
      </c>
      <c r="M36" s="2">
        <v>1</v>
      </c>
    </row>
    <row r="37" spans="1:13" ht="12">
      <c r="A37" t="s">
        <v>20</v>
      </c>
      <c r="D37" s="2">
        <v>21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4</v>
      </c>
      <c r="H40" t="s">
        <v>22</v>
      </c>
      <c r="M40" s="2">
        <v>5</v>
      </c>
    </row>
    <row r="41" spans="1:13" ht="12">
      <c r="A41" t="s">
        <v>23</v>
      </c>
      <c r="D41" s="2">
        <f>39+23+33+25</f>
        <v>120</v>
      </c>
      <c r="H41" t="s">
        <v>23</v>
      </c>
      <c r="M41" s="2">
        <f>45+37+41+60+41</f>
        <v>224</v>
      </c>
    </row>
    <row r="42" spans="1:14" ht="12">
      <c r="A42" t="s">
        <v>24</v>
      </c>
      <c r="C42" s="7"/>
      <c r="D42" s="8">
        <f>+D41/D40</f>
        <v>30</v>
      </c>
      <c r="F42" s="7"/>
      <c r="G42" s="7"/>
      <c r="H42" s="7" t="s">
        <v>24</v>
      </c>
      <c r="I42" s="7"/>
      <c r="J42" s="7"/>
      <c r="K42" s="7"/>
      <c r="M42" s="8">
        <f>+M41/M40</f>
        <v>44.8</v>
      </c>
      <c r="N42" s="7"/>
    </row>
    <row r="44" spans="1:13" ht="12">
      <c r="A44" t="s">
        <v>25</v>
      </c>
      <c r="D44" s="2">
        <v>5</v>
      </c>
      <c r="H44" t="s">
        <v>25</v>
      </c>
      <c r="M44" s="2">
        <v>2</v>
      </c>
    </row>
    <row r="45" spans="1:13" ht="12">
      <c r="A45" t="s">
        <v>26</v>
      </c>
      <c r="D45" s="2">
        <f>7+57+2+9+0</f>
        <v>75</v>
      </c>
      <c r="H45" t="s">
        <v>26</v>
      </c>
      <c r="M45" s="2">
        <v>6</v>
      </c>
    </row>
    <row r="46" spans="1:13" ht="12">
      <c r="A46" t="s">
        <v>27</v>
      </c>
      <c r="D46" s="8">
        <f>+D45/D44</f>
        <v>15</v>
      </c>
      <c r="H46" t="s">
        <v>27</v>
      </c>
      <c r="M46" s="8">
        <f>+M45/M44</f>
        <v>3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2</v>
      </c>
      <c r="H50" t="s">
        <v>30</v>
      </c>
      <c r="M50" s="2">
        <v>6</v>
      </c>
    </row>
    <row r="51" spans="1:13" ht="12">
      <c r="A51" t="s">
        <v>26</v>
      </c>
      <c r="D51" s="2">
        <f>28+18</f>
        <v>46</v>
      </c>
      <c r="H51" t="s">
        <v>26</v>
      </c>
      <c r="M51" s="2">
        <f>30+18+13+27+37+26</f>
        <v>151</v>
      </c>
    </row>
    <row r="52" spans="1:13" ht="12">
      <c r="A52" t="s">
        <v>27</v>
      </c>
      <c r="D52" s="8">
        <f>+D51/D50</f>
        <v>23</v>
      </c>
      <c r="H52" t="s">
        <v>27</v>
      </c>
      <c r="M52" s="8">
        <f>+M51/M50</f>
        <v>25.166666666666668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6</v>
      </c>
      <c r="G55" t="str">
        <f>IF(D55-D56=M50,"ok","err")</f>
        <v>ok</v>
      </c>
      <c r="H55" t="s">
        <v>127</v>
      </c>
      <c r="K55" s="2"/>
      <c r="M55" s="2">
        <v>2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5</v>
      </c>
      <c r="H59" t="s">
        <v>31</v>
      </c>
      <c r="M59" s="2">
        <v>2</v>
      </c>
    </row>
    <row r="60" spans="1:13" ht="12">
      <c r="A60" t="s">
        <v>32</v>
      </c>
      <c r="D60" s="2">
        <v>45</v>
      </c>
      <c r="H60" t="s">
        <v>32</v>
      </c>
      <c r="M60" s="2">
        <v>20</v>
      </c>
    </row>
    <row r="62" spans="1:13" ht="12">
      <c r="A62" t="s">
        <v>33</v>
      </c>
      <c r="D62" s="2">
        <v>2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2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31</v>
      </c>
      <c r="E68" t="str">
        <f>IF(B68=B69*6+B75*2+B76*3+B73,"ok","ERR")</f>
        <v>ok</v>
      </c>
      <c r="H68" t="s">
        <v>38</v>
      </c>
      <c r="M68" s="2">
        <v>7</v>
      </c>
      <c r="P68" t="str">
        <f>IF(M68=M69*6+M75*2+M76*3+M73,"ok","ERR")</f>
        <v>ok</v>
      </c>
    </row>
    <row r="69" spans="1:13" ht="12">
      <c r="A69" t="s">
        <v>39</v>
      </c>
      <c r="D69" s="2">
        <v>4</v>
      </c>
      <c r="H69" t="s">
        <v>39</v>
      </c>
      <c r="M69" s="2">
        <v>1</v>
      </c>
    </row>
    <row r="70" spans="1:13" ht="12">
      <c r="A70" t="s">
        <v>40</v>
      </c>
      <c r="D70" s="2">
        <v>3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4</v>
      </c>
      <c r="H73" t="s">
        <v>43</v>
      </c>
      <c r="M73" s="2">
        <v>1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0</v>
      </c>
    </row>
    <row r="77" spans="1:13" ht="12">
      <c r="A77" t="s">
        <v>46</v>
      </c>
      <c r="D77" s="2">
        <v>1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100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0</v>
      </c>
    </row>
    <row r="79" spans="1:13" ht="12">
      <c r="A79" t="s">
        <v>93</v>
      </c>
      <c r="D79" s="10" t="str">
        <f>IF(V25&lt;10,V29,V28)</f>
        <v>35:22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2</v>
      </c>
      <c r="D85">
        <v>4</v>
      </c>
      <c r="E85" s="12">
        <f>+D85/C85</f>
        <v>2</v>
      </c>
      <c r="F85">
        <v>4</v>
      </c>
      <c r="G85">
        <v>0</v>
      </c>
      <c r="H85">
        <v>0</v>
      </c>
    </row>
    <row r="86" spans="1:8" ht="12">
      <c r="A86" t="s">
        <v>136</v>
      </c>
      <c r="C86">
        <v>1</v>
      </c>
      <c r="D86">
        <v>0</v>
      </c>
      <c r="E86" s="12">
        <f aca="true" t="shared" si="0" ref="E86:E92">+D86/C86</f>
        <v>0</v>
      </c>
      <c r="F86">
        <v>0</v>
      </c>
      <c r="G86">
        <v>0</v>
      </c>
      <c r="H86">
        <v>0</v>
      </c>
    </row>
    <row r="87" spans="1:8" ht="12">
      <c r="A87" t="s">
        <v>137</v>
      </c>
      <c r="C87">
        <v>5</v>
      </c>
      <c r="D87">
        <v>45</v>
      </c>
      <c r="E87" s="12">
        <f t="shared" si="0"/>
        <v>9</v>
      </c>
      <c r="F87">
        <v>33</v>
      </c>
      <c r="G87">
        <v>0</v>
      </c>
      <c r="H87">
        <v>0</v>
      </c>
    </row>
    <row r="88" spans="1:8" ht="12">
      <c r="A88" t="s">
        <v>138</v>
      </c>
      <c r="C88">
        <v>19</v>
      </c>
      <c r="D88">
        <v>69</v>
      </c>
      <c r="E88" s="12">
        <f t="shared" si="0"/>
        <v>3.6315789473684212</v>
      </c>
      <c r="F88">
        <v>13</v>
      </c>
      <c r="G88">
        <v>3</v>
      </c>
      <c r="H88">
        <v>1</v>
      </c>
    </row>
    <row r="89" spans="1:8" ht="12">
      <c r="A89" t="s">
        <v>139</v>
      </c>
      <c r="C89">
        <v>2</v>
      </c>
      <c r="D89">
        <v>-5</v>
      </c>
      <c r="E89" s="12">
        <f t="shared" si="0"/>
        <v>-2.5</v>
      </c>
      <c r="F89">
        <v>-2</v>
      </c>
      <c r="G89">
        <v>0</v>
      </c>
      <c r="H89">
        <v>0</v>
      </c>
    </row>
    <row r="90" spans="1:8" ht="12">
      <c r="A90" t="s">
        <v>140</v>
      </c>
      <c r="C90">
        <v>17</v>
      </c>
      <c r="D90">
        <v>92</v>
      </c>
      <c r="E90" s="12">
        <f t="shared" si="0"/>
        <v>5.411764705882353</v>
      </c>
      <c r="F90">
        <v>20</v>
      </c>
      <c r="G90">
        <v>0</v>
      </c>
      <c r="H90">
        <v>0</v>
      </c>
    </row>
    <row r="91" spans="1:8" ht="12">
      <c r="A91" t="s">
        <v>141</v>
      </c>
      <c r="C91">
        <v>1</v>
      </c>
      <c r="D91">
        <v>-1</v>
      </c>
      <c r="E91" s="12">
        <f t="shared" si="0"/>
        <v>-1</v>
      </c>
      <c r="F91">
        <v>-1</v>
      </c>
      <c r="G91">
        <v>0</v>
      </c>
      <c r="H91">
        <v>1</v>
      </c>
    </row>
    <row r="92" spans="1:8" ht="12">
      <c r="A92" t="s">
        <v>142</v>
      </c>
      <c r="C92">
        <v>1</v>
      </c>
      <c r="D92">
        <v>4</v>
      </c>
      <c r="E92" s="12">
        <f t="shared" si="0"/>
        <v>4</v>
      </c>
      <c r="F92">
        <v>4</v>
      </c>
      <c r="G92">
        <v>0</v>
      </c>
      <c r="H92">
        <v>0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8</v>
      </c>
      <c r="D101">
        <v>137</v>
      </c>
      <c r="E101" s="12">
        <f aca="true" t="shared" si="1" ref="E101:E112">+D101/C101</f>
        <v>17.125</v>
      </c>
      <c r="F101">
        <v>35</v>
      </c>
      <c r="G101">
        <v>0</v>
      </c>
      <c r="H101">
        <v>0</v>
      </c>
    </row>
    <row r="102" spans="1:8" ht="12">
      <c r="A102" t="s">
        <v>135</v>
      </c>
      <c r="C102">
        <v>1</v>
      </c>
      <c r="D102">
        <v>9</v>
      </c>
      <c r="E102" s="12">
        <f t="shared" si="1"/>
        <v>9</v>
      </c>
      <c r="F102">
        <v>9</v>
      </c>
      <c r="G102">
        <v>0</v>
      </c>
      <c r="H102">
        <v>0</v>
      </c>
    </row>
    <row r="103" spans="1:8" ht="12">
      <c r="A103" t="s">
        <v>144</v>
      </c>
      <c r="C103">
        <v>3</v>
      </c>
      <c r="D103">
        <v>39</v>
      </c>
      <c r="E103" s="12">
        <f t="shared" si="1"/>
        <v>13</v>
      </c>
      <c r="F103">
        <v>20</v>
      </c>
      <c r="G103">
        <v>1</v>
      </c>
      <c r="H103">
        <v>0</v>
      </c>
    </row>
    <row r="104" spans="1:8" ht="12">
      <c r="A104" t="s">
        <v>136</v>
      </c>
      <c r="C104">
        <v>1</v>
      </c>
      <c r="D104">
        <v>28</v>
      </c>
      <c r="E104" s="12">
        <f t="shared" si="1"/>
        <v>28</v>
      </c>
      <c r="F104">
        <v>28</v>
      </c>
      <c r="G104">
        <v>0</v>
      </c>
      <c r="H104">
        <v>0</v>
      </c>
    </row>
    <row r="105" spans="1:5" ht="12">
      <c r="A105" t="s">
        <v>138</v>
      </c>
      <c r="E105" s="12" t="e">
        <f t="shared" si="1"/>
        <v>#DIV/0!</v>
      </c>
    </row>
    <row r="106" spans="1:5" ht="12">
      <c r="A106" t="s">
        <v>139</v>
      </c>
      <c r="E106" s="12" t="e">
        <f t="shared" si="1"/>
        <v>#DIV/0!</v>
      </c>
    </row>
    <row r="107" spans="1:8" ht="12">
      <c r="A107" t="s">
        <v>145</v>
      </c>
      <c r="C107">
        <v>1</v>
      </c>
      <c r="D107">
        <v>21</v>
      </c>
      <c r="E107" s="12">
        <f t="shared" si="1"/>
        <v>21</v>
      </c>
      <c r="F107">
        <v>21</v>
      </c>
      <c r="G107">
        <v>0</v>
      </c>
      <c r="H107">
        <v>0</v>
      </c>
    </row>
    <row r="108" spans="1:5" ht="12">
      <c r="A108" t="s">
        <v>146</v>
      </c>
      <c r="E108" s="12" t="e">
        <f t="shared" si="1"/>
        <v>#DIV/0!</v>
      </c>
    </row>
    <row r="109" spans="1:8" ht="12">
      <c r="A109" t="s">
        <v>140</v>
      </c>
      <c r="C109">
        <v>4</v>
      </c>
      <c r="D109">
        <v>38</v>
      </c>
      <c r="E109" s="12">
        <f t="shared" si="1"/>
        <v>9.5</v>
      </c>
      <c r="F109">
        <v>13</v>
      </c>
      <c r="G109">
        <v>0</v>
      </c>
      <c r="H109">
        <v>0</v>
      </c>
    </row>
    <row r="110" spans="1:5" ht="12">
      <c r="A110" t="s">
        <v>142</v>
      </c>
      <c r="E110" s="12" t="e">
        <f t="shared" si="1"/>
        <v>#DIV/0!</v>
      </c>
    </row>
    <row r="111" ht="12"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134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137</v>
      </c>
      <c r="C123">
        <v>28</v>
      </c>
      <c r="D123">
        <v>16</v>
      </c>
      <c r="E123" s="12">
        <f t="shared" si="2"/>
        <v>57.14285714285714</v>
      </c>
      <c r="F123">
        <v>250</v>
      </c>
      <c r="G123">
        <v>1</v>
      </c>
      <c r="H123">
        <v>35</v>
      </c>
      <c r="I123">
        <v>1</v>
      </c>
      <c r="J123" s="8">
        <f t="shared" si="3"/>
        <v>3.571428571428571</v>
      </c>
      <c r="K123" s="12">
        <f t="shared" si="4"/>
        <v>3.571428571428571</v>
      </c>
      <c r="L123" s="12">
        <f t="shared" si="5"/>
        <v>8.928571428571429</v>
      </c>
      <c r="M123" s="12">
        <f t="shared" si="6"/>
        <v>83.92857142857144</v>
      </c>
      <c r="N123">
        <v>0</v>
      </c>
      <c r="O123">
        <v>0</v>
      </c>
      <c r="R123">
        <f t="shared" si="7"/>
        <v>1.357142857142857</v>
      </c>
      <c r="S123" s="2">
        <f t="shared" si="8"/>
        <v>1.357142857142857</v>
      </c>
      <c r="T123" s="6">
        <f t="shared" si="9"/>
        <v>1.4821428571428572</v>
      </c>
      <c r="U123" s="2">
        <f t="shared" si="10"/>
        <v>1.4821428571428572</v>
      </c>
      <c r="V123">
        <f t="shared" si="11"/>
        <v>0.7142857142857142</v>
      </c>
      <c r="W123" s="2">
        <f t="shared" si="12"/>
        <v>0.7142857142857142</v>
      </c>
      <c r="X123">
        <f t="shared" si="13"/>
        <v>1.4821428571428572</v>
      </c>
      <c r="Y123" s="2">
        <f t="shared" si="14"/>
        <v>1.4821428571428572</v>
      </c>
    </row>
    <row r="124" spans="1:25" ht="12">
      <c r="A124" t="s">
        <v>139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140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1:25" ht="12">
      <c r="A126" t="s">
        <v>143</v>
      </c>
      <c r="C126">
        <v>2</v>
      </c>
      <c r="D126">
        <v>2</v>
      </c>
      <c r="E126" s="12">
        <f t="shared" si="2"/>
        <v>100</v>
      </c>
      <c r="F126">
        <v>22</v>
      </c>
      <c r="G126">
        <v>0</v>
      </c>
      <c r="H126">
        <v>21</v>
      </c>
      <c r="I126">
        <v>0</v>
      </c>
      <c r="J126" s="8">
        <f t="shared" si="3"/>
        <v>0</v>
      </c>
      <c r="K126" s="12">
        <f t="shared" si="4"/>
        <v>0</v>
      </c>
      <c r="L126" s="12">
        <f t="shared" si="5"/>
        <v>11</v>
      </c>
      <c r="M126" s="12">
        <f t="shared" si="6"/>
        <v>112.5</v>
      </c>
      <c r="N126">
        <v>0</v>
      </c>
      <c r="O126">
        <v>0</v>
      </c>
      <c r="R126">
        <f t="shared" si="7"/>
        <v>3.5</v>
      </c>
      <c r="S126" s="2">
        <f t="shared" si="8"/>
        <v>2.375</v>
      </c>
      <c r="T126" s="6">
        <f t="shared" si="9"/>
        <v>2</v>
      </c>
      <c r="U126" s="2">
        <f t="shared" si="10"/>
        <v>2</v>
      </c>
      <c r="V126">
        <f t="shared" si="11"/>
        <v>0</v>
      </c>
      <c r="W126" s="2">
        <f t="shared" si="12"/>
        <v>0</v>
      </c>
      <c r="X126">
        <f t="shared" si="13"/>
        <v>2.375</v>
      </c>
      <c r="Y126" s="2">
        <f t="shared" si="14"/>
        <v>2.375</v>
      </c>
    </row>
    <row r="127" ht="12">
      <c r="A127" t="s">
        <v>147</v>
      </c>
    </row>
    <row r="130" spans="1:9" ht="12">
      <c r="A130" s="2" t="s">
        <v>71</v>
      </c>
      <c r="C130" s="3" t="s">
        <v>72</v>
      </c>
      <c r="D130" s="3" t="s">
        <v>73</v>
      </c>
      <c r="E130" s="3" t="s">
        <v>74</v>
      </c>
      <c r="F130" s="3" t="s">
        <v>53</v>
      </c>
      <c r="G130" s="3" t="s">
        <v>64</v>
      </c>
      <c r="H130" s="3" t="s">
        <v>55</v>
      </c>
      <c r="I130" s="3" t="s">
        <v>84</v>
      </c>
    </row>
    <row r="131" spans="1:7" ht="12">
      <c r="A131" t="s">
        <v>148</v>
      </c>
      <c r="C131">
        <v>5</v>
      </c>
      <c r="E131">
        <f>7+57+2+9+0</f>
        <v>75</v>
      </c>
      <c r="F131" s="12">
        <f aca="true" t="shared" si="15" ref="F131:F136">+E131/C131</f>
        <v>15</v>
      </c>
      <c r="G131">
        <v>57</v>
      </c>
    </row>
    <row r="132" spans="1:6" ht="12">
      <c r="A132" t="s">
        <v>149</v>
      </c>
      <c r="F132" s="12" t="e">
        <f t="shared" si="15"/>
        <v>#DIV/0!</v>
      </c>
    </row>
    <row r="133" spans="1:6" ht="12">
      <c r="A133" t="s">
        <v>142</v>
      </c>
      <c r="F133" s="12" t="e">
        <f t="shared" si="15"/>
        <v>#DIV/0!</v>
      </c>
    </row>
    <row r="134" ht="12">
      <c r="F134" s="12" t="e">
        <f t="shared" si="15"/>
        <v>#DIV/0!</v>
      </c>
    </row>
    <row r="135" ht="12">
      <c r="F135" s="12" t="e">
        <f t="shared" si="15"/>
        <v>#DIV/0!</v>
      </c>
    </row>
    <row r="136" ht="12">
      <c r="F136" s="12" t="e">
        <f t="shared" si="15"/>
        <v>#DIV/0!</v>
      </c>
    </row>
    <row r="140" spans="1:8" ht="12">
      <c r="A140" s="2" t="s">
        <v>30</v>
      </c>
      <c r="C140" s="3" t="s">
        <v>72</v>
      </c>
      <c r="D140" s="3" t="s">
        <v>74</v>
      </c>
      <c r="E140" s="3" t="s">
        <v>53</v>
      </c>
      <c r="F140" s="3" t="s">
        <v>64</v>
      </c>
      <c r="G140" s="3" t="s">
        <v>55</v>
      </c>
      <c r="H140" s="3" t="s">
        <v>84</v>
      </c>
    </row>
    <row r="141" spans="1:5" ht="12">
      <c r="A141" t="s">
        <v>148</v>
      </c>
      <c r="E141" s="12" t="e">
        <f aca="true" t="shared" si="16" ref="E141:E146">+D141/C141</f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139</v>
      </c>
      <c r="E143" s="12" t="e">
        <f t="shared" si="16"/>
        <v>#DIV/0!</v>
      </c>
    </row>
    <row r="144" spans="1:6" ht="12">
      <c r="A144" t="s">
        <v>140</v>
      </c>
      <c r="C144">
        <v>1</v>
      </c>
      <c r="D144">
        <v>18</v>
      </c>
      <c r="E144" s="12">
        <f t="shared" si="16"/>
        <v>18</v>
      </c>
      <c r="F144">
        <v>18</v>
      </c>
    </row>
    <row r="145" spans="1:5" ht="12">
      <c r="A145" t="s">
        <v>142</v>
      </c>
      <c r="E145" s="12" t="e">
        <f t="shared" si="16"/>
        <v>#DIV/0!</v>
      </c>
    </row>
    <row r="146" spans="1:6" ht="12">
      <c r="A146" t="s">
        <v>151</v>
      </c>
      <c r="C146">
        <v>1</v>
      </c>
      <c r="D146">
        <v>28</v>
      </c>
      <c r="E146" s="12">
        <f t="shared" si="16"/>
        <v>28</v>
      </c>
      <c r="F146">
        <v>28</v>
      </c>
    </row>
    <row r="147" ht="12">
      <c r="E147" s="12" t="e">
        <f aca="true" t="shared" si="17" ref="E147:E153">+D147/C147</f>
        <v>#DIV/0!</v>
      </c>
    </row>
    <row r="148" ht="12"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2" ht="12">
      <c r="E152" s="12" t="e">
        <f t="shared" si="17"/>
        <v>#DIV/0!</v>
      </c>
    </row>
    <row r="153" ht="12">
      <c r="E153" s="12" t="e">
        <f t="shared" si="17"/>
        <v>#DIV/0!</v>
      </c>
    </row>
    <row r="155" spans="1:8" ht="12">
      <c r="A155" s="2" t="s">
        <v>75</v>
      </c>
      <c r="C155" s="3" t="s">
        <v>72</v>
      </c>
      <c r="D155" s="3" t="s">
        <v>74</v>
      </c>
      <c r="E155" s="3" t="s">
        <v>53</v>
      </c>
      <c r="F155" s="3" t="s">
        <v>64</v>
      </c>
      <c r="G155" s="3" t="s">
        <v>76</v>
      </c>
      <c r="H155" s="3" t="s">
        <v>84</v>
      </c>
    </row>
    <row r="156" spans="1:5" ht="12">
      <c r="A156" t="s">
        <v>152</v>
      </c>
      <c r="E156" s="12"/>
    </row>
    <row r="157" ht="12">
      <c r="A157" t="s">
        <v>137</v>
      </c>
    </row>
    <row r="158" spans="1:6" ht="12">
      <c r="A158" t="s">
        <v>141</v>
      </c>
      <c r="C158">
        <v>4</v>
      </c>
      <c r="D158">
        <f>39+23+33+25</f>
        <v>120</v>
      </c>
      <c r="F158">
        <v>39</v>
      </c>
    </row>
    <row r="162" spans="9:21" ht="12">
      <c r="I162" s="5" t="s">
        <v>67</v>
      </c>
      <c r="L162" s="32" t="s">
        <v>99</v>
      </c>
      <c r="M162" s="32"/>
      <c r="N162" s="32" t="s">
        <v>100</v>
      </c>
      <c r="O162" s="32"/>
      <c r="P162" s="32" t="s">
        <v>101</v>
      </c>
      <c r="Q162" s="32"/>
      <c r="R162" s="32" t="s">
        <v>102</v>
      </c>
      <c r="S162" s="32"/>
      <c r="T162" s="32" t="s">
        <v>103</v>
      </c>
      <c r="U162" s="32"/>
    </row>
    <row r="163" spans="1:21" ht="12">
      <c r="A163" s="4" t="s">
        <v>83</v>
      </c>
      <c r="C163" s="3" t="s">
        <v>77</v>
      </c>
      <c r="D163" s="3" t="s">
        <v>78</v>
      </c>
      <c r="E163" s="3" t="s">
        <v>79</v>
      </c>
      <c r="F163" s="3" t="s">
        <v>80</v>
      </c>
      <c r="G163" s="3" t="s">
        <v>81</v>
      </c>
      <c r="H163" s="3" t="s">
        <v>82</v>
      </c>
      <c r="I163" s="3" t="s">
        <v>86</v>
      </c>
      <c r="J163" s="3" t="s">
        <v>64</v>
      </c>
      <c r="L163" s="3" t="s">
        <v>81</v>
      </c>
      <c r="M163" s="3" t="s">
        <v>82</v>
      </c>
      <c r="N163" s="3" t="s">
        <v>81</v>
      </c>
      <c r="O163" s="3" t="s">
        <v>82</v>
      </c>
      <c r="P163" s="3" t="s">
        <v>81</v>
      </c>
      <c r="Q163" s="3" t="s">
        <v>82</v>
      </c>
      <c r="R163" s="3" t="s">
        <v>81</v>
      </c>
      <c r="S163" s="3" t="s">
        <v>82</v>
      </c>
      <c r="T163" s="3" t="s">
        <v>81</v>
      </c>
      <c r="U163" s="3" t="s">
        <v>82</v>
      </c>
    </row>
    <row r="164" spans="1:13" ht="12">
      <c r="A164" t="s">
        <v>153</v>
      </c>
      <c r="C164">
        <v>6</v>
      </c>
      <c r="E164">
        <v>4</v>
      </c>
      <c r="F164">
        <v>4</v>
      </c>
      <c r="G164">
        <v>1</v>
      </c>
      <c r="H164">
        <v>1</v>
      </c>
      <c r="I164" s="12">
        <f aca="true" t="shared" si="18" ref="I164:I171">+H164/G164*100</f>
        <v>100</v>
      </c>
      <c r="J164">
        <v>16</v>
      </c>
      <c r="L164">
        <v>1</v>
      </c>
      <c r="M164">
        <v>1</v>
      </c>
    </row>
    <row r="165" spans="1:9" ht="12">
      <c r="A165" t="s">
        <v>141</v>
      </c>
      <c r="I165" s="12" t="e">
        <f t="shared" si="18"/>
        <v>#DIV/0!</v>
      </c>
    </row>
    <row r="166" spans="1:9" ht="12">
      <c r="A166" t="s">
        <v>152</v>
      </c>
      <c r="I166" s="12" t="e">
        <f t="shared" si="18"/>
        <v>#DIV/0!</v>
      </c>
    </row>
    <row r="167" spans="1:9" ht="12">
      <c r="A167" t="s">
        <v>137</v>
      </c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0" ht="12">
      <c r="I170" s="12" t="e">
        <f t="shared" si="18"/>
        <v>#DIV/0!</v>
      </c>
    </row>
    <row r="171" ht="12">
      <c r="I171" s="12" t="e">
        <f t="shared" si="18"/>
        <v>#DIV/0!</v>
      </c>
    </row>
    <row r="174" spans="1:8" ht="12">
      <c r="A174" s="2" t="s">
        <v>85</v>
      </c>
      <c r="C174" s="3" t="s">
        <v>72</v>
      </c>
      <c r="D174" s="3" t="s">
        <v>74</v>
      </c>
      <c r="E174" s="3" t="s">
        <v>53</v>
      </c>
      <c r="F174" s="3" t="s">
        <v>64</v>
      </c>
      <c r="G174" s="3" t="s">
        <v>55</v>
      </c>
      <c r="H174" s="3" t="s">
        <v>84</v>
      </c>
    </row>
    <row r="175" spans="1:8" ht="12">
      <c r="A175" t="s">
        <v>154</v>
      </c>
      <c r="C175">
        <v>1</v>
      </c>
      <c r="D175">
        <v>0</v>
      </c>
      <c r="E175" s="12">
        <f>+D175/C175</f>
        <v>0</v>
      </c>
      <c r="F175">
        <v>0</v>
      </c>
      <c r="G175">
        <v>0</v>
      </c>
      <c r="H175">
        <v>0</v>
      </c>
    </row>
    <row r="176" spans="1:5" ht="12">
      <c r="A176" t="s">
        <v>155</v>
      </c>
      <c r="E176" s="12" t="e">
        <f aca="true" t="shared" si="19" ref="E176:E182">+D176/C176</f>
        <v>#DIV/0!</v>
      </c>
    </row>
    <row r="177" spans="1:5" ht="12">
      <c r="A177" t="s">
        <v>148</v>
      </c>
      <c r="E177" s="12" t="e">
        <f t="shared" si="19"/>
        <v>#DIV/0!</v>
      </c>
    </row>
    <row r="178" spans="1:5" ht="12">
      <c r="A178" t="s">
        <v>150</v>
      </c>
      <c r="E178" s="12" t="e">
        <f t="shared" si="19"/>
        <v>#DIV/0!</v>
      </c>
    </row>
    <row r="179" spans="1:5" ht="12">
      <c r="A179" t="s">
        <v>149</v>
      </c>
      <c r="E179" s="12" t="e">
        <f t="shared" si="19"/>
        <v>#DIV/0!</v>
      </c>
    </row>
    <row r="180" spans="1:5" ht="12">
      <c r="A180" t="s">
        <v>141</v>
      </c>
      <c r="E180" s="12" t="e">
        <f t="shared" si="19"/>
        <v>#DIV/0!</v>
      </c>
    </row>
    <row r="181" spans="1:5" ht="12">
      <c r="A181" t="s">
        <v>151</v>
      </c>
      <c r="E181" s="12" t="e">
        <f t="shared" si="19"/>
        <v>#DIV/0!</v>
      </c>
    </row>
    <row r="182" ht="12">
      <c r="E182" s="12" t="e">
        <f t="shared" si="19"/>
        <v>#DIV/0!</v>
      </c>
    </row>
    <row r="183" ht="12">
      <c r="E183" s="12" t="e">
        <f>+D183/C183</f>
        <v>#DIV/0!</v>
      </c>
    </row>
    <row r="184" ht="12"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 t="e">
        <f>+D186/C186</f>
        <v>#DIV/0!</v>
      </c>
    </row>
    <row r="187" spans="1:5" ht="12">
      <c r="A187" s="1"/>
      <c r="E187" s="12" t="e">
        <f>+D187/C187</f>
        <v>#DIV/0!</v>
      </c>
    </row>
    <row r="188" spans="1:5" ht="12">
      <c r="A188" s="1"/>
      <c r="E188" s="12"/>
    </row>
    <row r="189" spans="1:4" ht="12">
      <c r="A189" s="2" t="s">
        <v>98</v>
      </c>
      <c r="C189" s="3" t="s">
        <v>72</v>
      </c>
      <c r="D189" s="3" t="s">
        <v>74</v>
      </c>
    </row>
    <row r="190" spans="1:4" ht="12">
      <c r="A190" s="20" t="s">
        <v>156</v>
      </c>
      <c r="C190" s="3">
        <v>1</v>
      </c>
      <c r="D190" s="3">
        <v>8</v>
      </c>
    </row>
    <row r="191" spans="1:4" ht="12">
      <c r="A191" s="20" t="s">
        <v>157</v>
      </c>
      <c r="C191" s="3"/>
      <c r="D191" s="3"/>
    </row>
    <row r="192" spans="1:4" ht="12">
      <c r="A192" s="20" t="s">
        <v>158</v>
      </c>
      <c r="C192" s="3"/>
      <c r="D192" s="3"/>
    </row>
    <row r="193" spans="1:4" ht="12">
      <c r="A193" s="20" t="s">
        <v>159</v>
      </c>
      <c r="C193" s="3">
        <v>1</v>
      </c>
      <c r="D193" s="3">
        <v>0</v>
      </c>
    </row>
    <row r="194" spans="1:4" ht="12">
      <c r="A194" s="20" t="s">
        <v>160</v>
      </c>
      <c r="C194" s="3"/>
      <c r="D194" s="3"/>
    </row>
    <row r="195" spans="1:4" ht="12">
      <c r="A195" s="20" t="s">
        <v>161</v>
      </c>
      <c r="C195" s="3">
        <v>1</v>
      </c>
      <c r="D195" s="3">
        <v>6</v>
      </c>
    </row>
    <row r="196" spans="1:4" ht="12">
      <c r="A196" s="20" t="s">
        <v>162</v>
      </c>
      <c r="C196" s="3"/>
      <c r="D196" s="3"/>
    </row>
    <row r="197" spans="1:4" ht="12">
      <c r="A197" s="20" t="s">
        <v>141</v>
      </c>
      <c r="C197" s="3"/>
      <c r="D197" s="3"/>
    </row>
    <row r="198" spans="1:4" ht="12">
      <c r="A198" s="20" t="s">
        <v>163</v>
      </c>
      <c r="C198" s="3"/>
      <c r="D198" s="3"/>
    </row>
    <row r="199" spans="1:4" ht="12">
      <c r="A199" s="20" t="s">
        <v>164</v>
      </c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0"/>
      <c r="C202" s="3"/>
      <c r="D202" s="3"/>
    </row>
    <row r="203" spans="1:4" ht="12">
      <c r="A203" s="20"/>
      <c r="C203" s="3"/>
      <c r="D203" s="3"/>
    </row>
    <row r="204" spans="1:4" ht="12">
      <c r="A204" s="2"/>
      <c r="C204" s="3"/>
      <c r="D204" s="3"/>
    </row>
    <row r="205" spans="1:4" ht="12">
      <c r="A205" s="2"/>
      <c r="C205" s="3"/>
      <c r="D205" s="3"/>
    </row>
    <row r="206" spans="1:4" ht="12">
      <c r="A206" s="2"/>
      <c r="C206" s="3"/>
      <c r="D206" s="3"/>
    </row>
    <row r="207" spans="1:7" ht="12">
      <c r="A207" s="2" t="s">
        <v>94</v>
      </c>
      <c r="C207" s="3" t="s">
        <v>72</v>
      </c>
      <c r="D207" s="3" t="s">
        <v>74</v>
      </c>
      <c r="E207" s="3" t="s">
        <v>64</v>
      </c>
      <c r="F207" s="3" t="s">
        <v>55</v>
      </c>
      <c r="G207" s="5" t="s">
        <v>84</v>
      </c>
    </row>
    <row r="208" ht="12">
      <c r="A208" t="s">
        <v>165</v>
      </c>
    </row>
    <row r="209" ht="12">
      <c r="A209" t="s">
        <v>154</v>
      </c>
    </row>
    <row r="210" ht="12">
      <c r="A210" t="s">
        <v>133</v>
      </c>
    </row>
    <row r="211" ht="12">
      <c r="A211" t="s">
        <v>134</v>
      </c>
    </row>
    <row r="212" ht="12">
      <c r="A212" t="s">
        <v>156</v>
      </c>
    </row>
    <row r="213" ht="12">
      <c r="A213" t="s">
        <v>166</v>
      </c>
    </row>
    <row r="214" ht="12">
      <c r="A214" t="s">
        <v>155</v>
      </c>
    </row>
    <row r="215" ht="12">
      <c r="A215" t="s">
        <v>157</v>
      </c>
    </row>
    <row r="216" ht="12">
      <c r="A216" t="s">
        <v>158</v>
      </c>
    </row>
    <row r="217" ht="12">
      <c r="A217" t="s">
        <v>152</v>
      </c>
    </row>
    <row r="218" ht="12">
      <c r="A218" t="s">
        <v>159</v>
      </c>
    </row>
    <row r="219" spans="1:3" ht="12">
      <c r="A219" t="s">
        <v>167</v>
      </c>
      <c r="C219">
        <v>1</v>
      </c>
    </row>
    <row r="220" ht="12">
      <c r="A220" t="s">
        <v>148</v>
      </c>
    </row>
    <row r="221" ht="12">
      <c r="A221" t="s">
        <v>168</v>
      </c>
    </row>
    <row r="222" ht="12">
      <c r="A222" t="s">
        <v>150</v>
      </c>
    </row>
    <row r="223" ht="12">
      <c r="A223" t="s">
        <v>135</v>
      </c>
    </row>
    <row r="224" ht="12">
      <c r="A224" t="s">
        <v>144</v>
      </c>
    </row>
    <row r="225" ht="12">
      <c r="A225" t="s">
        <v>136</v>
      </c>
    </row>
    <row r="226" ht="12">
      <c r="A226" t="s">
        <v>149</v>
      </c>
    </row>
    <row r="227" ht="12">
      <c r="A227" t="s">
        <v>161</v>
      </c>
    </row>
    <row r="228" ht="12">
      <c r="A228" t="s">
        <v>162</v>
      </c>
    </row>
    <row r="229" ht="12">
      <c r="A229" t="s">
        <v>169</v>
      </c>
    </row>
    <row r="230" ht="12">
      <c r="A230" t="s">
        <v>137</v>
      </c>
    </row>
    <row r="231" ht="12">
      <c r="A231" t="s">
        <v>170</v>
      </c>
    </row>
    <row r="232" ht="12">
      <c r="A232" t="s">
        <v>138</v>
      </c>
    </row>
    <row r="233" ht="12">
      <c r="A233" t="s">
        <v>171</v>
      </c>
    </row>
    <row r="234" ht="12">
      <c r="A234" t="s">
        <v>172</v>
      </c>
    </row>
    <row r="235" ht="12">
      <c r="A235" t="s">
        <v>173</v>
      </c>
    </row>
    <row r="236" ht="12">
      <c r="A236" t="s">
        <v>174</v>
      </c>
    </row>
    <row r="237" ht="12">
      <c r="A237" t="s">
        <v>139</v>
      </c>
    </row>
    <row r="238" ht="12">
      <c r="A238" t="s">
        <v>145</v>
      </c>
    </row>
    <row r="239" ht="12">
      <c r="A239" t="s">
        <v>175</v>
      </c>
    </row>
    <row r="240" ht="12">
      <c r="A240" t="s">
        <v>176</v>
      </c>
    </row>
    <row r="241" ht="12">
      <c r="A241" t="s">
        <v>177</v>
      </c>
    </row>
    <row r="242" ht="12">
      <c r="A242" t="s">
        <v>178</v>
      </c>
    </row>
    <row r="243" ht="12">
      <c r="A243" t="s">
        <v>146</v>
      </c>
    </row>
    <row r="244" ht="12">
      <c r="A244" t="s">
        <v>179</v>
      </c>
    </row>
    <row r="245" ht="12">
      <c r="A245" t="s">
        <v>140</v>
      </c>
    </row>
    <row r="246" ht="12">
      <c r="A246" t="s">
        <v>180</v>
      </c>
    </row>
    <row r="247" ht="12">
      <c r="A247" t="s">
        <v>181</v>
      </c>
    </row>
    <row r="248" ht="12">
      <c r="A248" t="s">
        <v>141</v>
      </c>
    </row>
    <row r="249" ht="12">
      <c r="A249" t="s">
        <v>163</v>
      </c>
    </row>
    <row r="250" ht="12">
      <c r="A250" t="s">
        <v>142</v>
      </c>
    </row>
    <row r="251" ht="12">
      <c r="A251" t="s">
        <v>164</v>
      </c>
    </row>
    <row r="252" ht="12">
      <c r="A252" t="s">
        <v>143</v>
      </c>
    </row>
    <row r="253" ht="12">
      <c r="A253" t="s">
        <v>182</v>
      </c>
    </row>
    <row r="254" ht="12">
      <c r="A254" t="s">
        <v>151</v>
      </c>
    </row>
    <row r="255" ht="12">
      <c r="A255" t="s">
        <v>153</v>
      </c>
    </row>
    <row r="256" ht="12">
      <c r="A256" t="s">
        <v>147</v>
      </c>
    </row>
    <row r="257" ht="12">
      <c r="A257" t="s">
        <v>183</v>
      </c>
    </row>
  </sheetData>
  <sheetProtection/>
  <mergeCells count="5">
    <mergeCell ref="L162:M162"/>
    <mergeCell ref="N162:O162"/>
    <mergeCell ref="P162:Q162"/>
    <mergeCell ref="R162:S162"/>
    <mergeCell ref="T162:U16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Mark Zarb</cp:lastModifiedBy>
  <cp:lastPrinted>2019-08-15T13:21:16Z</cp:lastPrinted>
  <dcterms:created xsi:type="dcterms:W3CDTF">2004-12-04T00:48:17Z</dcterms:created>
  <dcterms:modified xsi:type="dcterms:W3CDTF">2020-07-11T17:51:02Z</dcterms:modified>
  <cp:category/>
  <cp:version/>
  <cp:contentType/>
  <cp:contentStatus/>
</cp:coreProperties>
</file>