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Cumulative Stats" sheetId="1" r:id="rId1"/>
    <sheet name="Chargers" sheetId="2" r:id="rId2"/>
    <sheet name="@Jets" sheetId="3" r:id="rId3"/>
    <sheet name="Patriots" sheetId="4" r:id="rId4"/>
    <sheet name="Vikings" sheetId="5" r:id="rId5"/>
    <sheet name="@Colts" sheetId="6" r:id="rId6"/>
    <sheet name="@Patriots" sheetId="7" r:id="rId7"/>
    <sheet name="Colts" sheetId="8" r:id="rId8"/>
    <sheet name="@Eagles" sheetId="9" r:id="rId9"/>
    <sheet name="Bengals" sheetId="10" r:id="rId10"/>
    <sheet name="Oilers" sheetId="11" r:id="rId11"/>
    <sheet name="@Browns" sheetId="12" r:id="rId12"/>
    <sheet name="Dolphins" sheetId="13" r:id="rId13"/>
    <sheet name="@Chargers" sheetId="14" r:id="rId14"/>
    <sheet name="Jets" sheetId="15" r:id="rId15"/>
    <sheet name="@Steelers" sheetId="16" r:id="rId16"/>
    <sheet name="@Dolphins" sheetId="17" r:id="rId17"/>
  </sheets>
  <definedNames/>
  <calcPr fullCalcOnLoad="1"/>
</workbook>
</file>

<file path=xl/sharedStrings.xml><?xml version="1.0" encoding="utf-8"?>
<sst xmlns="http://schemas.openxmlformats.org/spreadsheetml/2006/main" count="4494" uniqueCount="150">
  <si>
    <t>Offensive Stats:</t>
  </si>
  <si>
    <t>Rushes</t>
  </si>
  <si>
    <t xml:space="preserve"> Yards Gained (Net)</t>
  </si>
  <si>
    <t xml:space="preserve"> Average Gain</t>
  </si>
  <si>
    <t>Passes Attempted</t>
  </si>
  <si>
    <t xml:space="preserve"> Completed</t>
  </si>
  <si>
    <t xml:space="preserve"> Percent Completed</t>
  </si>
  <si>
    <t xml:space="preserve"> Total Yards Gained</t>
  </si>
  <si>
    <t xml:space="preserve"> Passer Tackled</t>
  </si>
  <si>
    <t xml:space="preserve">    Yards Lost</t>
  </si>
  <si>
    <t xml:space="preserve"> Net Yards Gained</t>
  </si>
  <si>
    <t xml:space="preserve"> Yards Gained (Net) Per Pass Play</t>
  </si>
  <si>
    <t xml:space="preserve"> Yards Gained Per Completion</t>
  </si>
  <si>
    <t>Net Yards Gained</t>
  </si>
  <si>
    <t xml:space="preserve"> Rushing and Passing</t>
  </si>
  <si>
    <t xml:space="preserve"> Percent Total Yards - Rushing</t>
  </si>
  <si>
    <t>Ball Control Plays</t>
  </si>
  <si>
    <t xml:space="preserve"> Average Gain (Net)</t>
  </si>
  <si>
    <t>Interceptions</t>
  </si>
  <si>
    <t xml:space="preserve"> Had Intercepted</t>
  </si>
  <si>
    <t xml:space="preserve"> Yards Opponents Returned</t>
  </si>
  <si>
    <t xml:space="preserve"> Returned by Opponents for TD</t>
  </si>
  <si>
    <t>Punts</t>
  </si>
  <si>
    <t xml:space="preserve">  Yards Punted</t>
  </si>
  <si>
    <t xml:space="preserve">  Average Yards Per Punt</t>
  </si>
  <si>
    <t>Punt Returns</t>
  </si>
  <si>
    <t xml:space="preserve"> Yards Returned</t>
  </si>
  <si>
    <t xml:space="preserve"> Average Yards Per Return</t>
  </si>
  <si>
    <t xml:space="preserve"> Returned for TD</t>
  </si>
  <si>
    <t>First Downs</t>
  </si>
  <si>
    <t>Kickoff Returns</t>
  </si>
  <si>
    <t>Penalties</t>
  </si>
  <si>
    <t xml:space="preserve"> Yards Penalized</t>
  </si>
  <si>
    <t>Fumbles</t>
  </si>
  <si>
    <t>Total Points Scored</t>
  </si>
  <si>
    <t xml:space="preserve"> Touchdowns (Total)</t>
  </si>
  <si>
    <t xml:space="preserve"> Touchdowns Rushing</t>
  </si>
  <si>
    <t xml:space="preserve"> Touchdowns Passing</t>
  </si>
  <si>
    <t xml:space="preserve"> TD's on Returns and Recoveries</t>
  </si>
  <si>
    <t xml:space="preserve"> *Extra Points</t>
  </si>
  <si>
    <t xml:space="preserve"> Safeties</t>
  </si>
  <si>
    <t xml:space="preserve"> Field Goals</t>
  </si>
  <si>
    <t xml:space="preserve"> Field Goal Attempts</t>
  </si>
  <si>
    <t xml:space="preserve"> Percent Successful</t>
  </si>
  <si>
    <t>Defensive Stats:</t>
  </si>
  <si>
    <t>Individual Stats:</t>
  </si>
  <si>
    <t>Rushing:</t>
  </si>
  <si>
    <t xml:space="preserve">Att </t>
  </si>
  <si>
    <t>Yards</t>
  </si>
  <si>
    <t>Avg.</t>
  </si>
  <si>
    <t xml:space="preserve">Long </t>
  </si>
  <si>
    <t>TD</t>
  </si>
  <si>
    <t>Receiving:</t>
  </si>
  <si>
    <t>Rec.</t>
  </si>
  <si>
    <t>Passing:</t>
  </si>
  <si>
    <t>Att</t>
  </si>
  <si>
    <t>Com</t>
  </si>
  <si>
    <t>Pct</t>
  </si>
  <si>
    <t xml:space="preserve">Yards </t>
  </si>
  <si>
    <t>Gained</t>
  </si>
  <si>
    <t>Long</t>
  </si>
  <si>
    <t>Had</t>
  </si>
  <si>
    <t>Int.</t>
  </si>
  <si>
    <t xml:space="preserve">Pct </t>
  </si>
  <si>
    <t>Int</t>
  </si>
  <si>
    <t>Gain</t>
  </si>
  <si>
    <t>Rating</t>
  </si>
  <si>
    <t>Punt Returns:</t>
  </si>
  <si>
    <t>No.</t>
  </si>
  <si>
    <t>FC</t>
  </si>
  <si>
    <t>Yrds</t>
  </si>
  <si>
    <t>Punting:</t>
  </si>
  <si>
    <t>Blk</t>
  </si>
  <si>
    <t>KO</t>
  </si>
  <si>
    <t>TB</t>
  </si>
  <si>
    <t>XPA</t>
  </si>
  <si>
    <t>XPM</t>
  </si>
  <si>
    <t>FGA</t>
  </si>
  <si>
    <t>FGM</t>
  </si>
  <si>
    <t>Kicking:</t>
  </si>
  <si>
    <t>Fum</t>
  </si>
  <si>
    <t>Interceptions:</t>
  </si>
  <si>
    <t>Made</t>
  </si>
  <si>
    <t>Games Played</t>
  </si>
  <si>
    <t>Replay</t>
  </si>
  <si>
    <t>Actual</t>
  </si>
  <si>
    <t xml:space="preserve"> Percent Total Yards - Passing</t>
  </si>
  <si>
    <t>:</t>
  </si>
  <si>
    <t>Average Possesion:</t>
  </si>
  <si>
    <t>Possesion:</t>
  </si>
  <si>
    <t>Sacks:</t>
  </si>
  <si>
    <t>Possession</t>
  </si>
  <si>
    <t>Possession:</t>
  </si>
  <si>
    <t>3rd Down Attempts</t>
  </si>
  <si>
    <t>3rd Downs Converted</t>
  </si>
  <si>
    <t>% Converted</t>
  </si>
  <si>
    <t>Won</t>
  </si>
  <si>
    <t>Loss</t>
  </si>
  <si>
    <t>Takeaways</t>
  </si>
  <si>
    <t>Giveaways</t>
  </si>
  <si>
    <t>Ratio</t>
  </si>
  <si>
    <t>Lost</t>
  </si>
  <si>
    <t>Third Down Efficiency</t>
  </si>
  <si>
    <t xml:space="preserve">    Rushing</t>
  </si>
  <si>
    <t xml:space="preserve">    Penalty</t>
  </si>
  <si>
    <t xml:space="preserve">    Passing</t>
  </si>
  <si>
    <t>Others</t>
  </si>
  <si>
    <t>1985 Buffalo Bills</t>
  </si>
  <si>
    <t>Fair Catch</t>
  </si>
  <si>
    <t>Bell</t>
  </si>
  <si>
    <t>Cribbs</t>
  </si>
  <si>
    <t>Mathison</t>
  </si>
  <si>
    <t>Steels</t>
  </si>
  <si>
    <t>Pruitt</t>
  </si>
  <si>
    <t>Moore</t>
  </si>
  <si>
    <t>Ferragamo</t>
  </si>
  <si>
    <t>Hutchinson</t>
  </si>
  <si>
    <t>B. Smith</t>
  </si>
  <si>
    <t>Reed</t>
  </si>
  <si>
    <t>Butler</t>
  </si>
  <si>
    <t>Ramson</t>
  </si>
  <si>
    <t>Burkett</t>
  </si>
  <si>
    <t>Richardson</t>
  </si>
  <si>
    <t>Metzelaars</t>
  </si>
  <si>
    <t>Brookins</t>
  </si>
  <si>
    <t>Norris</t>
  </si>
  <si>
    <t>Teal</t>
  </si>
  <si>
    <t>V. Williams</t>
  </si>
  <si>
    <t>Reich</t>
  </si>
  <si>
    <t>Kidd</t>
  </si>
  <si>
    <t>D. Wilson</t>
  </si>
  <si>
    <t>Hill</t>
  </si>
  <si>
    <t>E. Wilson</t>
  </si>
  <si>
    <t>Norwood</t>
  </si>
  <si>
    <t>Romes</t>
  </si>
  <si>
    <t>Bellinger</t>
  </si>
  <si>
    <t>Bayless</t>
  </si>
  <si>
    <t>Burroughs</t>
  </si>
  <si>
    <t>Haslett</t>
  </si>
  <si>
    <t>Frazier</t>
  </si>
  <si>
    <t>Johnson</t>
  </si>
  <si>
    <t>D. Smith</t>
  </si>
  <si>
    <t>McNanie</t>
  </si>
  <si>
    <t>Talley</t>
  </si>
  <si>
    <t>Sanford</t>
  </si>
  <si>
    <t>Perryman</t>
  </si>
  <si>
    <t>Williams</t>
  </si>
  <si>
    <t>Smerlas</t>
  </si>
  <si>
    <t xml:space="preserve">Kidd </t>
  </si>
  <si>
    <t>Richter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</si>
</sst>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0"/>
    <numFmt numFmtId="167" formatCode="[$-409]h:mm:ss\ AM/PM"/>
    <numFmt numFmtId="168" formatCode="h:mm;@"/>
    <numFmt numFmtId="169" formatCode="mm:ss.0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4" fillId="0" borderId="0" xfId="0" applyFont="1" applyAlignment="1">
      <alignment/>
    </xf>
    <xf numFmtId="2" fontId="2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4"/>
  <sheetViews>
    <sheetView tabSelected="1" zoomScalePageLayoutView="0" workbookViewId="0" topLeftCell="A84">
      <selection activeCell="R96" sqref="R96:V101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107</v>
      </c>
      <c r="E1" s="2" t="s">
        <v>96</v>
      </c>
      <c r="F1" s="2" t="s">
        <v>97</v>
      </c>
    </row>
    <row r="2" spans="1:6" ht="12.75">
      <c r="A2" t="s">
        <v>83</v>
      </c>
      <c r="B2" s="2">
        <v>16</v>
      </c>
      <c r="E2">
        <f>Chargers!E2+'@Jets'!E2+Patriots!E2+Vikings!E2+'@Colts'!E2+'@Patriots'!E2+Colts!E2+'@Eagles'!E2+Bengals!E2+Oilers!E2+'@Browns'!E2+Dolphins!E2+'@Chargers'!E2+Jets!E2+'@Steelers'!E2+'@Dolphins'!E2</f>
        <v>5</v>
      </c>
      <c r="F2">
        <f>Chargers!F2+'@Jets'!F2+Patriots!F2+Vikings!F2+'@Colts'!F2+'@Patriots'!F2+Colts!F2+'@Eagles'!F2+Bengals!F2+Oilers!F2+'@Browns'!F2+Dolphins!F2+'@Chargers'!F2+Jets!F2+'@Steelers'!F2+'@Dolphins'!F2</f>
        <v>11</v>
      </c>
    </row>
    <row r="3" spans="1:8" ht="12.75">
      <c r="A3" s="2" t="s">
        <v>0</v>
      </c>
      <c r="H3" s="2" t="s">
        <v>44</v>
      </c>
    </row>
    <row r="4" spans="5:15" ht="12.75">
      <c r="E4" s="3" t="s">
        <v>84</v>
      </c>
      <c r="F4" s="3" t="s">
        <v>85</v>
      </c>
      <c r="N4" s="3" t="s">
        <v>84</v>
      </c>
      <c r="O4" s="3" t="s">
        <v>85</v>
      </c>
    </row>
    <row r="6" spans="1:15" ht="12.75">
      <c r="A6" s="1" t="s">
        <v>29</v>
      </c>
      <c r="D6" s="2">
        <f>D7+D8+D9</f>
        <v>319</v>
      </c>
      <c r="E6" s="8">
        <f>+D6/$B$2</f>
        <v>19.9375</v>
      </c>
      <c r="F6" s="8">
        <f>256/16</f>
        <v>16</v>
      </c>
      <c r="H6" s="1" t="s">
        <v>29</v>
      </c>
      <c r="M6" s="2">
        <f>M7+M8+M9</f>
        <v>373</v>
      </c>
      <c r="N6" s="8">
        <f>+M6/$B$2</f>
        <v>23.3125</v>
      </c>
      <c r="O6" s="21">
        <f>320/16</f>
        <v>20</v>
      </c>
    </row>
    <row r="7" spans="1:15" ht="12.75">
      <c r="A7" s="1" t="s">
        <v>103</v>
      </c>
      <c r="D7" s="2">
        <f>+Chargers!D7+'@Jets'!D7+Patriots!D7+Vikings!D7+'@Colts'!D7+'@Patriots'!D7+Colts!D7+'@Eagles'!D7+Bengals!D7+Oilers!D7+'@Browns'!D7+Dolphins!D7+'@Chargers'!D7+Jets!D7+'@Steelers'!D7+'@Dolphins'!D7</f>
        <v>105</v>
      </c>
      <c r="E7" s="8">
        <f>+D7/$B$2</f>
        <v>6.5625</v>
      </c>
      <c r="F7" s="8">
        <f>86/16</f>
        <v>5.375</v>
      </c>
      <c r="H7" s="1" t="s">
        <v>103</v>
      </c>
      <c r="M7" s="2">
        <f>+Chargers!M7+'@Jets'!M7+Patriots!M7+Vikings!M7+'@Colts'!M7+'@Patriots'!M7+Colts!M7+'@Eagles'!M7+Bengals!M7+Oilers!M7+'@Browns'!M7+Dolphins!M7+'@Chargers'!M7+Jets!M7+'@Steelers'!M7+'@Dolphins'!M7</f>
        <v>169</v>
      </c>
      <c r="N7" s="8">
        <f>+M7/$B$2</f>
        <v>10.5625</v>
      </c>
      <c r="O7" s="21">
        <f>142/16</f>
        <v>8.875</v>
      </c>
    </row>
    <row r="8" spans="1:15" ht="12.75">
      <c r="A8" s="1" t="s">
        <v>105</v>
      </c>
      <c r="D8" s="2">
        <f>+Chargers!D8+'@Jets'!D8+Patriots!D8+Vikings!D8+'@Colts'!D8+'@Patriots'!D8+Colts!D8+'@Eagles'!D8+Bengals!D8+Oilers!D8+'@Browns'!D8+Dolphins!D8+'@Chargers'!D8+Jets!D8+'@Steelers'!D8+'@Dolphins'!D8</f>
        <v>169</v>
      </c>
      <c r="E8" s="8">
        <f>+D8/$B$2</f>
        <v>10.5625</v>
      </c>
      <c r="F8" s="8">
        <f>151/16</f>
        <v>9.4375</v>
      </c>
      <c r="H8" s="1" t="s">
        <v>105</v>
      </c>
      <c r="M8" s="2">
        <f>+Chargers!M8+'@Jets'!M8+Patriots!M8+Vikings!M8+'@Colts'!M8+'@Patriots'!M8+Colts!M8+'@Eagles'!M8+Bengals!M8+Oilers!M8+'@Browns'!M8+Dolphins!M8+'@Chargers'!M8+Jets!M8+'@Steelers'!M8+'@Dolphins'!M8</f>
        <v>176</v>
      </c>
      <c r="N8" s="8">
        <f>+M8/$B$2</f>
        <v>11</v>
      </c>
      <c r="O8" s="21">
        <f>159/16</f>
        <v>9.9375</v>
      </c>
    </row>
    <row r="9" spans="1:15" ht="12.75">
      <c r="A9" s="1" t="s">
        <v>104</v>
      </c>
      <c r="D9" s="2">
        <f>+Chargers!D9+'@Jets'!D9+Patriots!D9+Vikings!D9+'@Colts'!D9+'@Patriots'!D9+Colts!D9+'@Eagles'!D9+Bengals!D9+Oilers!D9+'@Browns'!D9+Dolphins!D9+'@Chargers'!D9+Jets!D9+'@Steelers'!D9+'@Dolphins'!D9</f>
        <v>45</v>
      </c>
      <c r="E9" s="8">
        <f>+D9/$B$2</f>
        <v>2.8125</v>
      </c>
      <c r="F9" s="8">
        <f>19/16</f>
        <v>1.1875</v>
      </c>
      <c r="H9" s="1" t="s">
        <v>104</v>
      </c>
      <c r="M9" s="2">
        <f>+Chargers!M9+'@Jets'!M9+Patriots!M9+Vikings!M9+'@Colts'!M9+'@Patriots'!M9+Colts!M9+'@Eagles'!M9+Bengals!M9+Oilers!M9+'@Browns'!M9+Dolphins!M9+'@Chargers'!M9+Jets!M9+'@Steelers'!M9+'@Dolphins'!M9</f>
        <v>28</v>
      </c>
      <c r="N9" s="8">
        <f>+M9/$B$2</f>
        <v>1.75</v>
      </c>
      <c r="O9" s="21">
        <f>19/16</f>
        <v>1.1875</v>
      </c>
    </row>
    <row r="10" spans="5:15" ht="12.75">
      <c r="E10" s="8"/>
      <c r="F10" s="8"/>
      <c r="N10" s="8"/>
      <c r="O10" s="21"/>
    </row>
    <row r="11" spans="1:23" ht="12.75">
      <c r="A11" t="s">
        <v>1</v>
      </c>
      <c r="D11" s="2">
        <f>+Chargers!D11+'@Jets'!D11+Patriots!D11+Vikings!D11+'@Colts'!D11+'@Patriots'!D11+Colts!D11+'@Eagles'!D11+Bengals!D11+Oilers!D11+'@Browns'!D11+Dolphins!D11+'@Chargers'!D11+Jets!D11+'@Steelers'!D11+'@Dolphins'!D11</f>
        <v>416</v>
      </c>
      <c r="E11" s="8">
        <f>+D11/$B$2</f>
        <v>26</v>
      </c>
      <c r="F11" s="8">
        <f>412/16</f>
        <v>25.75</v>
      </c>
      <c r="H11" t="s">
        <v>1</v>
      </c>
      <c r="M11" s="2">
        <f>+Chargers!M11+'@Jets'!M11+Patriots!M11+Vikings!M11+'@Colts'!M11+'@Patriots'!M11+Colts!M11+'@Eagles'!M11+Bengals!M11+Oilers!M11+'@Browns'!M11+Dolphins!M11+'@Chargers'!M11+Jets!M11+'@Steelers'!M11+'@Dolphins'!M11</f>
        <v>531</v>
      </c>
      <c r="N11" s="8">
        <f>+M11/$B$2</f>
        <v>33.1875</v>
      </c>
      <c r="O11" s="21">
        <f>569/16</f>
        <v>35.5625</v>
      </c>
      <c r="V11">
        <f>+D11</f>
        <v>416</v>
      </c>
      <c r="W11">
        <f>+M11</f>
        <v>531</v>
      </c>
    </row>
    <row r="12" spans="1:23" ht="12.75">
      <c r="A12" t="s">
        <v>2</v>
      </c>
      <c r="D12" s="2">
        <f>+Chargers!D12+'@Jets'!D12+Patriots!D12+Vikings!D12+'@Colts'!D12+'@Patriots'!D12+Colts!D12+'@Eagles'!D12+Bengals!D12+Oilers!D12+'@Browns'!D12+Dolphins!D12+'@Chargers'!D12+Jets!D12+'@Steelers'!D12+'@Dolphins'!D12</f>
        <v>1779</v>
      </c>
      <c r="E12" s="8">
        <f>+D12/$B$2</f>
        <v>111.1875</v>
      </c>
      <c r="F12" s="8">
        <f>1611/16</f>
        <v>100.6875</v>
      </c>
      <c r="H12" t="s">
        <v>2</v>
      </c>
      <c r="M12" s="2">
        <f>+Chargers!M12+'@Jets'!M12+Patriots!M12+Vikings!M12+'@Colts'!M12+'@Patriots'!M12+Colts!M12+'@Eagles'!M12+Bengals!M12+Oilers!M12+'@Browns'!M12+Dolphins!M12+'@Chargers'!M12+Jets!M12+'@Steelers'!M12+'@Dolphins'!M12</f>
        <v>2677</v>
      </c>
      <c r="N12" s="8">
        <f>+M12/$B$2</f>
        <v>167.3125</v>
      </c>
      <c r="O12" s="21">
        <f>2462/16</f>
        <v>153.875</v>
      </c>
      <c r="U12" s="13"/>
      <c r="V12">
        <f>+D16</f>
        <v>260</v>
      </c>
      <c r="W12">
        <f>+M16</f>
        <v>337</v>
      </c>
    </row>
    <row r="13" spans="1:23" ht="12.75">
      <c r="A13" s="1" t="s">
        <v>3</v>
      </c>
      <c r="D13" s="8">
        <f>+D12/D11</f>
        <v>4.2764423076923075</v>
      </c>
      <c r="E13" s="8"/>
      <c r="F13" s="8">
        <f>F12/F11</f>
        <v>3.9101941747572817</v>
      </c>
      <c r="H13" s="1" t="s">
        <v>3</v>
      </c>
      <c r="M13" s="8">
        <f>+M12/M11</f>
        <v>5.041431261770245</v>
      </c>
      <c r="N13" s="8"/>
      <c r="O13" s="21">
        <f>+O12/O11</f>
        <v>4.3268892794376095</v>
      </c>
      <c r="V13">
        <f>+(D15-D16)/2</f>
        <v>144.5</v>
      </c>
      <c r="W13">
        <f>+(M15-M16)/2</f>
        <v>88</v>
      </c>
    </row>
    <row r="14" spans="5:23" ht="12.75">
      <c r="E14" s="8"/>
      <c r="F14" s="8"/>
      <c r="N14" s="8"/>
      <c r="O14" s="21"/>
      <c r="V14">
        <f>+D38/2</f>
        <v>39</v>
      </c>
      <c r="W14">
        <f>+M38/2</f>
        <v>37.5</v>
      </c>
    </row>
    <row r="15" spans="1:23" ht="12.75">
      <c r="A15" t="s">
        <v>4</v>
      </c>
      <c r="D15" s="2">
        <f>+Chargers!D15+'@Jets'!D15+Patriots!D15+Vikings!D15+'@Colts'!D15+'@Patriots'!D15+Colts!D15+'@Eagles'!D15+Bengals!D15+Oilers!D15+'@Browns'!D15+Dolphins!D15+'@Chargers'!D15+Jets!D15+'@Steelers'!D15+'@Dolphins'!D15</f>
        <v>549</v>
      </c>
      <c r="E15" s="8">
        <f>+D15/$B$2</f>
        <v>34.3125</v>
      </c>
      <c r="F15" s="8">
        <f>517/16</f>
        <v>32.3125</v>
      </c>
      <c r="H15" t="s">
        <v>4</v>
      </c>
      <c r="M15" s="2">
        <f>+Chargers!M15+'@Jets'!M15+Patriots!M15+Vikings!M15+'@Colts'!M15+'@Patriots'!M15+Colts!M15+'@Eagles'!M15+Bengals!M15+Oilers!M15+'@Browns'!M15+Dolphins!M15+'@Chargers'!M15+Jets!M15+'@Steelers'!M15+'@Dolphins'!M15</f>
        <v>513</v>
      </c>
      <c r="N15" s="8">
        <f>+M15/$B$2</f>
        <v>32.0625</v>
      </c>
      <c r="O15" s="21">
        <f>477/16</f>
        <v>29.8125</v>
      </c>
      <c r="V15">
        <f>+D42/2</f>
        <v>18</v>
      </c>
      <c r="W15">
        <f>+M42/2</f>
        <v>19.5</v>
      </c>
    </row>
    <row r="16" spans="1:23" ht="12.75">
      <c r="A16" t="s">
        <v>5</v>
      </c>
      <c r="D16" s="2">
        <f>+Chargers!D16+'@Jets'!D16+Patriots!D16+Vikings!D16+'@Colts'!D16+'@Patriots'!D16+Colts!D16+'@Eagles'!D16+Bengals!D16+Oilers!D16+'@Browns'!D16+Dolphins!D16+'@Chargers'!D16+Jets!D16+'@Steelers'!D16+'@Dolphins'!D16</f>
        <v>260</v>
      </c>
      <c r="E16" s="8">
        <f>+D16/$B$2</f>
        <v>16.25</v>
      </c>
      <c r="F16" s="8">
        <f>263/16</f>
        <v>16.4375</v>
      </c>
      <c r="H16" t="s">
        <v>5</v>
      </c>
      <c r="M16" s="2">
        <f>+Chargers!M16+'@Jets'!M16+Patriots!M16+Vikings!M16+'@Colts'!M16+'@Patriots'!M16+Colts!M16+'@Eagles'!M16+Bengals!M16+Oilers!M16+'@Browns'!M16+Dolphins!M16+'@Chargers'!M16+Jets!M16+'@Steelers'!M15+'@Dolphins'!M15</f>
        <v>337</v>
      </c>
      <c r="N16" s="8">
        <f>+M16/$B$2</f>
        <v>21.0625</v>
      </c>
      <c r="O16" s="21">
        <f>265/16</f>
        <v>16.5625</v>
      </c>
      <c r="V16">
        <f>+D48/2</f>
        <v>33</v>
      </c>
      <c r="W16">
        <f>+M48/2</f>
        <v>26.5</v>
      </c>
    </row>
    <row r="17" spans="1:15" ht="12.75">
      <c r="A17" t="s">
        <v>6</v>
      </c>
      <c r="D17" s="8">
        <f>+D16/D15*100</f>
        <v>47.35883424408014</v>
      </c>
      <c r="E17" s="8">
        <f>+E16/E15*100</f>
        <v>47.35883424408014</v>
      </c>
      <c r="F17" s="8">
        <f>+F16/F15*100</f>
        <v>50.870406189555126</v>
      </c>
      <c r="H17" t="s">
        <v>6</v>
      </c>
      <c r="M17" s="8">
        <f>+M16/M15*100</f>
        <v>65.69200779727096</v>
      </c>
      <c r="N17" s="8">
        <f>+N16/N15*100</f>
        <v>65.69200779727096</v>
      </c>
      <c r="O17" s="21">
        <f>+O16/O15*100</f>
        <v>55.55555555555556</v>
      </c>
    </row>
    <row r="18" spans="1:24" ht="12.75">
      <c r="A18" t="s">
        <v>7</v>
      </c>
      <c r="D18" s="2">
        <f>+Chargers!D18+'@Jets'!D18+Patriots!D18+Vikings!D18+'@Colts'!D18+'@Patriots'!D18+Colts!D18+'@Eagles'!D18+Bengals!D18+Oilers!D18+'@Browns'!D18+Dolphins!D18+'@Chargers'!D18+Jets!D18+'@Steelers'!D18+'@Dolphins'!D18</f>
        <v>3588</v>
      </c>
      <c r="E18" s="8">
        <f>+D18/$B$2</f>
        <v>224.25</v>
      </c>
      <c r="F18" s="8">
        <f>3331/16</f>
        <v>208.1875</v>
      </c>
      <c r="H18" t="s">
        <v>7</v>
      </c>
      <c r="M18" s="2">
        <f>+Chargers!M18+'@Jets'!M18+Patriots!M18+Vikings!M18+'@Colts'!M18+'@Patriots'!M18+Colts!M18+'@Eagles'!M18+Bengals!M18+Oilers!M18+'@Browns'!M18+Dolphins!M18+'@Chargers'!M18+Jets!M18+'@Steelers'!M18+'@Dolphins'!M18</f>
        <v>3731</v>
      </c>
      <c r="N18" s="8">
        <f>+M18/$B$2</f>
        <v>233.1875</v>
      </c>
      <c r="O18" s="21">
        <f>3301/16</f>
        <v>206.3125</v>
      </c>
      <c r="V18">
        <f>SUM(V11:V16)</f>
        <v>910.5</v>
      </c>
      <c r="W18">
        <f>SUM(W11:W16)</f>
        <v>1039.5</v>
      </c>
      <c r="X18">
        <f>+W18+V18</f>
        <v>1950</v>
      </c>
    </row>
    <row r="19" spans="1:23" ht="12.75">
      <c r="A19" t="s">
        <v>8</v>
      </c>
      <c r="D19" s="2">
        <f>+Chargers!D19+'@Jets'!D19+Patriots!D19+Vikings!D19+'@Colts'!D19+'@Patriots'!D19+Colts!D19+'@Eagles'!D19+Bengals!D19+Oilers!D19+'@Browns'!D19+Dolphins!D19+'@Chargers'!D19+Jets!D19+'@Steelers'!D19+'@Dolphins'!D19</f>
        <v>39</v>
      </c>
      <c r="E19" s="8">
        <f>+D19/$B$2</f>
        <v>2.4375</v>
      </c>
      <c r="F19" s="8">
        <f>42/16</f>
        <v>2.625</v>
      </c>
      <c r="H19" t="s">
        <v>8</v>
      </c>
      <c r="M19" s="2">
        <f>+Chargers!M19+'@Jets'!M19+Patriots!M19+Vikings!M19+'@Colts'!M19+'@Patriots'!M19+Colts!M19+'@Eagles'!M19+Bengals!M19+Oilers!M19+'@Browns'!M19+Dolphins!M19+'@Chargers'!M19+Jets!M19+'@Steelers'!M19+'@Dolphins'!M19</f>
        <v>29</v>
      </c>
      <c r="N19" s="8">
        <f>+M19/$B$2</f>
        <v>1.8125</v>
      </c>
      <c r="O19" s="21">
        <f>25/16</f>
        <v>1.5625</v>
      </c>
      <c r="V19">
        <f>+V18/X18</f>
        <v>0.46692307692307694</v>
      </c>
      <c r="W19">
        <f>+W18/X18</f>
        <v>0.5330769230769231</v>
      </c>
    </row>
    <row r="20" spans="1:23" ht="12.75">
      <c r="A20" t="s">
        <v>9</v>
      </c>
      <c r="D20" s="2">
        <f>+Chargers!D20+'@Jets'!D20+Patriots!D20+Vikings!D20+'@Colts'!D20+'@Patriots'!D20+Colts!D20+'@Eagles'!D20+Bengals!D20+Oilers!D20+'@Browns'!D20+Dolphins!D20+'@Chargers'!D20+Jets!D20+'@Steelers'!D20+'@Dolphins'!D20</f>
        <v>309</v>
      </c>
      <c r="E20" s="8"/>
      <c r="F20" s="8">
        <f>347/16</f>
        <v>21.6875</v>
      </c>
      <c r="H20" t="s">
        <v>9</v>
      </c>
      <c r="M20" s="2">
        <f>+Chargers!M20+'@Jets'!M20+Patriots!M20+Vikings!M20+'@Colts'!M20+'@Patriots'!M20+Colts!M20+'@Eagles'!M20+Bengals!M20+Oilers!M20+'@Browns'!M20+Dolphins!M20+'@Chargers'!M20+Jets!M20+'@Steelers'!M20+'@Dolphins'!M20</f>
        <v>256</v>
      </c>
      <c r="N20" s="8"/>
      <c r="O20" s="21">
        <f>223/16</f>
        <v>13.9375</v>
      </c>
      <c r="V20">
        <f>+V19*60</f>
        <v>28.015384615384615</v>
      </c>
      <c r="W20">
        <f>+W19*60</f>
        <v>31.984615384615388</v>
      </c>
    </row>
    <row r="21" spans="1:23" ht="12.75">
      <c r="A21" t="s">
        <v>10</v>
      </c>
      <c r="D21">
        <f>+D18-D20</f>
        <v>3279</v>
      </c>
      <c r="E21" s="8">
        <f>+D21/B2</f>
        <v>204.9375</v>
      </c>
      <c r="F21" s="8">
        <f>F18-F20</f>
        <v>186.5</v>
      </c>
      <c r="H21" t="s">
        <v>10</v>
      </c>
      <c r="M21">
        <f>+M18-M20</f>
        <v>3475</v>
      </c>
      <c r="N21" s="8">
        <f>+M21/B2</f>
        <v>217.1875</v>
      </c>
      <c r="O21" s="21">
        <f>O18-O20</f>
        <v>192.375</v>
      </c>
      <c r="V21">
        <f>+V20-INT(V20)</f>
        <v>0.01538461538461533</v>
      </c>
      <c r="W21">
        <f>+W20-INT(W20)</f>
        <v>0.9846153846153882</v>
      </c>
    </row>
    <row r="22" spans="1:23" ht="12.75">
      <c r="A22" t="s">
        <v>11</v>
      </c>
      <c r="D22" s="7">
        <f>+D21/(D15+D19)</f>
        <v>5.576530612244898</v>
      </c>
      <c r="E22" s="8"/>
      <c r="F22" s="8">
        <f>F21/(F15+F19)</f>
        <v>5.338103756708408</v>
      </c>
      <c r="H22" t="s">
        <v>11</v>
      </c>
      <c r="M22" s="7">
        <f>+M21/(M15+M19)</f>
        <v>6.411439114391144</v>
      </c>
      <c r="N22" s="8"/>
      <c r="O22" s="21">
        <f>O21/(O15+O19)</f>
        <v>6.131474103585657</v>
      </c>
      <c r="V22">
        <f>+V21*60</f>
        <v>0.9230769230769198</v>
      </c>
      <c r="W22">
        <f>+W21*60</f>
        <v>59.07692307692329</v>
      </c>
    </row>
    <row r="23" spans="1:23" ht="12.75">
      <c r="A23" t="s">
        <v>12</v>
      </c>
      <c r="D23" s="7">
        <f>+D18/D16</f>
        <v>13.8</v>
      </c>
      <c r="E23" s="8"/>
      <c r="F23" s="8">
        <f>F18/F16</f>
        <v>12.665399239543726</v>
      </c>
      <c r="H23" t="s">
        <v>12</v>
      </c>
      <c r="M23" s="7">
        <f>+M18/M16</f>
        <v>11.071216617210682</v>
      </c>
      <c r="N23" s="8"/>
      <c r="O23" s="21">
        <f>O18/O16</f>
        <v>12.456603773584906</v>
      </c>
      <c r="U23">
        <v>0</v>
      </c>
      <c r="V23" s="11">
        <f>ROUND(V22,0)</f>
        <v>1</v>
      </c>
      <c r="W23">
        <f>ROUND(W22,0)</f>
        <v>59</v>
      </c>
    </row>
    <row r="24" spans="5:23" ht="12.75">
      <c r="E24" s="8"/>
      <c r="F24" s="8"/>
      <c r="N24" s="8"/>
      <c r="O24" s="21"/>
      <c r="V24">
        <f>INT(V20)</f>
        <v>28</v>
      </c>
      <c r="W24">
        <f>INT(W20)</f>
        <v>31</v>
      </c>
    </row>
    <row r="25" spans="1:23" ht="12.75">
      <c r="A25" t="s">
        <v>13</v>
      </c>
      <c r="E25" s="8"/>
      <c r="F25" s="8"/>
      <c r="H25" t="s">
        <v>13</v>
      </c>
      <c r="N25" s="8"/>
      <c r="O25" s="21"/>
      <c r="V25" t="s">
        <v>87</v>
      </c>
      <c r="W25" t="s">
        <v>87</v>
      </c>
    </row>
    <row r="26" spans="1:23" ht="12.75">
      <c r="A26" t="s">
        <v>14</v>
      </c>
      <c r="D26">
        <f>+D21+D12</f>
        <v>5058</v>
      </c>
      <c r="E26" s="8">
        <f>+D26/B2</f>
        <v>316.125</v>
      </c>
      <c r="F26" s="8">
        <f>F12+F21</f>
        <v>287.1875</v>
      </c>
      <c r="H26" t="s">
        <v>14</v>
      </c>
      <c r="M26">
        <f>+M21+M12</f>
        <v>6152</v>
      </c>
      <c r="N26" s="8">
        <f>+M26/B2</f>
        <v>384.5</v>
      </c>
      <c r="O26" s="21">
        <f>O12+O21</f>
        <v>346.25</v>
      </c>
      <c r="V26" s="14" t="str">
        <f>+V24&amp;V25&amp;V23</f>
        <v>28:1</v>
      </c>
      <c r="W26" s="9" t="str">
        <f>+W24&amp;W25&amp;W23</f>
        <v>31:59</v>
      </c>
    </row>
    <row r="27" spans="1:23" ht="12.75">
      <c r="A27" t="s">
        <v>15</v>
      </c>
      <c r="D27" s="7">
        <f>+D12/D26*100</f>
        <v>35.17200474495848</v>
      </c>
      <c r="E27" s="8"/>
      <c r="F27" s="8">
        <f>+F12/F26*100</f>
        <v>35.059847660500544</v>
      </c>
      <c r="H27" t="s">
        <v>15</v>
      </c>
      <c r="M27" s="7">
        <f>+M12/M26*100</f>
        <v>43.51430429128739</v>
      </c>
      <c r="N27" s="8"/>
      <c r="O27" s="21">
        <f>+O12/O26*100</f>
        <v>44.44043321299639</v>
      </c>
      <c r="V27" s="9" t="str">
        <f>IF(V23&lt;10,+V24&amp;V25&amp;$U$23&amp;V23,+V24&amp;V25&amp;V23)</f>
        <v>28:01</v>
      </c>
      <c r="W27" s="9" t="str">
        <f>IF(W23&lt;10,+W24&amp;W25&amp;$U$23&amp;W23,+W24&amp;W25&amp;W23)</f>
        <v>31:59</v>
      </c>
    </row>
    <row r="28" spans="1:15" ht="12.75">
      <c r="A28" s="1" t="s">
        <v>86</v>
      </c>
      <c r="D28" s="7">
        <f>+D21/D26*100</f>
        <v>64.82799525504151</v>
      </c>
      <c r="E28" s="8"/>
      <c r="F28" s="8">
        <f>+F21/F26*100</f>
        <v>64.94015233949946</v>
      </c>
      <c r="H28" s="1" t="s">
        <v>86</v>
      </c>
      <c r="M28" s="7">
        <f>+M21/M26*100</f>
        <v>56.48569570871261</v>
      </c>
      <c r="N28" s="8"/>
      <c r="O28" s="21">
        <f>O21/O26*100</f>
        <v>55.55956678700361</v>
      </c>
    </row>
    <row r="29" spans="5:15" ht="12.75">
      <c r="E29" s="8"/>
      <c r="F29" s="8"/>
      <c r="N29" s="8"/>
      <c r="O29" s="21"/>
    </row>
    <row r="30" spans="1:15" ht="12.75">
      <c r="A30" t="s">
        <v>16</v>
      </c>
      <c r="D30">
        <f>+D11+D15+D19</f>
        <v>1004</v>
      </c>
      <c r="E30" s="8">
        <f>+D30/$B$2</f>
        <v>62.75</v>
      </c>
      <c r="F30" s="8">
        <f>F11+F15+F19</f>
        <v>60.6875</v>
      </c>
      <c r="H30" t="s">
        <v>16</v>
      </c>
      <c r="M30">
        <f>+M11+M15+M19</f>
        <v>1073</v>
      </c>
      <c r="N30" s="8">
        <f>+M30/$B$2</f>
        <v>67.0625</v>
      </c>
      <c r="O30" s="21">
        <f>O11+O15+O19</f>
        <v>66.9375</v>
      </c>
    </row>
    <row r="31" spans="1:15" ht="12.75">
      <c r="A31" t="s">
        <v>17</v>
      </c>
      <c r="D31" s="8">
        <f>+D26/D30</f>
        <v>5.03784860557769</v>
      </c>
      <c r="E31" s="8"/>
      <c r="F31" s="8">
        <f>+F26/F30</f>
        <v>4.732234809474768</v>
      </c>
      <c r="G31" s="7"/>
      <c r="H31" s="7" t="s">
        <v>17</v>
      </c>
      <c r="I31" s="7"/>
      <c r="J31" s="7"/>
      <c r="K31" s="7"/>
      <c r="L31" s="7"/>
      <c r="M31" s="8">
        <f>+M26/M30</f>
        <v>5.733457595526561</v>
      </c>
      <c r="N31" s="8"/>
      <c r="O31" s="21">
        <f>+O26/O30</f>
        <v>5.172735760971055</v>
      </c>
    </row>
    <row r="32" spans="5:15" ht="12.75">
      <c r="E32" s="8"/>
      <c r="F32" s="8"/>
      <c r="N32" s="8"/>
      <c r="O32" s="21"/>
    </row>
    <row r="33" spans="1:15" ht="12.75">
      <c r="A33" t="s">
        <v>18</v>
      </c>
      <c r="E33" s="8"/>
      <c r="F33" s="8"/>
      <c r="H33" t="s">
        <v>18</v>
      </c>
      <c r="N33" s="8"/>
      <c r="O33" s="21"/>
    </row>
    <row r="34" spans="1:15" ht="12.75">
      <c r="A34" t="s">
        <v>19</v>
      </c>
      <c r="D34" s="2">
        <f>+Chargers!D34+'@Jets'!D34+Patriots!D34+Vikings!D34+'@Colts'!D34+'@Patriots'!D34+Colts!D34+'@Eagles'!D34+Bengals!D34+Oilers!D34+'@Browns'!D34+Dolphins!D34+'@Chargers'!D34+Jets!D34+'@Steelers'!D34+'@Dolphins'!D34</f>
        <v>31</v>
      </c>
      <c r="E34" s="8">
        <f>+D34/$B$2</f>
        <v>1.9375</v>
      </c>
      <c r="F34" s="8">
        <f>31/16</f>
        <v>1.9375</v>
      </c>
      <c r="H34" t="s">
        <v>19</v>
      </c>
      <c r="M34" s="2">
        <f>+Chargers!M34+'@Jets'!M34+Patriots!M34+Vikings!M34+'@Colts'!M34+'@Patriots'!M34+Colts!M34+'@Eagles'!M34+Bengals!M34+Oilers!M34+'@Browns'!M34+Dolphins!M34+'@Chargers'!M34+Jets!M34+'@Steelers'!M34+'@Dolphins'!M34</f>
        <v>12</v>
      </c>
      <c r="N34" s="8">
        <f>+M34/$B$2</f>
        <v>0.75</v>
      </c>
      <c r="O34" s="21">
        <f>20/16</f>
        <v>1.25</v>
      </c>
    </row>
    <row r="35" spans="1:15" ht="12.75">
      <c r="A35" t="s">
        <v>20</v>
      </c>
      <c r="D35" s="2">
        <f>+Chargers!D35+'@Jets'!D35+Patriots!D35+Vikings!D35+'@Colts'!D35+'@Patriots'!D35+Colts!D35+'@Eagles'!D35+Bengals!D35+Oilers!D35+'@Browns'!D35+Dolphins!D35+'@Chargers'!D35+Jets!D35+'@Steelers'!D35+'@Dolphins'!D35</f>
        <v>346</v>
      </c>
      <c r="E35" s="8"/>
      <c r="F35" s="8">
        <f>418/16</f>
        <v>26.125</v>
      </c>
      <c r="H35" t="s">
        <v>20</v>
      </c>
      <c r="M35" s="2">
        <f>+Chargers!M35+'@Jets'!M35+Patriots!M35+Vikings!M35+'@Colts'!M35+'@Patriots'!M35+Colts!M35+'@Eagles'!M35+Bengals!M35+Oilers!M35+'@Browns'!M35+Dolphins!M35+'@Chargers'!M35+Jets!M35+'@Steelers'!M35+'@Dolphins'!M35</f>
        <v>146</v>
      </c>
      <c r="N35" s="8"/>
      <c r="O35" s="21">
        <f>225/16</f>
        <v>14.0625</v>
      </c>
    </row>
    <row r="36" spans="1:15" ht="12.75">
      <c r="A36" t="s">
        <v>21</v>
      </c>
      <c r="D36" s="2">
        <f>+Chargers!D36+'@Jets'!D36+Patriots!D36+Vikings!D36+'@Colts'!D36+'@Patriots'!D36+Colts!D36+'@Eagles'!D36+Bengals!D36+Oilers!D36+'@Browns'!D36+Dolphins!D36+'@Chargers'!D36+Jets!D36+'@Steelers'!D36+'@Dolphins'!D36</f>
        <v>2</v>
      </c>
      <c r="E36" s="8"/>
      <c r="F36" s="8">
        <f>4/16</f>
        <v>0.25</v>
      </c>
      <c r="H36" t="s">
        <v>21</v>
      </c>
      <c r="M36" s="2">
        <f>+Chargers!M36+'@Jets'!M36+Patriots!M36+Vikings!M36+'@Colts'!M36+'@Patriots'!M36+Colts!M36+'@Eagles'!M36+Bengals!M36+Oilers!M36+'@Browns'!M36+Dolphins!M36+'@Chargers'!M36+Jets!M36+'@Steelers'!M36+'@Dolphins'!M36</f>
        <v>0</v>
      </c>
      <c r="N36" s="8"/>
      <c r="O36" s="21">
        <f>0/16</f>
        <v>0</v>
      </c>
    </row>
    <row r="37" spans="5:15" ht="12.75">
      <c r="E37" s="8"/>
      <c r="F37" s="8"/>
      <c r="N37" s="8"/>
      <c r="O37" s="21"/>
    </row>
    <row r="38" spans="1:15" ht="12.75">
      <c r="A38" t="s">
        <v>22</v>
      </c>
      <c r="D38" s="2">
        <f>+Chargers!D38+'@Jets'!D38+Patriots!D38+Vikings!D38+'@Colts'!D38+'@Patriots'!D38+Colts!D38+'@Eagles'!D38+Bengals!D38+Oilers!D38+'@Browns'!D38+Dolphins!D38+'@Chargers'!D38+Jets!D38+'@Steelers'!D38+'@Dolphins'!D38</f>
        <v>78</v>
      </c>
      <c r="E38" s="8">
        <f>+D38/$B$2</f>
        <v>4.875</v>
      </c>
      <c r="F38" s="21">
        <f>92/16</f>
        <v>5.75</v>
      </c>
      <c r="H38" t="s">
        <v>22</v>
      </c>
      <c r="M38" s="2">
        <f>+Chargers!M38+'@Jets'!M38+Patriots!M38+Vikings!M38+'@Colts'!M38+'@Patriots'!M38+Colts!M38+'@Eagles'!M38+Bengals!M38+Oilers!M38+'@Browns'!M38+Dolphins!M38+'@Chargers'!M38+Jets!M38+'@Steelers'!M38+'@Dolphins'!M38</f>
        <v>75</v>
      </c>
      <c r="N38" s="8">
        <f>+M38/$B$2</f>
        <v>4.6875</v>
      </c>
      <c r="O38" s="21">
        <f>81/16</f>
        <v>5.0625</v>
      </c>
    </row>
    <row r="39" spans="1:15" ht="12.75">
      <c r="A39" t="s">
        <v>23</v>
      </c>
      <c r="D39" s="2">
        <f>+Chargers!D39+'@Jets'!D39+Patriots!D39+Vikings!D39+'@Colts'!D39+'@Patriots'!D39+Colts!D39+'@Eagles'!D39+Bengals!D39+Oilers!D39+'@Browns'!D39+Dolphins!D39+'@Chargers'!D39+Jets!D39+'@Steelers'!D39+'@Dolphins'!D39</f>
        <v>3202</v>
      </c>
      <c r="E39" s="8">
        <f>+D39/$B$2</f>
        <v>200.125</v>
      </c>
      <c r="F39" s="21">
        <f>3818/16</f>
        <v>238.625</v>
      </c>
      <c r="H39" t="s">
        <v>23</v>
      </c>
      <c r="M39" s="2">
        <f>+Chargers!M39+'@Jets'!M39+Patriots!M39+Vikings!M39+'@Colts'!M39+'@Patriots'!M39+Colts!M39+'@Eagles'!M39+Bengals!M39+Oilers!M39+'@Browns'!M39+Dolphins!M39+'@Chargers'!M39+Jets!M39+'@Steelers'!M39+'@Dolphins'!M39</f>
        <v>3095</v>
      </c>
      <c r="N39" s="8">
        <f>+M39/$B$2</f>
        <v>193.4375</v>
      </c>
      <c r="O39" s="21">
        <f>3284/16</f>
        <v>205.25</v>
      </c>
    </row>
    <row r="40" spans="1:15" ht="12.75">
      <c r="A40" t="s">
        <v>24</v>
      </c>
      <c r="D40" s="8">
        <f>+D39/D38</f>
        <v>41.05128205128205</v>
      </c>
      <c r="E40" s="8"/>
      <c r="F40" s="21">
        <f>F39/F38</f>
        <v>41.5</v>
      </c>
      <c r="G40" s="7"/>
      <c r="H40" s="7" t="s">
        <v>24</v>
      </c>
      <c r="I40" s="7"/>
      <c r="J40" s="7"/>
      <c r="K40" s="7"/>
      <c r="L40" s="7"/>
      <c r="M40" s="8">
        <f>+M39/M38</f>
        <v>41.266666666666666</v>
      </c>
      <c r="N40" s="8"/>
      <c r="O40" s="21">
        <f>O39/O38</f>
        <v>40.54320987654321</v>
      </c>
    </row>
    <row r="41" spans="5:15" ht="12.75">
      <c r="E41" s="8"/>
      <c r="F41" s="21"/>
      <c r="N41" s="8"/>
      <c r="O41" s="21"/>
    </row>
    <row r="42" spans="1:15" ht="12.75">
      <c r="A42" t="s">
        <v>25</v>
      </c>
      <c r="D42" s="2">
        <f>+Chargers!D42+'@Jets'!D42+Patriots!D42+Vikings!D42+'@Colts'!D42+'@Patriots'!D42+Colts!D42+'@Eagles'!D42+Bengals!D42+Oilers!D42+'@Browns'!D42+Dolphins!D42+'@Chargers'!D42+Jets!D42+'@Steelers'!D42+'@Dolphins'!D42</f>
        <v>36</v>
      </c>
      <c r="E42" s="8">
        <f>+D42/$B$2</f>
        <v>2.25</v>
      </c>
      <c r="F42" s="21">
        <f>38/16</f>
        <v>2.375</v>
      </c>
      <c r="H42" t="s">
        <v>25</v>
      </c>
      <c r="M42" s="2">
        <f>+Chargers!M42+'@Jets'!M42+Patriots!M42+Vikings!M42+'@Colts'!M42+'@Patriots'!M42+Colts!M42+'@Eagles'!M42+Bengals!M42+Oilers!M42+'@Browns'!M42+Dolphins!M42+'@Chargers'!M42+Jets!M42+'@Steelers'!M42+'@Dolphins'!M42</f>
        <v>39</v>
      </c>
      <c r="N42" s="8">
        <f>+M42/$B$2</f>
        <v>2.4375</v>
      </c>
      <c r="O42" s="21">
        <f>49/16</f>
        <v>3.0625</v>
      </c>
    </row>
    <row r="43" spans="1:15" ht="12.75">
      <c r="A43" t="s">
        <v>26</v>
      </c>
      <c r="D43" s="2">
        <f>+Chargers!D43+'@Jets'!D43+Patriots!D43+Vikings!D43+'@Colts'!D43+'@Patriots'!D43+Colts!D43+'@Eagles'!D43+Bengals!D43+Oilers!D43+'@Browns'!D43+Dolphins!D43+'@Chargers'!D43+Jets!D43+'@Steelers'!D43+'@Dolphins'!D43</f>
        <v>386</v>
      </c>
      <c r="E43" s="8">
        <f>+D43/$B$2</f>
        <v>24.125</v>
      </c>
      <c r="F43" s="21">
        <f>293/16</f>
        <v>18.3125</v>
      </c>
      <c r="H43" t="s">
        <v>26</v>
      </c>
      <c r="M43" s="2">
        <f>+Chargers!M43+'@Jets'!M43+Patriots!M43+Vikings!M43+'@Colts'!M43+'@Patriots'!M43+Colts!M43+'@Eagles'!M43+Bengals!M43+Oilers!M43+'@Browns'!M43+Dolphins!M43+'@Chargers'!M43+Jets!M43+'@Steelers'!M43+'@Dolphins'!M43</f>
        <v>289</v>
      </c>
      <c r="N43" s="8">
        <f>+M43/$B$2</f>
        <v>18.0625</v>
      </c>
      <c r="O43" s="21">
        <f>438/16</f>
        <v>27.375</v>
      </c>
    </row>
    <row r="44" spans="1:15" ht="12.75">
      <c r="A44" t="s">
        <v>27</v>
      </c>
      <c r="D44" s="8">
        <f>+D43/D42</f>
        <v>10.722222222222221</v>
      </c>
      <c r="E44" s="8">
        <f>+D44/$B$2</f>
        <v>0.6701388888888888</v>
      </c>
      <c r="F44" s="21">
        <f>F43/F42</f>
        <v>7.7105263157894735</v>
      </c>
      <c r="H44" t="s">
        <v>27</v>
      </c>
      <c r="M44" s="8">
        <f>+M43/M42</f>
        <v>7.410256410256411</v>
      </c>
      <c r="N44" s="8">
        <f>+M44/$B$2</f>
        <v>0.46314102564102566</v>
      </c>
      <c r="O44" s="21">
        <f>O43/O42</f>
        <v>8.938775510204081</v>
      </c>
    </row>
    <row r="45" spans="1:15" ht="12.75">
      <c r="A45" t="s">
        <v>108</v>
      </c>
      <c r="D45" s="2">
        <f>+Chargers!D45+'@Jets'!D45+Patriots!D45+Vikings!D45+'@Colts'!D45+'@Patriots'!D45+Colts!D45+'@Eagles'!D45+Bengals!D45+Oilers!D45+'@Browns'!D45+Dolphins!D45+'@Chargers'!D45+Jets!D45+'@Steelers'!D45+'@Dolphins'!D45</f>
        <v>11</v>
      </c>
      <c r="E45" s="8">
        <f>+D45/$B$2</f>
        <v>0.6875</v>
      </c>
      <c r="F45" s="21">
        <f>6/16</f>
        <v>0.375</v>
      </c>
      <c r="H45" t="s">
        <v>108</v>
      </c>
      <c r="M45" s="2">
        <f>+Chargers!M45+'@Jets'!M45+Patriots!M45+Vikings!M45+'@Colts'!M45+'@Patriots'!M45+Colts!M45+'@Eagles'!M45+Bengals!M45+Oilers!M45+'@Browns'!M45+Dolphins!M45+'@Chargers'!M45+Jets!M45+'@Steelers'!M45+'@Dolphins'!M45</f>
        <v>11</v>
      </c>
      <c r="N45" s="8">
        <f>+M45/$B$2</f>
        <v>0.6875</v>
      </c>
      <c r="O45" s="21">
        <f>15/16</f>
        <v>0.9375</v>
      </c>
    </row>
    <row r="46" spans="1:15" ht="12.75">
      <c r="A46" t="s">
        <v>28</v>
      </c>
      <c r="D46" s="2">
        <f>+Chargers!D46+'@Jets'!D46+Patriots!D46+Vikings!D46+'@Colts'!D46+'@Patriots'!D46+Colts!D46+'@Eagles'!D46+Bengals!D46+Oilers!D46+'@Browns'!D46+Dolphins!D46+'@Chargers'!D46+Jets!D46+'@Steelers'!D46+'@Dolphins'!D46</f>
        <v>0</v>
      </c>
      <c r="E46" s="8">
        <f>+D46/$B$2</f>
        <v>0</v>
      </c>
      <c r="F46" s="21">
        <f>0/16</f>
        <v>0</v>
      </c>
      <c r="H46" t="s">
        <v>28</v>
      </c>
      <c r="M46" s="2">
        <f>+Chargers!M46+'@Jets'!M46+Patriots!M46+Vikings!M46+'@Colts'!M46+'@Patriots'!M46+Colts!M46+'@Eagles'!M46+Bengals!M46+Oilers!M46+'@Browns'!M46+Dolphins!M46+'@Chargers'!M46+Jets!M46+'@Steelers'!M46+'@Dolphins'!M46</f>
        <v>0</v>
      </c>
      <c r="N46" s="8">
        <f>+M46/$B$2</f>
        <v>0</v>
      </c>
      <c r="O46" s="21">
        <f>1/16</f>
        <v>0.0625</v>
      </c>
    </row>
    <row r="47" spans="5:15" ht="12.75">
      <c r="E47" s="8"/>
      <c r="F47" s="21"/>
      <c r="N47" s="8"/>
      <c r="O47" s="21"/>
    </row>
    <row r="48" spans="1:15" ht="12.75">
      <c r="A48" t="s">
        <v>30</v>
      </c>
      <c r="D48" s="2">
        <f>+Chargers!D48+'@Jets'!D48+Patriots!D48+Vikings!D48+'@Colts'!D48+'@Patriots'!D48+Colts!D48+'@Eagles'!D48+Bengals!D48+Oilers!D48+'@Browns'!D48+Dolphins!D48+'@Chargers'!D48+Jets!D48+'@Steelers'!D48+'@Dolphins'!D48</f>
        <v>66</v>
      </c>
      <c r="E48" s="8">
        <f>+D48/$B$2</f>
        <v>4.125</v>
      </c>
      <c r="F48" s="21">
        <f>68/16</f>
        <v>4.25</v>
      </c>
      <c r="H48" t="s">
        <v>30</v>
      </c>
      <c r="M48" s="2">
        <f>+Chargers!M48+'@Jets'!M48+Patriots!M48+Vikings!M48+'@Colts'!M48+'@Patriots'!M48+Colts!M48+'@Eagles'!M48+Bengals!M48+Oilers!M48+'@Browns'!M48+Dolphins!M48+'@Chargers'!M48+Jets!M48+'@Steelers'!M48+'@Dolphins'!M48</f>
        <v>53</v>
      </c>
      <c r="N48" s="8">
        <f>+M48/$B$2</f>
        <v>3.3125</v>
      </c>
      <c r="O48" s="21">
        <f>41/16</f>
        <v>2.5625</v>
      </c>
    </row>
    <row r="49" spans="1:15" ht="12.75">
      <c r="A49" t="s">
        <v>26</v>
      </c>
      <c r="D49" s="2">
        <f>+Chargers!D49+'@Jets'!D49+Patriots!D49+Vikings!D49+'@Colts'!D49+'@Patriots'!D49+Colts!D49+'@Eagles'!D49+Bengals!D49+Oilers!D49+'@Browns'!D49+Dolphins!D49+'@Chargers'!D49+Jets!D49+'@Steelers'!D49+'@Dolphins'!D49</f>
        <v>1357</v>
      </c>
      <c r="E49" s="8">
        <f>+D49/$B$2</f>
        <v>84.8125</v>
      </c>
      <c r="F49" s="21">
        <f>1334/16</f>
        <v>83.375</v>
      </c>
      <c r="H49" t="s">
        <v>26</v>
      </c>
      <c r="M49" s="2">
        <f>+Chargers!M49+'@Jets'!M49+Patriots!M49+Vikings!M49+'@Colts'!M49+'@Patriots'!M49+Colts!M49+'@Eagles'!M49+Bengals!M49+Oilers!M49+'@Browns'!M49+Dolphins!M49+'@Chargers'!M49+Jets!M49+'@Steelers'!M49+'@Dolphins'!M49</f>
        <v>1218</v>
      </c>
      <c r="N49" s="8">
        <f>+M49/$B$2</f>
        <v>76.125</v>
      </c>
      <c r="O49" s="21">
        <f>798/16</f>
        <v>49.875</v>
      </c>
    </row>
    <row r="50" spans="1:15" ht="12.75">
      <c r="A50" t="s">
        <v>27</v>
      </c>
      <c r="D50" s="8">
        <f>+D49/D48</f>
        <v>20.560606060606062</v>
      </c>
      <c r="E50" s="8"/>
      <c r="F50" s="21">
        <f>F49/F48</f>
        <v>19.61764705882353</v>
      </c>
      <c r="H50" t="s">
        <v>27</v>
      </c>
      <c r="M50" s="8">
        <f>+M49/M48</f>
        <v>22.9811320754717</v>
      </c>
      <c r="N50" s="8"/>
      <c r="O50" s="21">
        <f>O49/O48</f>
        <v>19.463414634146343</v>
      </c>
    </row>
    <row r="51" spans="1:15" ht="12.75">
      <c r="A51" t="s">
        <v>28</v>
      </c>
      <c r="D51" s="2">
        <f>+Chargers!D51+'@Jets'!D51+Patriots!D51+Vikings!D51+'@Colts'!D51+'@Patriots'!D51+Colts!D51+'@Eagles'!D51+Bengals!D51+Oilers!D51+'@Browns'!D51+Dolphins!D51+'@Chargers'!D51+Jets!D51+'@Steelers'!D51+'@Dolphins'!D51</f>
        <v>0</v>
      </c>
      <c r="E51" s="8"/>
      <c r="F51" s="21">
        <f>0/16</f>
        <v>0</v>
      </c>
      <c r="H51" t="s">
        <v>28</v>
      </c>
      <c r="M51" s="2">
        <f>+Chargers!M51+'@Jets'!M51+Patriots!M51+Vikings!M51+'@Colts'!M51+'@Patriots'!M51+Colts!M51+'@Eagles'!M51+Bengals!M51+Oilers!M51+'@Browns'!M51+Dolphins!M51+'@Chargers'!M51+Jets!M51+'@Steelers'!M51+'@Dolphins'!M51</f>
        <v>0</v>
      </c>
      <c r="N51" s="8"/>
      <c r="O51" s="21">
        <f>0/16</f>
        <v>0</v>
      </c>
    </row>
    <row r="52" spans="5:15" ht="12.75">
      <c r="E52" s="8"/>
      <c r="F52" s="8"/>
      <c r="N52" s="8"/>
      <c r="O52" s="21"/>
    </row>
    <row r="53" spans="1:15" ht="12.75">
      <c r="A53" t="s">
        <v>31</v>
      </c>
      <c r="D53" s="2">
        <f>+Chargers!D53+'@Jets'!D53+Patriots!D53+Vikings!D53+'@Colts'!D53+'@Patriots'!D53+Colts!D53+'@Eagles'!D53+Bengals!D53+Oilers!D53+'@Browns'!D53+Dolphins!D53+'@Chargers'!D53+Jets!D53+'@Steelers'!D53+'@Dolphins'!D53</f>
        <v>117</v>
      </c>
      <c r="E53" s="8">
        <f>+D53/$B$2</f>
        <v>7.3125</v>
      </c>
      <c r="F53" s="21">
        <f>132/16</f>
        <v>8.25</v>
      </c>
      <c r="H53" t="s">
        <v>31</v>
      </c>
      <c r="M53" s="2">
        <f>+Chargers!M53+'@Jets'!M53+Patriots!M53+Vikings!M53+'@Colts'!M53+'@Patriots'!M53+Colts!M53+'@Eagles'!M53+Bengals!M53+Oilers!M53+'@Browns'!M53+Dolphins!M53+'@Chargers'!M53+Jets!M53+'@Steelers'!M53+'@Dolphins'!M53</f>
        <v>110</v>
      </c>
      <c r="N53" s="8">
        <f>+M53/$B$2</f>
        <v>6.875</v>
      </c>
      <c r="O53" s="21">
        <f>107/16</f>
        <v>6.6875</v>
      </c>
    </row>
    <row r="54" spans="1:15" ht="12.75">
      <c r="A54" t="s">
        <v>32</v>
      </c>
      <c r="D54" s="2">
        <f>+Chargers!D54+'@Jets'!D54+Patriots!D54+Vikings!D54+'@Colts'!D54+'@Patriots'!D54+Colts!D54+'@Eagles'!D54+Bengals!D54+Oilers!D54+'@Browns'!D54+Dolphins!D54+'@Chargers'!D54+Jets!D54+'@Steelers'!D54+'@Dolphins'!D54</f>
        <v>967</v>
      </c>
      <c r="E54" s="8">
        <f>+D54/$B$2</f>
        <v>60.4375</v>
      </c>
      <c r="F54" s="21">
        <f>965/16</f>
        <v>60.3125</v>
      </c>
      <c r="H54" t="s">
        <v>32</v>
      </c>
      <c r="M54" s="2">
        <f>+Chargers!M54+'@Jets'!M54+Patriots!M54+Vikings!M54+'@Colts'!M54+'@Patriots'!M54+Colts!M54+'@Eagles'!M54+Bengals!M54+Oilers!M54+'@Browns'!M54+Dolphins!M54+'@Chargers'!M54+Jets!M54+'@Steelers'!M54+'@Dolphins'!M54</f>
        <v>939</v>
      </c>
      <c r="N54" s="8">
        <f>+M54/$B$2</f>
        <v>58.6875</v>
      </c>
      <c r="O54" s="21">
        <f>870/16</f>
        <v>54.375</v>
      </c>
    </row>
    <row r="55" spans="5:15" ht="12.75">
      <c r="E55" s="8"/>
      <c r="F55" s="21"/>
      <c r="N55" s="8"/>
      <c r="O55" s="21"/>
    </row>
    <row r="56" spans="1:15" ht="12.75">
      <c r="A56" t="s">
        <v>33</v>
      </c>
      <c r="D56" s="2">
        <f>+Chargers!D56+'@Jets'!D56+Patriots!D56+Vikings!D56+'@Colts'!D56+'@Patriots'!D56+Colts!D56+'@Eagles'!D56+Bengals!D56+Oilers!D56+'@Browns'!D56+Dolphins!D56+'@Chargers'!D56+Jets!D56+'@Steelers'!D56+'@Dolphins'!D56</f>
        <v>32</v>
      </c>
      <c r="E56" s="8">
        <f>+D56/$B$2</f>
        <v>2</v>
      </c>
      <c r="F56" s="21">
        <f>36/16</f>
        <v>2.25</v>
      </c>
      <c r="H56" t="s">
        <v>33</v>
      </c>
      <c r="M56" s="2">
        <f>+Chargers!M56+'@Jets'!M56+Patriots!M56+Vikings!M56+'@Colts'!M56+'@Patriots'!M56+Colts!M56+'@Eagles'!M56+Bengals!M56+Oilers!M56+'@Browns'!M56+Dolphins!M56+'@Chargers'!M56+Jets!M56+'@Steelers'!M56+'@Dolphins'!M56</f>
        <v>36</v>
      </c>
      <c r="N56" s="8">
        <f>+M56/$B$2</f>
        <v>2.25</v>
      </c>
      <c r="O56" s="21">
        <f>36/16</f>
        <v>2.25</v>
      </c>
    </row>
    <row r="57" spans="1:15" ht="12.75">
      <c r="A57" t="s">
        <v>101</v>
      </c>
      <c r="D57" s="2">
        <f>+Chargers!D57+'@Jets'!D57+Patriots!D57+Vikings!D57+'@Colts'!D57+'@Patriots'!D57+Colts!D57+'@Eagles'!D57+Bengals!D57+Oilers!D57+'@Browns'!D57+Dolphins!D57+'@Chargers'!D57+Jets!D57+'@Steelers'!D57+'@Dolphins'!D57</f>
        <v>16</v>
      </c>
      <c r="E57" s="8">
        <f>+D57/$B$2</f>
        <v>1</v>
      </c>
      <c r="F57" s="21">
        <f>21/16</f>
        <v>1.3125</v>
      </c>
      <c r="H57" t="s">
        <v>101</v>
      </c>
      <c r="M57" s="2">
        <f>+Chargers!M57+'@Jets'!M57+Patriots!M57+Vikings!M57+'@Colts'!M57+'@Patriots'!M57+Colts!M57+'@Eagles'!M57+Bengals!M57+Oilers!M57+'@Browns'!M57+Dolphins!M57+'@Chargers'!M57+Jets!M57+'@Steelers'!M57+'@Dolphins'!M57</f>
        <v>19</v>
      </c>
      <c r="N57" s="8">
        <f>+M57/$B$2</f>
        <v>1.1875</v>
      </c>
      <c r="O57" s="21">
        <f>15/16</f>
        <v>0.9375</v>
      </c>
    </row>
    <row r="58" spans="5:15" ht="12.75">
      <c r="E58" s="8"/>
      <c r="F58" s="21"/>
      <c r="N58" s="8"/>
      <c r="O58" s="21"/>
    </row>
    <row r="59" spans="1:15" ht="12.75">
      <c r="A59" t="s">
        <v>34</v>
      </c>
      <c r="D59" s="2">
        <f>+Chargers!D59+'@Jets'!D59+Patriots!D59+Vikings!D59+'@Colts'!D59+'@Patriots'!D59+Colts!D59+'@Eagles'!D59+Bengals!D59+Oilers!D59+'@Browns'!D59+Dolphins!D59+'@Chargers'!D59+Jets!D59+'@Steelers'!D59+'@Dolphins'!D59</f>
        <v>278</v>
      </c>
      <c r="E59" s="8">
        <f aca="true" t="shared" si="0" ref="E59:E67">+D59/$B$2</f>
        <v>17.375</v>
      </c>
      <c r="F59" s="21">
        <f>200/16</f>
        <v>12.5</v>
      </c>
      <c r="H59" t="s">
        <v>34</v>
      </c>
      <c r="M59" s="2">
        <f>+Chargers!M59+'@Jets'!M59+Patriots!M59+Vikings!M59+'@Colts'!M59+'@Patriots'!M59+Colts!M59+'@Eagles'!M59+Bengals!M59+Oilers!M59+'@Browns'!M59+Dolphins!M59+'@Chargers'!M59+Jets!M59+'@Steelers'!M59+'@Dolphins'!M59</f>
        <v>411</v>
      </c>
      <c r="N59" s="8">
        <f aca="true" t="shared" si="1" ref="N59:N67">+M59/$B$2</f>
        <v>25.6875</v>
      </c>
      <c r="O59" s="21">
        <f>381/16</f>
        <v>23.8125</v>
      </c>
    </row>
    <row r="60" spans="1:15" ht="12.75">
      <c r="A60" t="s">
        <v>35</v>
      </c>
      <c r="D60" s="2">
        <f>+Chargers!D60+'@Jets'!D60+Patriots!D60+Vikings!D60+'@Colts'!D60+'@Patriots'!D60+Colts!D60+'@Eagles'!D60+Bengals!D60+Oilers!D60+'@Browns'!D60+Dolphins!D60+'@Chargers'!D60+Jets!D60+'@Steelers'!D60+'@Dolphins'!D60</f>
        <v>27</v>
      </c>
      <c r="E60" s="8">
        <f t="shared" si="0"/>
        <v>1.6875</v>
      </c>
      <c r="F60" s="21">
        <f>23/16</f>
        <v>1.4375</v>
      </c>
      <c r="H60" t="s">
        <v>35</v>
      </c>
      <c r="M60" s="2">
        <f>+Chargers!M60+'@Jets'!M60+Patriots!M60+Vikings!M60+'@Colts'!M60+'@Patriots'!M60+Colts!M60+'@Eagles'!M60+Bengals!M60+Oilers!M60+'@Browns'!M60+Dolphins!M60+'@Chargers'!M60+Jets!M60+'@Steelers'!M60+'@Dolphins'!M60</f>
        <v>45</v>
      </c>
      <c r="N60" s="8">
        <f t="shared" si="1"/>
        <v>2.8125</v>
      </c>
      <c r="O60" s="21">
        <f>50/16</f>
        <v>3.125</v>
      </c>
    </row>
    <row r="61" spans="1:15" ht="12.75">
      <c r="A61" t="s">
        <v>36</v>
      </c>
      <c r="D61" s="2">
        <f>+Chargers!D61+'@Jets'!D61+Patriots!D61+Vikings!D61+'@Colts'!D61+'@Patriots'!D61+Colts!D61+'@Eagles'!D61+Bengals!D61+Oilers!D61+'@Browns'!D61+Dolphins!D61+'@Chargers'!D61+Jets!D61+'@Steelers'!D61+'@Steelers'!D61</f>
        <v>16</v>
      </c>
      <c r="E61" s="8">
        <f t="shared" si="0"/>
        <v>1</v>
      </c>
      <c r="F61" s="21">
        <f>13/16</f>
        <v>0.8125</v>
      </c>
      <c r="H61" t="s">
        <v>36</v>
      </c>
      <c r="M61" s="2">
        <f>+Chargers!M61+'@Jets'!M61+Patriots!M61+Vikings!M61+'@Colts'!M61+'@Patriots'!M61+Colts!M61+'@Eagles'!M61+Bengals!M61+Oilers!M61+'@Browns'!M61+Dolphins!M61+'@Chargers'!M61+Jets!M61+'@Chargers'!M61+Jets!M61</f>
        <v>12</v>
      </c>
      <c r="N61" s="8">
        <f t="shared" si="1"/>
        <v>0.75</v>
      </c>
      <c r="O61" s="21">
        <f>20/16</f>
        <v>1.25</v>
      </c>
    </row>
    <row r="62" spans="1:15" ht="12.75">
      <c r="A62" t="s">
        <v>37</v>
      </c>
      <c r="D62" s="2">
        <f>+Chargers!D62+'@Jets'!D62+Patriots!D62+Vikings!D62+'@Colts'!D62+'@Patriots'!D62+Colts!D62+'@Eagles'!D62+Bengals!D62+Oilers!D62+'@Browns'!D62+Dolphins!D62+'@Chargers'!D62+Jets!D62+'@Steelers'!D62+'@Dolphins'!D62</f>
        <v>12</v>
      </c>
      <c r="E62" s="8">
        <f t="shared" si="0"/>
        <v>0.75</v>
      </c>
      <c r="F62" s="21">
        <f>9/16</f>
        <v>0.5625</v>
      </c>
      <c r="H62" t="s">
        <v>37</v>
      </c>
      <c r="M62" s="2">
        <f>+Chargers!M62+'@Jets'!M62+Patriots!M62+Vikings!M62+'@Colts'!M62+'@Patriots'!M62+Colts!M62+'@Eagles'!M62+Bengals!M62+Oilers!M62+'@Browns'!M62+Dolphins!M62+'@Chargers'!M62+Jets!M62+'@Steelers'!M62+'@Dolphins'!M62</f>
        <v>27</v>
      </c>
      <c r="N62" s="8">
        <f t="shared" si="1"/>
        <v>1.6875</v>
      </c>
      <c r="O62" s="21">
        <f>24/16</f>
        <v>1.5</v>
      </c>
    </row>
    <row r="63" spans="1:15" ht="12.75">
      <c r="A63" t="s">
        <v>38</v>
      </c>
      <c r="D63" s="2">
        <f>+Chargers!D63+'@Jets'!D63+Patriots!D63+Vikings!D63+'@Colts'!D63+'@Patriots'!D63+Colts!D63+'@Eagles'!D63+Bengals!D63+Oilers!D63+'@Browns'!D63+Dolphins!D63+'@Chargers'!D63+Jets!D63+'@Steelers'!D63+'@Dolphins'!D63</f>
        <v>0</v>
      </c>
      <c r="E63" s="8">
        <f t="shared" si="0"/>
        <v>0</v>
      </c>
      <c r="F63" s="21">
        <f>1/16</f>
        <v>0.0625</v>
      </c>
      <c r="H63" t="s">
        <v>38</v>
      </c>
      <c r="M63" s="2">
        <f>+Chargers!M63+'@Jets'!M63+Patriots!M63+Vikings!M63+'@Colts'!M63+'@Patriots'!M63+Colts!M63+'@Eagles'!M63+Bengals!M63+Oilers!M63+'@Browns'!M63+Dolphins!M63+'@Chargers'!M63+Jets!M63+'@Steelers'!M63+'@Dolphins'!M63</f>
        <v>3</v>
      </c>
      <c r="N63" s="8">
        <f t="shared" si="1"/>
        <v>0.1875</v>
      </c>
      <c r="O63" s="21">
        <f>6/16</f>
        <v>0.375</v>
      </c>
    </row>
    <row r="64" spans="1:15" ht="12.75">
      <c r="A64" t="s">
        <v>39</v>
      </c>
      <c r="D64" s="2">
        <f>+Chargers!D64+'@Jets'!D64+Patriots!D64+Vikings!D64+'@Colts'!D64+'@Patriots'!D64+Colts!D64+'@Eagles'!D64+Bengals!D64+Oilers!D64+'@Browns'!D64+Dolphins!D64+'@Chargers'!D64+Jets!D64+'@Steelers'!D64+'@Dolphins'!D64</f>
        <v>27</v>
      </c>
      <c r="E64" s="8">
        <f t="shared" si="0"/>
        <v>1.6875</v>
      </c>
      <c r="F64" s="21">
        <f>23/16</f>
        <v>1.4375</v>
      </c>
      <c r="H64" t="s">
        <v>39</v>
      </c>
      <c r="M64" s="2">
        <f>+Chargers!M64+'@Jets'!M64+Patriots!M64+Vikings!M64+'@Colts'!M64+'@Patriots'!M64+Colts!M64+'@Eagles'!M64+Bengals!M64+Oilers!M64+'@Browns'!M64+Dolphins!M64+'@Chargers'!M64+Jets!M64+'@Steelers'!M64+'@Dolphins'!M64</f>
        <v>43</v>
      </c>
      <c r="N64" s="8">
        <f t="shared" si="1"/>
        <v>2.6875</v>
      </c>
      <c r="O64" s="21">
        <f>45/16</f>
        <v>2.8125</v>
      </c>
    </row>
    <row r="65" spans="1:15" ht="12.75">
      <c r="A65" t="s">
        <v>40</v>
      </c>
      <c r="D65" s="2">
        <f>+Chargers!D65+'@Jets'!D65+Patriots!D65+Vikings!D65+'@Colts'!D65+'@Patriots'!D65+Colts!D65+'@Eagles'!D65+Bengals!D65+Oilers!D65+'@Browns'!D65+Dolphins!D65+'@Chargers'!D65+Jets!D65+'@Steelers'!D65+'@Dolphins'!D65</f>
        <v>1</v>
      </c>
      <c r="E65" s="8">
        <f t="shared" si="0"/>
        <v>0.0625</v>
      </c>
      <c r="F65" s="21">
        <f>0/16</f>
        <v>0</v>
      </c>
      <c r="H65" t="s">
        <v>40</v>
      </c>
      <c r="M65" s="2">
        <f>+Chargers!M65+'@Jets'!M65+Patriots!M65+Vikings!M65+'@Colts'!M65+'@Patriots'!M65+Colts!M65+'@Eagles'!M65+Bengals!M65+Oilers!M65+'@Browns'!M65+Dolphins!M65+'@Chargers'!M65+Jets!M65+'@Steelers'!M65+'@Dolphins'!M65</f>
        <v>1</v>
      </c>
      <c r="N65" s="8">
        <f t="shared" si="1"/>
        <v>0.0625</v>
      </c>
      <c r="O65" s="21">
        <f>0/16</f>
        <v>0</v>
      </c>
    </row>
    <row r="66" spans="1:15" ht="12.75">
      <c r="A66" t="s">
        <v>41</v>
      </c>
      <c r="D66" s="2">
        <f>+Chargers!D66+'@Jets'!D66+Patriots!D66+Vikings!D66+'@Colts'!D66+'@Patriots'!D66+Colts!D66+'@Eagles'!D66+Bengals!D66+Oilers!D66+'@Browns'!D66+Dolphins!D66+'@Chargers'!D66+Jets!D66+'@Steelers'!D66+'@Dolphins'!D66</f>
        <v>29</v>
      </c>
      <c r="E66" s="8">
        <f t="shared" si="0"/>
        <v>1.8125</v>
      </c>
      <c r="F66" s="21">
        <f>13/16</f>
        <v>0.8125</v>
      </c>
      <c r="H66" t="s">
        <v>41</v>
      </c>
      <c r="M66" s="2">
        <f>+Chargers!M66+'@Jets'!M66+Patriots!M66+Vikings!M66+'@Colts'!M66+'@Patriots'!M66+Colts!M66+'@Eagles'!M66+Bengals!M66+Oilers!M66+'@Browns'!M66+Dolphins!M66+'@Chargers'!M66+Jets!M66+'@Steelers'!M66+'@Dolphins'!M66</f>
        <v>32</v>
      </c>
      <c r="N66" s="8">
        <f t="shared" si="1"/>
        <v>2</v>
      </c>
      <c r="O66" s="21">
        <f>12/16</f>
        <v>0.75</v>
      </c>
    </row>
    <row r="67" spans="1:15" ht="12.75">
      <c r="A67" t="s">
        <v>42</v>
      </c>
      <c r="D67" s="2">
        <f>+Chargers!D67+'@Jets'!D67+Patriots!D67+Vikings!D67+'@Colts'!D67+'@Patriots'!D67+Colts!D67+'@Eagles'!D67+Bengals!D67+Oilers!D67+'@Browns'!D67+Dolphins!D67+'@Chargers'!D67+Jets!D67</f>
        <v>32</v>
      </c>
      <c r="E67" s="8">
        <f t="shared" si="0"/>
        <v>2</v>
      </c>
      <c r="F67" s="21">
        <f>17/16</f>
        <v>1.0625</v>
      </c>
      <c r="H67" t="s">
        <v>42</v>
      </c>
      <c r="M67" s="2">
        <f>+Chargers!M67+'@Jets'!M67+Patriots!M67+Vikings!M67+'@Colts'!M67+'@Patriots'!M67+Colts!M67+'@Eagles'!M67+Bengals!M67+Oilers!M67+'@Browns'!M67+Dolphins!M67+'@Chargers'!M67+Jets!M67+'@Steelers'!M67+'@Dolphins'!M67</f>
        <v>40</v>
      </c>
      <c r="N67" s="8">
        <f t="shared" si="1"/>
        <v>2.5</v>
      </c>
      <c r="O67" s="21">
        <f>15/16</f>
        <v>0.9375</v>
      </c>
    </row>
    <row r="68" spans="1:15" ht="12.75">
      <c r="A68" t="s">
        <v>43</v>
      </c>
      <c r="D68" s="8">
        <f>+D66/D67*100</f>
        <v>90.625</v>
      </c>
      <c r="E68" s="8">
        <f>E66/E67*100</f>
        <v>90.625</v>
      </c>
      <c r="F68" s="21">
        <f>F66/F67*100</f>
        <v>76.47058823529412</v>
      </c>
      <c r="G68" s="7"/>
      <c r="H68" s="7" t="s">
        <v>43</v>
      </c>
      <c r="I68" s="7"/>
      <c r="J68" s="7"/>
      <c r="K68" s="7"/>
      <c r="L68" s="7"/>
      <c r="M68" s="8">
        <f>+M66/M67*100</f>
        <v>80</v>
      </c>
      <c r="N68" s="8">
        <f>N66/N67*100</f>
        <v>80</v>
      </c>
      <c r="O68" s="21">
        <f>O66/O67*100</f>
        <v>80</v>
      </c>
    </row>
    <row r="69" spans="1:15" ht="12.75">
      <c r="A69" t="s">
        <v>88</v>
      </c>
      <c r="D69" s="10" t="str">
        <f>IF(V23&lt;10,V27,V26)</f>
        <v>28:01</v>
      </c>
      <c r="E69" s="8"/>
      <c r="F69" s="21">
        <v>28.21</v>
      </c>
      <c r="H69" t="s">
        <v>88</v>
      </c>
      <c r="M69" s="10" t="str">
        <f>IF(W23&lt;10,W27,W26)</f>
        <v>31:59</v>
      </c>
      <c r="N69" s="8"/>
      <c r="O69" s="21">
        <v>31.39</v>
      </c>
    </row>
    <row r="70" spans="1:15" ht="12.75">
      <c r="A70" t="s">
        <v>102</v>
      </c>
      <c r="D70" s="23">
        <f>D161</f>
        <v>33.65853658536586</v>
      </c>
      <c r="E70" s="8">
        <f>D70</f>
        <v>33.65853658536586</v>
      </c>
      <c r="F70" s="21">
        <f>68/208*100</f>
        <v>32.69230769230769</v>
      </c>
      <c r="H70" t="s">
        <v>102</v>
      </c>
      <c r="M70" s="23">
        <f>M161</f>
        <v>40.09433962264151</v>
      </c>
      <c r="N70" s="8">
        <f>M70</f>
        <v>40.09433962264151</v>
      </c>
      <c r="O70" s="21">
        <f>100/226*100</f>
        <v>44.24778761061947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2" t="s">
        <v>80</v>
      </c>
    </row>
    <row r="74" spans="1:22" ht="12.75">
      <c r="A74" t="s">
        <v>109</v>
      </c>
      <c r="C74">
        <f>+Chargers!C74+'@Jets'!C74+Patriots!C74+Vikings!C74+'@Colts'!C74+'@Patriots'!C74+Colts!C74+'@Eagles'!C74+Bengals!C74+Oilers!C74+'@Browns'!C74+Dolphins!C74+'@Chargers'!C74+Jets!C74+'@Steelers'!C74+'@Dolphins'!C74</f>
        <v>224</v>
      </c>
      <c r="D74">
        <f>+Chargers!D74+'@Jets'!D74+Patriots!D74+Vikings!D74+'@Colts'!D74+'@Patriots'!D74+Colts!D74+'@Eagles'!D74+Bengals!D74+Oilers!D74+'@Browns'!D74+Dolphins!D74+'@Chargers'!D74+Jets!D74+'@Steelers'!D74+'@Dolphins'!D74</f>
        <v>1026</v>
      </c>
      <c r="E74" s="12">
        <f aca="true" t="shared" si="2" ref="E74:E83">+D74/C74</f>
        <v>4.580357142857143</v>
      </c>
      <c r="F74">
        <f>MAX(Chargers!F74,'@Jets'!F74,Patriots!F74,Vikings!F74,'@Colts'!F74,'@Patriots'!F74,Colts!F74,Bengals!F74,Oilers!F74,'@Browns'!F74,Dolphins!F74,'@Chargers'!F74,Jets!F74,Jets!F74,'@Steelers'!F74,'@Dolphins'!F74,+'@Eagles'!F74)</f>
        <v>77</v>
      </c>
      <c r="G74">
        <f>+Chargers!G74+'@Jets'!G74+Patriots!G74+Vikings!G74+'@Colts'!G74+'@Patriots'!G74+Colts!G74+'@Eagles'!G74+Bengals!G74+Oilers!G74+'@Browns'!G74+Dolphins!G74+'@Chargers'!G74+Jets!G74+'@Steelers'!G74+'@Dolphins'!G74</f>
        <v>6</v>
      </c>
      <c r="H74">
        <f>Chargers!H74+'@Jets'!H74+Patriots!H74+Vikings!H74+'@Colts'!H74+'@Patriots'!H74+Colts!H74+'@Eagles'!H74+Bengals!H74+Oilers!H74+'@Browns'!H74+Dolphins!H74+'@Chargers'!H74+Jets!H74+'@Steelers'!H74+'@Dolphins'!H74</f>
        <v>9</v>
      </c>
      <c r="P74" s="24"/>
      <c r="V74" s="25"/>
    </row>
    <row r="75" spans="1:16" ht="12.75">
      <c r="A75" t="s">
        <v>110</v>
      </c>
      <c r="C75">
        <f>+Chargers!C75+'@Jets'!C75+Patriots!C75+Vikings!C75+'@Colts'!C75+'@Patriots'!C75+Colts!C75+'@Eagles'!C75+Bengals!C75+Oilers!C75+'@Browns'!C75+Dolphins!C75+'@Chargers'!C75+Jets!C75+'@Steelers'!C75+'@Steelers'!C75</f>
        <v>123</v>
      </c>
      <c r="D75">
        <f>+Chargers!D75+'@Jets'!D75+Patriots!D75+Vikings!D75+'@Colts'!D75+'@Patriots'!D75+Colts!D75+'@Eagles'!D75+Bengals!D75+Oilers!D75+'@Browns'!D75+Dolphins!D75+'@Chargers'!D75+Jets!D75+'@Steelers'!D75+'@Dolphins'!D75</f>
        <v>519</v>
      </c>
      <c r="E75" s="12">
        <f t="shared" si="2"/>
        <v>4.219512195121951</v>
      </c>
      <c r="F75">
        <f>MAX(Chargers!F75,'@Jets'!F75,Patriots!F75,Vikings!F75,'@Colts'!F75,'@Patriots'!F75,Colts!F75,Bengals!F75,Oilers!F75,'@Browns'!F75,Dolphins!F75,'@Chargers'!F75,Jets!F75,Jets!F75,'@Steelers'!F75,'@Dolphins'!F75,+'@Eagles'!F75)</f>
        <v>22</v>
      </c>
      <c r="G75">
        <f>+Chargers!G75+'@Jets'!G75+Patriots!G75+Vikings!G75+'@Colts'!G75+'@Patriots'!G75+Colts!G75+'@Eagles'!G75+Bengals!G75+Oilers!G75+'@Browns'!G75+Dolphins!G75+'@Chargers'!G75+Jets!G75+'@Steelers'!G75+'@Dolphins'!G75</f>
        <v>6</v>
      </c>
      <c r="H75">
        <f>Chargers!H75+'@Jets'!H75+Patriots!H75+Vikings!H75+'@Colts'!H75+'@Patriots'!H75+Colts!H75+'@Eagles'!H75+Bengals!H75+Oilers!H75+'@Browns'!H75+Dolphins!H75+'@Chargers'!H75+Jets!H75+'@Steelers'!H75+'@Dolphins'!H75</f>
        <v>6</v>
      </c>
      <c r="P75" s="24"/>
    </row>
    <row r="76" spans="1:16" ht="12.75">
      <c r="A76" t="s">
        <v>111</v>
      </c>
      <c r="C76">
        <f>+Chargers!C76+'@Jets'!C76+Patriots!C76+Vikings!C76+'@Colts'!C76+'@Patriots'!C76+Colts!C76+'@Eagles'!C76+Bengals!C76+Oilers!C76+'@Browns'!C76+Dolphins!C76+'@Chargers'!C76+Jets!C76+'@Steelers'!C76+'@Dolphins'!C76</f>
        <v>21</v>
      </c>
      <c r="D76">
        <f>+Chargers!D76+'@Jets'!D76+Patriots!D76+Vikings!D76+'@Colts'!D76+'@Patriots'!D76+Colts!D76+'@Eagles'!D76+Bengals!D76+Oilers!D76+'@Browns'!D76+Dolphins!D76+'@Chargers'!D76+Jets!D76+'@Steelers'!D76+'@Dolphins'!D76</f>
        <v>164</v>
      </c>
      <c r="E76" s="12">
        <f t="shared" si="2"/>
        <v>7.809523809523809</v>
      </c>
      <c r="F76">
        <f>MAX(Chargers!F76,'@Jets'!F76,Patriots!F76,Vikings!F76,'@Colts'!F76,'@Patriots'!F76,Colts!F76,Bengals!F76,Oilers!F76,'@Browns'!F76,Dolphins!F76,'@Chargers'!F76,Jets!F76,Jets!F76,'@Steelers'!F76,'@Dolphins'!F76,+'@Eagles'!F76)</f>
        <v>23</v>
      </c>
      <c r="G76">
        <f>+Chargers!G76+'@Jets'!G76+Patriots!G76+Vikings!G76+'@Colts'!G76+'@Patriots'!G76+Colts!G76+'@Eagles'!G76+Bengals!G76+Oilers!G76+'@Browns'!G76+Dolphins!G76+'@Chargers'!G76+Jets!G76+'@Steelers'!G76+'@Dolphins'!G76</f>
        <v>0</v>
      </c>
      <c r="H76">
        <f>Chargers!H76+'@Jets'!H76+Patriots!H76+Vikings!H76+'@Colts'!H76+'@Patriots'!H76+Colts!H76+'@Eagles'!H76+Bengals!H76+Oilers!H76+'@Browns'!H76+Dolphins!H76+'@Chargers'!H76+Jets!H76+'@Steelers'!H76+'@Dolphins'!H76</f>
        <v>0</v>
      </c>
      <c r="P76" s="24"/>
    </row>
    <row r="77" spans="1:16" ht="12.75">
      <c r="A77" t="s">
        <v>112</v>
      </c>
      <c r="C77">
        <f>+Chargers!C77+'@Jets'!C77+Patriots!C77+Vikings!C77+'@Colts'!C77+'@Patriots'!C77+Colts!C77+'@Eagles'!C77+Bengals!C77+Oilers!C77+'@Browns'!C77+Dolphins!C77+'@Chargers'!C77+Jets!C77+'@Steelers'!C77+'@Dolphins'!C77</f>
        <v>6</v>
      </c>
      <c r="D77">
        <f>+Chargers!D77+'@Jets'!D77+Patriots!D77+Vikings!D77+'@Colts'!D77+'@Patriots'!D77+Colts!D77+'@Eagles'!D77+Bengals!D77+Oilers!D77+'@Browns'!D77+Dolphins!D77+'@Chargers'!D77+Jets!D77+'@Steelers'!D77+'@Dolphins'!D77</f>
        <v>9</v>
      </c>
      <c r="E77" s="12">
        <f t="shared" si="2"/>
        <v>1.5</v>
      </c>
      <c r="F77">
        <f>MAX(Chargers!F77,'@Jets'!F77,Patriots!F77,Vikings!F77,'@Colts'!F77,'@Patriots'!F77,Colts!F77,Bengals!F77,Oilers!F77,'@Browns'!F77,Dolphins!F77,'@Chargers'!F77,Jets!F77,Jets!F77,'@Steelers'!F77,'@Dolphins'!F77,+'@Eagles'!F77)</f>
        <v>10</v>
      </c>
      <c r="G77">
        <f>+Chargers!G77+'@Jets'!G77+Patriots!G77+Vikings!G77+'@Colts'!G77+'@Patriots'!G77+Colts!G77+'@Eagles'!G77+Bengals!G77+Oilers!G77+'@Browns'!G77+Dolphins!G77+'@Chargers'!G77+Jets!G77+'@Steelers'!G77+'@Dolphins'!G77</f>
        <v>0</v>
      </c>
      <c r="H77">
        <f>Chargers!H77+'@Jets'!H77+Patriots!H77+Vikings!H77+'@Colts'!H77+'@Patriots'!H77+Colts!H77+'@Eagles'!H77+Bengals!H77+Oilers!H77+'@Browns'!H77+Dolphins!H77+'@Chargers'!H77+Jets!H77+'@Steelers'!H77+'@Dolphins'!H77</f>
        <v>0</v>
      </c>
      <c r="P77" s="24"/>
    </row>
    <row r="78" spans="1:16" ht="12.75">
      <c r="A78" t="s">
        <v>113</v>
      </c>
      <c r="C78">
        <f>+Chargers!C78+'@Jets'!C78+Patriots!C78+Vikings!C78+'@Colts'!C78+'@Patriots'!C78+Colts!C78+'@Eagles'!C78+Bengals!C78+Oilers!C78+'@Browns'!C78+Dolphins!C78+'@Chargers'!C78+Jets!C78+'@Steelers'!C78+'@Dolphins'!C78</f>
        <v>12</v>
      </c>
      <c r="D78">
        <f>+Chargers!D78+'@Jets'!D78+Patriots!D78+Vikings!D78+'@Colts'!D78+'@Patriots'!D78+Colts!D78+'@Eagles'!D78+Bengals!D78+Oilers!D78+'@Browns'!D78+Dolphins!D78+'@Chargers'!D78+Jets!D78+'@Steelers'!D78+'@Dolphins'!D78</f>
        <v>7</v>
      </c>
      <c r="E78" s="12">
        <f t="shared" si="2"/>
        <v>0.5833333333333334</v>
      </c>
      <c r="F78">
        <f>MAX(Chargers!F78,'@Jets'!F78,Patriots!F78,Vikings!F78,'@Colts'!F78,'@Patriots'!F78,Colts!F78,Bengals!F78,Oilers!F78,'@Browns'!F78,Dolphins!F78,'@Chargers'!F78,Jets!F78,Jets!F78,'@Steelers'!F78,'@Dolphins'!F78,+'@Eagles'!F78)</f>
        <v>10</v>
      </c>
      <c r="G78">
        <f>+Chargers!G78+'@Jets'!G78+Patriots!G78+Vikings!G78+'@Colts'!G78+'@Patriots'!G78+Colts!G78+'@Eagles'!G78+Bengals!G78+Oilers!G78+'@Browns'!G78+Dolphins!G78+'@Chargers'!G78+Jets!G78+'@Steelers'!G78+'@Dolphins'!G78</f>
        <v>1</v>
      </c>
      <c r="H78">
        <f>Chargers!H78+'@Jets'!H78+Patriots!H78+Vikings!H78+'@Colts'!H78+'@Patriots'!H78+Colts!H78+'@Eagles'!H78+Bengals!H78+Oilers!H78+'@Browns'!H78+Dolphins!H78+'@Chargers'!H78+Jets!H78+'@Steelers'!H78+'@Dolphins'!H78</f>
        <v>0</v>
      </c>
      <c r="P78" s="24"/>
    </row>
    <row r="79" spans="1:16" ht="12.75">
      <c r="A79" t="s">
        <v>114</v>
      </c>
      <c r="C79">
        <f>+Chargers!C79+'@Jets'!C79+Patriots!C79+Vikings!C79+'@Colts'!C79+'@Patriots'!C79+Colts!C79+'@Eagles'!C79+Bengals!C79+Oilers!C79+'@Browns'!C79+Dolphins!C79+'@Chargers'!C79+Jets!C79+'@Steelers'!C79+'@Dolphins'!C79</f>
        <v>15</v>
      </c>
      <c r="D79">
        <f>+Chargers!D79+'@Jets'!D79+Patriots!D79+Vikings!D79+'@Colts'!D79+'@Patriots'!D79+Colts!D79+'@Eagles'!D79+Bengals!D79+Oilers!D79+'@Browns'!D79+Dolphins!D79+'@Chargers'!D79+Jets!D79+'@Steelers'!D79+'@Dolphins'!D79</f>
        <v>23</v>
      </c>
      <c r="E79" s="12">
        <f t="shared" si="2"/>
        <v>1.5333333333333334</v>
      </c>
      <c r="F79">
        <f>MAX(Chargers!F79,'@Jets'!F79,Patriots!F79,Vikings!F79,'@Colts'!F79,'@Patriots'!F79,Colts!F79,Bengals!F79,Oilers!F79,'@Browns'!F79,Dolphins!F79,'@Chargers'!F79,Jets!F79,Jets!F79,'@Steelers'!F79,'@Dolphins'!F79,+'@Eagles'!F79)</f>
        <v>6</v>
      </c>
      <c r="G79">
        <f>+Chargers!G79+'@Jets'!G79+Patriots!G79+Vikings!G79+'@Colts'!G79+'@Patriots'!G79+Colts!G79+'@Eagles'!G79+Bengals!G79+Oilers!G79+'@Browns'!G79+Dolphins!G79+'@Chargers'!G79+Jets!G79+'@Steelers'!G79+'@Dolphins'!G79</f>
        <v>0</v>
      </c>
      <c r="H79">
        <f>Chargers!H79+'@Jets'!H79+Patriots!H79+Vikings!H79+'@Colts'!H79+'@Patriots'!H79+Colts!H79+'@Eagles'!H79+Bengals!H79+Oilers!H79+'@Browns'!H79+Dolphins!H79+'@Chargers'!H79+Jets!H79+'@Steelers'!H79+'@Dolphins'!H79</f>
        <v>1</v>
      </c>
      <c r="P79" s="24"/>
    </row>
    <row r="80" spans="1:16" ht="12.75">
      <c r="A80" t="s">
        <v>115</v>
      </c>
      <c r="C80">
        <f>+Chargers!C80+'@Jets'!C80+Patriots!C80+Vikings!C80+'@Colts'!C80+'@Patriots'!C80+Colts!C80+'@Eagles'!C80+Bengals!C80+Oilers!C80+'@Browns'!C80+Dolphins!C80+'@Chargers'!C80+Jets!C80+'@Steelers'!C80+'@Dolphins'!C80</f>
        <v>5</v>
      </c>
      <c r="D80">
        <f>+Chargers!D80+'@Jets'!D80+Patriots!D80+Vikings!D80+'@Colts'!D80+'@Patriots'!D80+Colts!D80+'@Eagles'!D80+Bengals!D80+Oilers!D80+'@Browns'!D80+Dolphins!D80+'@Chargers'!D80+Jets!D80+'@Steelers'!D80+'@Dolphins'!D80</f>
        <v>1</v>
      </c>
      <c r="E80" s="12">
        <f t="shared" si="2"/>
        <v>0.2</v>
      </c>
      <c r="F80">
        <f>MAX(Chargers!F80,'@Jets'!F80,Patriots!F80,Vikings!F80,'@Colts'!F80,'@Patriots'!F80,Colts!F80,Bengals!F80,Oilers!F80,'@Browns'!F80,Dolphins!F80,'@Chargers'!F80,Jets!F80,Jets!F80,'@Steelers'!F80,'@Dolphins'!F80,+'@Eagles'!F80)</f>
        <v>3</v>
      </c>
      <c r="G80">
        <f>+Chargers!G80+'@Jets'!G80+Patriots!G80+Vikings!G80+'@Colts'!G80+'@Patriots'!G80+Colts!G80+'@Eagles'!G80+Bengals!G80+Oilers!G80+'@Browns'!G80+Dolphins!G80+'@Chargers'!G80+Jets!G80+'@Steelers'!G80+'@Dolphins'!G80</f>
        <v>0</v>
      </c>
      <c r="H80">
        <f>Chargers!H80+'@Jets'!H80+Patriots!H80+Vikings!H80+'@Colts'!H80+'@Patriots'!H80+Colts!H80+'@Eagles'!H80+Bengals!H80+Oilers!H80+'@Browns'!H80+Dolphins!H80+'@Chargers'!H80+Jets!H80+'@Steelers'!H80+'@Dolphins'!H80</f>
        <v>0</v>
      </c>
      <c r="P80" s="24"/>
    </row>
    <row r="81" spans="1:16" ht="12.75">
      <c r="A81" t="s">
        <v>116</v>
      </c>
      <c r="C81">
        <f>+Chargers!C81+'@Jets'!C81+Patriots!C81+Vikings!C81+'@Colts'!C81+'@Patriots'!C81+Colts!C81+'@Eagles'!C81+Bengals!C81+Oilers!C81+'@Browns'!C81+Dolphins!C81+'@Chargers'!C81+Jets!C81+'@Steelers'!C81+'@Dolphins'!C81</f>
        <v>4</v>
      </c>
      <c r="D81">
        <f>+Chargers!D81+'@Jets'!D81+Patriots!D81+Vikings!D81+'@Colts'!D81+'@Patriots'!D81+Colts!D81+'@Eagles'!D81+Bengals!D81+Oilers!D81+'@Browns'!D81+Dolphins!D81+'@Chargers'!D81+Jets!D81+'@Steelers'!D81+'@Dolphins'!D81</f>
        <v>24</v>
      </c>
      <c r="E81" s="12">
        <f t="shared" si="2"/>
        <v>6</v>
      </c>
      <c r="F81">
        <f>MAX(Chargers!F81,'@Jets'!F81,Patriots!F81,Vikings!F81,'@Colts'!F81,'@Patriots'!F81,Colts!F81,Bengals!F81,Oilers!F81,'@Browns'!F81,Dolphins!F81,'@Chargers'!F81,Jets!F81,Jets!F81,'@Steelers'!F81,'@Dolphins'!F81,+'@Eagles'!F81)</f>
        <v>19</v>
      </c>
      <c r="G81">
        <f>+Chargers!G81+'@Jets'!G81+Patriots!G81+Vikings!G81+'@Colts'!G81+'@Patriots'!G81+Colts!G81+'@Eagles'!G81+Bengals!G81+Oilers!G81+'@Browns'!G81+Dolphins!G81+'@Chargers'!G81+Jets!G81+'@Steelers'!G81+'@Dolphins'!G81</f>
        <v>1</v>
      </c>
      <c r="H81">
        <f>Chargers!H81+'@Jets'!H81+Patriots!H81+Vikings!H81+'@Colts'!H81+'@Patriots'!H81+Colts!H81+'@Eagles'!H81+Bengals!H81+Oilers!H81+'@Browns'!H81+Dolphins!H81+'@Chargers'!H81+Jets!H81+'@Steelers'!H81+'@Dolphins'!H81</f>
        <v>0</v>
      </c>
      <c r="P81" s="24"/>
    </row>
    <row r="82" spans="1:16" ht="12.75">
      <c r="A82" t="s">
        <v>117</v>
      </c>
      <c r="C82">
        <f>+Chargers!C82+'@Jets'!C82+Patriots!C82+Vikings!C82+'@Colts'!C82+'@Patriots'!C82+Colts!C82+'@Eagles'!C82+Bengals!C82+Oilers!C82+'@Browns'!C82+Dolphins!C82+'@Chargers'!C82+Jets!C82+'@Steelers'!C82+'@Dolphins'!C82</f>
        <v>1</v>
      </c>
      <c r="D82">
        <f>+Chargers!D82+'@Jets'!D82+Patriots!D82+Vikings!D82+'@Colts'!D82+'@Patriots'!D82+Colts!D82+'@Eagles'!D82+Bengals!D82+Oilers!D82+'@Browns'!D82+Dolphins!D82+'@Chargers'!D82+Jets!D82+'@Steelers'!D82+'@Dolphins'!D82</f>
        <v>6</v>
      </c>
      <c r="E82" s="12">
        <f t="shared" si="2"/>
        <v>6</v>
      </c>
      <c r="F82">
        <f>MAX(Chargers!F82,'@Jets'!F82,Patriots!F82,Vikings!F82,'@Colts'!F82,'@Patriots'!F82,Colts!F82,Bengals!F82,Oilers!F82,'@Browns'!F82,Dolphins!F82,'@Chargers'!F82,Jets!F82,Jets!F82,'@Steelers'!F82,'@Dolphins'!F82,+'@Eagles'!F82)</f>
        <v>6</v>
      </c>
      <c r="G82">
        <f>+Chargers!G82+'@Jets'!G82+Patriots!G82+Vikings!G82+'@Colts'!G82+'@Patriots'!G82+Colts!G82+'@Eagles'!G82+Bengals!G82+Oilers!G82+'@Browns'!G82+Dolphins!G82+'@Chargers'!G82+Jets!G82+'@Steelers'!G82+'@Dolphins'!G82</f>
        <v>0</v>
      </c>
      <c r="H82">
        <f>Chargers!H82+'@Jets'!H82+Patriots!H82+Vikings!H82+'@Colts'!H82+'@Patriots'!H82+Colts!H82+'@Eagles'!H82+Bengals!H82+Oilers!H82+'@Browns'!H82+Dolphins!H82+'@Chargers'!H82+Jets!H82+'@Steelers'!H82+'@Dolphins'!H82</f>
        <v>0</v>
      </c>
      <c r="P82" s="24"/>
    </row>
    <row r="83" spans="1:16" ht="12.75">
      <c r="A83" t="s">
        <v>118</v>
      </c>
      <c r="C83">
        <f>+Chargers!C83+'@Jets'!C83+Patriots!C83+Vikings!C83+'@Colts'!C83+'@Patriots'!C83+Colts!C83+'@Eagles'!C83+Bengals!C83+Oilers!C83+'@Browns'!C83+Dolphins!C83+'@Chargers'!C83+Jets!C83+'@Steelers'!C83+'@Dolphins'!C83</f>
        <v>3</v>
      </c>
      <c r="D83">
        <f>+Chargers!D83+'@Jets'!D83+Patriots!D83+Vikings!D83+'@Colts'!D83+'@Patriots'!D83+Colts!D83+'@Eagles'!D83+Bengals!D83+Oilers!D83+'@Browns'!D83+Dolphins!D83+'@Chargers'!D83+Jets!D83+'@Steelers'!D83+'@Dolphins'!D83</f>
        <v>-4</v>
      </c>
      <c r="E83" s="12">
        <f t="shared" si="2"/>
        <v>-1.3333333333333333</v>
      </c>
      <c r="F83">
        <f>MAX(Chargers!F83,'@Jets'!F83,Patriots!F83,Vikings!F83,'@Colts'!F83,'@Patriots'!F83,Colts!F83,Bengals!F83,Oilers!F83,'@Browns'!F83,Dolphins!F83,'@Chargers'!F83,Jets!F83,Jets!F83,'@Steelers'!F83,'@Dolphins'!F83,+'@Eagles'!F83)</f>
        <v>2</v>
      </c>
      <c r="G83">
        <f>+Chargers!G83+'@Jets'!G83+Patriots!G83+Vikings!G83+'@Colts'!G83+'@Patriots'!G83+Colts!G83+'@Eagles'!G83+Bengals!G83+Oilers!G83+'@Browns'!G83+Dolphins!G83+'@Chargers'!G83+Jets!G83+'@Steelers'!G83+'@Dolphins'!G83</f>
        <v>0</v>
      </c>
      <c r="H83">
        <f>Chargers!H83+'@Jets'!H83+Patriots!H83+Vikings!H83+'@Colts'!H83+'@Patriots'!H83+Colts!H83+'@Eagles'!H83+Bengals!H83+Oilers!H83+'@Browns'!H83+Dolphins!H83+'@Chargers'!H83+Jets!H83+'@Steelers'!H83+'@Dolphins'!H83</f>
        <v>0</v>
      </c>
      <c r="P83" s="24"/>
    </row>
    <row r="84" ht="12.75">
      <c r="E84" s="8"/>
    </row>
    <row r="85" spans="1:8" ht="12.75">
      <c r="A85" s="2" t="s">
        <v>52</v>
      </c>
      <c r="C85" s="3" t="s">
        <v>53</v>
      </c>
      <c r="D85" s="3" t="s">
        <v>48</v>
      </c>
      <c r="E85" s="15" t="s">
        <v>49</v>
      </c>
      <c r="F85" s="3" t="s">
        <v>50</v>
      </c>
      <c r="G85" s="3" t="s">
        <v>51</v>
      </c>
      <c r="H85" s="3" t="s">
        <v>80</v>
      </c>
    </row>
    <row r="86" spans="1:8" ht="12.75">
      <c r="A86" t="s">
        <v>109</v>
      </c>
      <c r="C86">
        <f>+Chargers!C86+'@Jets'!C86+Patriots!C86+Vikings!C86+'@Colts'!C86+'@Patriots'!C86+Colts!C86+'@Eagles'!C86+Bengals!C86+Oilers!C86+'@Browns'!C86+Dolphins!C86+'@Chargers'!C86+Jets!C86+'@Steelers'!C86+'@Dolphins'!C86</f>
        <v>64</v>
      </c>
      <c r="D86">
        <f>+Chargers!D86+'@Jets'!D86+Patriots!D86+Vikings!D86+'@Colts'!D86+'@Patriots'!D86+Colts!D86+'@Eagles'!D86+Bengals!D86+Oilers!D86+'@Browns'!D86+Dolphins!D86+'@Chargers'!D86+Jets!D86+'@Steelers'!D86+'@Dolphins'!D86</f>
        <v>756</v>
      </c>
      <c r="E86" s="12">
        <f aca="true" t="shared" si="3" ref="E86:E99">+D86/C86</f>
        <v>11.8125</v>
      </c>
      <c r="F86">
        <f>MAX(Chargers!F86,'@Jets'!F86,Patriots!F86,Vikings!F86,'@Colts'!F86,'@Patriots'!F86,Colts!F86,Bengals!F86,Oilers!F86,'@Browns'!F86,Dolphins!F86,'@Chargers'!F86,Jets!F86,'@Steelers'!F86,'@Dolphins'!F86,+'@Eagles'!F86)</f>
        <v>49</v>
      </c>
      <c r="G86">
        <f>+Chargers!G86+'@Jets'!G86+Patriots!G86+Vikings!G86+'@Colts'!G86+'@Patriots'!G86+Colts!G86+'@Eagles'!G86+Bengals!G86+Oilers!G86+'@Browns'!G86+Dolphins!G86+'@Chargers'!G86+Jets!G86+'@Steelers'!G86+'@Dolphins'!G86</f>
        <v>1</v>
      </c>
      <c r="H86">
        <f>+Chargers!H86+'@Jets'!H86+Patriots!H86+Vikings!H86+'@Colts'!H86+'@Patriots'!H86+Colts!H86+'@Eagles'!H86+Bengals!H86+Oilers!H86+'@Browns'!H86+Dolphins!H86+'@Chargers'!H86+Jets!H86+'@Steelers'!H86+'@Dolphins'!H86</f>
        <v>0</v>
      </c>
    </row>
    <row r="87" spans="1:8" ht="12.75">
      <c r="A87" t="s">
        <v>118</v>
      </c>
      <c r="C87">
        <f>+Chargers!C87+'@Jets'!C87+Patriots!C87+Vikings!C87+'@Colts'!C87+'@Patriots'!C87+Colts!C87+'@Eagles'!C87+Bengals!C87+Oilers!C87+'@Browns'!C87+Dolphins!C87+'@Chargers'!C87+Jets!C87+'@Steelers'!C87+'@Dolphins'!C87</f>
        <v>43</v>
      </c>
      <c r="D87">
        <f>+Chargers!D87+'@Jets'!D87+Patriots!D87+Vikings!D87+'@Colts'!D87+'@Patriots'!D87+Colts!D87+'@Eagles'!D87+Bengals!D87+Oilers!D87+'@Browns'!D87+Dolphins!D87+'@Chargers'!D87+Jets!D87+'@Steelers'!D87+'@Dolphins'!D87</f>
        <v>700</v>
      </c>
      <c r="E87" s="12">
        <f t="shared" si="3"/>
        <v>16.27906976744186</v>
      </c>
      <c r="F87">
        <f>MAX(Chargers!F87,'@Jets'!F87,Patriots!F87,Vikings!F87,'@Colts'!F87,'@Patriots'!F87,Colts!F87,Bengals!F87,Oilers!F87,'@Browns'!F87,Dolphins!F87,'@Chargers'!F87,Jets!F87,'@Steelers'!F87,'@Dolphins'!F87,+'@Eagles'!F87)</f>
        <v>32</v>
      </c>
      <c r="G87">
        <f>+Chargers!G87+'@Jets'!G87+Patriots!G87+Vikings!G87+'@Colts'!G87+'@Patriots'!G87+Colts!G87+'@Eagles'!G87+Bengals!G87+Oilers!G87+'@Browns'!G87+Dolphins!G87+'@Chargers'!G87+Jets!G87+'@Steelers'!G87+'@Dolphins'!G87</f>
        <v>3</v>
      </c>
      <c r="H87">
        <f>+Chargers!H87+'@Jets'!H87+Patriots!H87+Vikings!H87+'@Colts'!H87+'@Patriots'!H87+Colts!H87+'@Eagles'!H87+Bengals!H87+Oilers!H87+'@Browns'!H87+Dolphins!H87+'@Chargers'!H87+Jets!H87+'@Steelers'!H87+'@Dolphins'!H87</f>
        <v>0</v>
      </c>
    </row>
    <row r="88" spans="1:8" ht="12.75">
      <c r="A88" t="s">
        <v>119</v>
      </c>
      <c r="C88">
        <f>+Chargers!C88+'@Jets'!C88+Patriots!C88+Vikings!C88+'@Colts'!C88+'@Patriots'!C88+Colts!C88+'@Eagles'!C88+Bengals!C88+Oilers!C88+'@Browns'!C88+Dolphins!C88+'@Chargers'!C88+Jets!C88+'@Steelers'!C88+'@Dolphins'!C88</f>
        <v>36</v>
      </c>
      <c r="D88">
        <f>+Chargers!D88+'@Jets'!D88+Patriots!D88+Vikings!D88+'@Colts'!D88+'@Patriots'!D88+Colts!D88+'@Eagles'!D88+Bengals!D88+Oilers!D88+'@Browns'!D88+Dolphins!D88+'@Chargers'!D88+Jets!D88+'@Steelers'!D88+'@Dolphins'!D88</f>
        <v>721</v>
      </c>
      <c r="E88" s="12">
        <f t="shared" si="3"/>
        <v>20.02777777777778</v>
      </c>
      <c r="F88">
        <f>MAX(Chargers!F88,'@Jets'!F88,Patriots!F88,Vikings!F88,'@Colts'!F88,'@Patriots'!F88,Colts!F88,Bengals!F88,Oilers!F88,'@Browns'!F88,Dolphins!F88,'@Chargers'!F88,Jets!F88,'@Steelers'!F88,'@Dolphins'!F88,+'@Eagles'!F88)</f>
        <v>38</v>
      </c>
      <c r="G88">
        <f>+Chargers!G88+'@Jets'!G88+Patriots!G88+Vikings!G88+'@Colts'!G88+'@Patriots'!G88+Colts!G88+'@Eagles'!G88+Bengals!G88+Oilers!G88+'@Browns'!G88+Dolphins!G88+'@Chargers'!G88+Jets!G88+'@Steelers'!G88+'@Dolphins'!G88</f>
        <v>4</v>
      </c>
      <c r="H88">
        <f>+Chargers!H88+'@Jets'!H88+Patriots!H88+Vikings!H88+'@Colts'!H88+'@Patriots'!H88+Colts!H88+'@Eagles'!H88+Bengals!H88+Oilers!H88+'@Browns'!H88+Dolphins!H88+'@Chargers'!H88+Jets!H88+'@Steelers'!H88+'@Dolphins'!H88</f>
        <v>0</v>
      </c>
    </row>
    <row r="89" spans="1:8" ht="12.75">
      <c r="A89" t="s">
        <v>120</v>
      </c>
      <c r="C89">
        <f>+Chargers!C89+'@Jets'!C89+Patriots!C89+Vikings!C89+'@Colts'!C89+'@Patriots'!C89+Colts!C89+'@Eagles'!C89+Bengals!C89+Oilers!C89+'@Browns'!C89+Dolphins!C89+'@Chargers'!C89+Jets!C89+'@Steelers'!C89+'@Dolphins'!C89</f>
        <v>38</v>
      </c>
      <c r="D89">
        <f>+Chargers!D89+'@Jets'!D89+Patriots!D89+Vikings!D89+'@Colts'!D89+'@Patriots'!D89+Colts!D89+'@Eagles'!D89+Bengals!D89+Oilers!D89+'@Browns'!D89+Dolphins!D89+'@Chargers'!D89+Jets!D89+'@Steelers'!D89+'@Dolphins'!D89</f>
        <v>388</v>
      </c>
      <c r="E89" s="12">
        <f t="shared" si="3"/>
        <v>10.210526315789474</v>
      </c>
      <c r="F89">
        <f>MAX(Chargers!F89,'@Jets'!F89,Patriots!F89,Vikings!F89,'@Colts'!F89,'@Patriots'!F89,Colts!F89,Bengals!F89,Oilers!F89,'@Browns'!F89,Dolphins!F89,'@Chargers'!F89,Jets!F89,'@Steelers'!F89,'@Dolphins'!F89,+'@Eagles'!F89)</f>
        <v>25</v>
      </c>
      <c r="G89">
        <f>+Chargers!G89+'@Jets'!G89+Patriots!G89+Vikings!G89+'@Colts'!G89+'@Patriots'!G89+Colts!G89+'@Eagles'!G89+Bengals!G89+Oilers!G89+'@Browns'!G89+Dolphins!G89+'@Chargers'!G89+Jets!G89+'@Steelers'!G89+'@Dolphins'!G89</f>
        <v>1</v>
      </c>
      <c r="H89">
        <f>+Chargers!H89+'@Jets'!H89+Patriots!H89+Vikings!H89+'@Colts'!H89+'@Patriots'!H89+Colts!H89+'@Eagles'!H89+Bengals!H89+Oilers!H89+'@Browns'!H89+Dolphins!H89+'@Chargers'!H89+Jets!H89+'@Steelers'!H89+'@Dolphins'!H89</f>
        <v>1</v>
      </c>
    </row>
    <row r="90" spans="1:8" ht="12.75">
      <c r="A90" t="s">
        <v>121</v>
      </c>
      <c r="C90">
        <f>+Chargers!C90+'@Jets'!C90+Patriots!C90+Vikings!C90+'@Colts'!C90+'@Patriots'!C90+Colts!C90+'@Eagles'!C90+Bengals!C90+Oilers!C90+'@Browns'!C90+Dolphins!C90+'@Chargers'!C90+Jets!C90+'@Steelers'!C90+'@Dolphins'!C90</f>
        <v>18</v>
      </c>
      <c r="D90">
        <f>+Chargers!D90+'@Jets'!D90+Patriots!D90+Vikings!D90+'@Colts'!D90+'@Patriots'!D90+Colts!D90+'@Eagles'!D90+Bengals!D90+Oilers!D90+'@Browns'!D90+Dolphins!D90+'@Chargers'!D90+Jets!D90+'@Steelers'!D90+'@Dolphins'!D90</f>
        <v>375</v>
      </c>
      <c r="E90" s="12">
        <f t="shared" si="3"/>
        <v>20.833333333333332</v>
      </c>
      <c r="F90">
        <f>MAX(Chargers!F90,'@Jets'!F90,Patriots!F90,Vikings!F90,'@Colts'!F90,'@Patriots'!F90,Colts!F90,Bengals!F90,Oilers!F90,'@Browns'!F90,Dolphins!F90,'@Chargers'!F90,Jets!F90,'@Steelers'!F90,'@Dolphins'!F90,+'@Eagles'!F90)</f>
        <v>37</v>
      </c>
      <c r="G90">
        <f>+Chargers!G90+'@Jets'!G90+Patriots!G90+Vikings!G90+'@Colts'!G90+'@Patriots'!G90+Colts!G90+'@Eagles'!G90+Bengals!G90+Oilers!G90+'@Browns'!G90+Dolphins!G90+'@Chargers'!G90+Jets!G90+'@Steelers'!G90+'@Dolphins'!G90</f>
        <v>0</v>
      </c>
      <c r="H90">
        <f>+Chargers!H90+'@Jets'!H90+Patriots!H90+Vikings!H90+'@Colts'!H90+'@Patriots'!H90+Colts!H90+'@Eagles'!H90+Bengals!H90+Oilers!H90+'@Browns'!H90+Dolphins!H90+'@Chargers'!H90+Jets!H90+'@Steelers'!H90+'@Dolphins'!H90</f>
        <v>0</v>
      </c>
    </row>
    <row r="91" spans="1:8" ht="12.75">
      <c r="A91" t="s">
        <v>110</v>
      </c>
      <c r="C91">
        <f>+Chargers!C91+'@Jets'!C91+Patriots!C91+Vikings!C91+'@Colts'!C91+'@Patriots'!C91+Colts!C91+'@Eagles'!C91+Bengals!C91+Oilers!C91+'@Browns'!C91+Dolphins!C91+'@Chargers'!C91+Jets!C91+'@Steelers'!C91+'@Dolphins'!C91</f>
        <v>26</v>
      </c>
      <c r="D91">
        <f>+Chargers!D91+'@Jets'!D91+Patriots!D91+Vikings!D91+'@Colts'!D91+'@Patriots'!D91+Colts!D91+'@Eagles'!D91+Bengals!D91+Oilers!D91+'@Browns'!D91+Dolphins!D91+'@Chargers'!D91+Jets!D91+'@Steelers'!D91+'@Dolphins'!D91</f>
        <v>264</v>
      </c>
      <c r="E91" s="12">
        <f t="shared" si="3"/>
        <v>10.153846153846153</v>
      </c>
      <c r="F91">
        <f>MAX(Chargers!F91,'@Jets'!F91,Patriots!F91,Vikings!F91,'@Colts'!F91,'@Patriots'!F91,Colts!F91,Bengals!F91,Oilers!F91,'@Browns'!F91,Dolphins!F91,'@Chargers'!F91,Jets!F91,'@Steelers'!F91,'@Dolphins'!F91,+'@Eagles'!F91)</f>
        <v>19</v>
      </c>
      <c r="G91">
        <f>+Chargers!G91+'@Jets'!G91+Patriots!G91+Vikings!G91+'@Colts'!G91+'@Patriots'!G91+Colts!G91+'@Eagles'!G91+Bengals!G91+Oilers!G91+'@Browns'!G91+Dolphins!G91+'@Chargers'!G91+Jets!G91+'@Steelers'!G91+'@Dolphins'!G91</f>
        <v>0</v>
      </c>
      <c r="H91">
        <f>+Chargers!H91+'@Jets'!H91+Patriots!H91+Vikings!H91+'@Colts'!H91+'@Patriots'!H91+Colts!H91+'@Eagles'!H91+Bengals!H91+Oilers!H91+'@Browns'!H91+Dolphins!H91+'@Chargers'!H91+Jets!H91+'@Steelers'!H91+'@Dolphins'!H91</f>
        <v>0</v>
      </c>
    </row>
    <row r="92" spans="1:8" ht="12.75">
      <c r="A92" t="s">
        <v>122</v>
      </c>
      <c r="C92">
        <f>+Chargers!C92+'@Jets'!C92+Patriots!C92+Vikings!C92+'@Colts'!C92+'@Patriots'!C92+Colts!C92+'@Eagles'!C92+Bengals!C92+Oilers!C92+'@Browns'!C92+Dolphins!C92+'@Chargers'!C92+Jets!C92+'@Steelers'!C92+'@Dolphins'!C92</f>
        <v>8</v>
      </c>
      <c r="D92">
        <f>+Chargers!D92+'@Jets'!D92+Patriots!D92+Vikings!D92+'@Colts'!D92+'@Patriots'!D92+Colts!D92+'@Eagles'!D92+Bengals!D92+Oilers!D92+'@Browns'!D92+Dolphins!D92+'@Chargers'!D92+Jets!D92+'@Steelers'!D92+'@Dolphins'!D92</f>
        <v>118</v>
      </c>
      <c r="E92" s="12">
        <f t="shared" si="3"/>
        <v>14.75</v>
      </c>
      <c r="F92">
        <f>MAX(Chargers!F92,'@Jets'!F92,Patriots!F92,Vikings!F92,'@Colts'!F92,'@Patriots'!F92,Colts!F92,Bengals!F92,Oilers!F92,'@Browns'!F92,Dolphins!F92,'@Chargers'!F92,Jets!F92,'@Steelers'!F92,'@Dolphins'!F92,+'@Eagles'!F92)</f>
        <v>28</v>
      </c>
      <c r="G92">
        <f>+Chargers!G92+'@Jets'!G92+Patriots!G92+Vikings!G92+'@Colts'!G92+'@Patriots'!G92+Colts!G92+'@Eagles'!G92+Bengals!G92+Oilers!G92+'@Browns'!G92+Dolphins!G92+'@Chargers'!G92+Jets!G92+'@Steelers'!G92+'@Dolphins'!G92</f>
        <v>0</v>
      </c>
      <c r="H92">
        <f>+Chargers!H92+'@Jets'!H92+Patriots!H92+Vikings!H92+'@Colts'!H92+'@Patriots'!H92+Colts!H92+'@Eagles'!H92+Bengals!H92+Oilers!H92+'@Browns'!H92+Dolphins!H92+'@Chargers'!H92+Jets!H92+'@Steelers'!H92+'@Dolphins'!H92</f>
        <v>0</v>
      </c>
    </row>
    <row r="93" spans="1:8" ht="12.75">
      <c r="A93" t="s">
        <v>123</v>
      </c>
      <c r="C93">
        <f>+Chargers!C93+'@Jets'!C93+Patriots!C93+Vikings!C93+'@Colts'!C93+'@Patriots'!C93+Colts!C93+'@Eagles'!C93+Bengals!C93+Oilers!C93+'@Browns'!C93+Dolphins!C93+'@Chargers'!C93+Jets!C93+'@Steelers'!C93+'@Dolphins'!C93</f>
        <v>8</v>
      </c>
      <c r="D93">
        <f>+Chargers!D93+'@Jets'!D93+Patriots!D93+Vikings!D93+'@Colts'!D93+'@Patriots'!D93+Colts!D93+'@Eagles'!D93+Bengals!D93+Oilers!D93+'@Browns'!D93+Dolphins!D93+'@Chargers'!D93+Jets!D93+'@Steelers'!D93+'@Dolphins'!D93</f>
        <v>38</v>
      </c>
      <c r="E93" s="12">
        <f t="shared" si="3"/>
        <v>4.75</v>
      </c>
      <c r="F93">
        <f>MAX(Chargers!F93,'@Jets'!F93,Patriots!F93,Vikings!F93,'@Colts'!F93,'@Patriots'!F93,Colts!F93,Bengals!F93,Oilers!F93,'@Browns'!F93,Dolphins!F93,'@Chargers'!F93,Jets!F93,'@Steelers'!F93,'@Dolphins'!F93,+'@Eagles'!F93)</f>
        <v>15</v>
      </c>
      <c r="G93">
        <f>+Chargers!G93+'@Jets'!G93+Patriots!G93+Vikings!G93+'@Colts'!G93+'@Patriots'!G93+Colts!G93+'@Eagles'!G93+Bengals!G93+Oilers!G93+'@Browns'!G93+Dolphins!G93+'@Chargers'!G93+Jets!G93+'@Steelers'!G93+'@Dolphins'!G93</f>
        <v>0</v>
      </c>
      <c r="H93">
        <f>+Chargers!H93+'@Jets'!H93+Patriots!H93+Vikings!H93+'@Colts'!H93+'@Patriots'!H93+Colts!H93+'@Eagles'!H93+Bengals!H93+Oilers!H93+'@Browns'!H93+Dolphins!H93+'@Chargers'!H93+Jets!H93+'@Steelers'!H93+'@Dolphins'!H93</f>
        <v>0</v>
      </c>
    </row>
    <row r="94" spans="1:8" ht="12.75">
      <c r="A94" t="s">
        <v>114</v>
      </c>
      <c r="C94">
        <f>+Chargers!C94+'@Jets'!C94+Patriots!C94+Vikings!C94+'@Colts'!C94+'@Patriots'!C94+Colts!C94+'@Eagles'!C94+Bengals!C94+Oilers!C94+'@Browns'!C94+Dolphins!C94+'@Chargers'!C94+Jets!C94+'@Steelers'!C94+'@Dolphins'!C94</f>
        <v>6</v>
      </c>
      <c r="D94">
        <f>+Chargers!D94+'@Jets'!D94+Patriots!D94+Vikings!D94+'@Colts'!D94+'@Patriots'!D94+Colts!D94+'@Eagles'!D94+Bengals!D94+Oilers!D94+'@Browns'!D94+Dolphins!D94+'@Chargers'!D94+Jets!D94+'@Steelers'!D94+'@Dolphins'!D94</f>
        <v>54</v>
      </c>
      <c r="E94" s="12">
        <f t="shared" si="3"/>
        <v>9</v>
      </c>
      <c r="F94">
        <f>MAX(Chargers!F94,'@Jets'!F94,Patriots!F94,Vikings!F94,'@Colts'!F94,'@Patriots'!F94,Colts!F94,Bengals!F94,Oilers!F94,'@Browns'!F94,Dolphins!F94,'@Chargers'!F94,Jets!F94,'@Steelers'!F94,'@Dolphins'!F94,+'@Eagles'!F94)</f>
        <v>17</v>
      </c>
      <c r="G94">
        <f>+Chargers!G94+'@Jets'!G94+Patriots!G94+Vikings!G94+'@Colts'!G94+'@Patriots'!G94+Colts!G94+'@Eagles'!G94+Bengals!G94+Oilers!G94+'@Browns'!G94+Dolphins!G94+'@Chargers'!G94+Jets!G94+'@Steelers'!G94+'@Dolphins'!G94</f>
        <v>0</v>
      </c>
      <c r="H94">
        <f>+Chargers!H94+'@Jets'!H94+Patriots!H94+Vikings!H94+'@Colts'!H94+'@Patriots'!H94+Colts!H94+'@Eagles'!H94+Bengals!H94+Oilers!H94+'@Browns'!H94+Dolphins!H94+'@Chargers'!H94+Jets!H94+'@Steelers'!H94+'@Dolphins'!H94</f>
        <v>0</v>
      </c>
    </row>
    <row r="95" spans="1:8" ht="12.75">
      <c r="A95" t="s">
        <v>124</v>
      </c>
      <c r="C95">
        <f>+Chargers!C95+'@Jets'!C95+Patriots!C95+Vikings!C95+'@Colts'!C95+'@Patriots'!C95+Colts!C95+'@Eagles'!C95+Bengals!C95+Oilers!C95+'@Browns'!C95+Dolphins!C95+'@Chargers'!C95+Jets!C95+'@Steelers'!C95+'@Dolphins'!C95</f>
        <v>10</v>
      </c>
      <c r="D95">
        <f>+Chargers!D95+'@Jets'!D95+Patriots!D95+Vikings!D95+'@Colts'!D95+'@Patriots'!D95+Colts!D95+'@Eagles'!D95+Bengals!D95+Oilers!D95+'@Browns'!D95+Dolphins!D95+'@Chargers'!D95+Jets!D95+'@Steelers'!D95+'@Dolphins'!D95</f>
        <v>172</v>
      </c>
      <c r="E95" s="12">
        <f t="shared" si="3"/>
        <v>17.2</v>
      </c>
      <c r="F95">
        <f>MAX(Chargers!F95,'@Jets'!F95,Patriots!F95,Vikings!F95,'@Colts'!F95,'@Patriots'!F95,Colts!F95,Bengals!F95,Oilers!F95,'@Browns'!F95,Dolphins!F95,'@Chargers'!F95,Jets!F95,'@Steelers'!F95,'@Dolphins'!F95,+'@Eagles'!F95)</f>
        <v>29</v>
      </c>
      <c r="G95">
        <f>+Chargers!G95+'@Jets'!G95+Patriots!G95+Vikings!G95+'@Colts'!G95+'@Patriots'!G95+Colts!G95+'@Eagles'!G95+Bengals!G95+Oilers!G95+'@Browns'!G95+Dolphins!G95+'@Chargers'!G95+Jets!G95+'@Steelers'!G95+'@Dolphins'!G95</f>
        <v>3</v>
      </c>
      <c r="H95">
        <f>+Chargers!H95+'@Jets'!H95+Patriots!H95+Vikings!H95+'@Colts'!H95+'@Patriots'!H95+Colts!H95+'@Eagles'!H95+Bengals!H95+Oilers!H95+'@Browns'!H95+Dolphins!H95+'@Chargers'!H95+Jets!H95+'@Steelers'!H95+'@Dolphins'!H95</f>
        <v>0</v>
      </c>
    </row>
    <row r="96" spans="1:21" ht="12.75">
      <c r="A96" t="s">
        <v>125</v>
      </c>
      <c r="C96">
        <f>+Chargers!C96+'@Jets'!C96+Patriots!C96+Vikings!C96+'@Colts'!C96+'@Patriots'!C96+Colts!C96+'@Eagles'!C96+Bengals!C96+Oilers!C96+'@Browns'!C96+Dolphins!C96+'@Chargers'!C96+Jets!C96+'@Steelers'!C96+'@Dolphins'!C96</f>
        <v>2</v>
      </c>
      <c r="D96">
        <f>+Chargers!D96+'@Jets'!D96+Patriots!D96+Vikings!D96+'@Colts'!D96+'@Patriots'!D96+Colts!D96+'@Eagles'!D96+Bengals!D96+Oilers!D96+'@Browns'!D96+Dolphins!D96+'@Chargers'!D96+Jets!D96+'@Steelers'!D96+'@Dolphins'!D96</f>
        <v>12</v>
      </c>
      <c r="E96" s="12">
        <f t="shared" si="3"/>
        <v>6</v>
      </c>
      <c r="F96">
        <f>MAX(Chargers!F96,'@Jets'!F96,Patriots!F96,Vikings!F96,'@Colts'!F96,'@Patriots'!F96,Colts!F96,Bengals!F96,Oilers!F96,'@Browns'!F96,Dolphins!F96,'@Chargers'!F96,Jets!F96,'@Steelers'!F96,'@Dolphins'!F96,+'@Eagles'!F96)</f>
        <v>8</v>
      </c>
      <c r="G96">
        <f>+Chargers!G96+'@Jets'!G96+Patriots!G96+Vikings!G96+'@Colts'!G96+'@Patriots'!G96+Colts!G96+'@Eagles'!G96+Bengals!G96+Oilers!G96+'@Browns'!G96+Dolphins!G96+'@Chargers'!G96+Jets!G96+'@Steelers'!G96+'@Dolphins'!G96</f>
        <v>0</v>
      </c>
      <c r="H96">
        <f>+Chargers!H96+'@Jets'!H96+Patriots!H96+Vikings!H96+'@Colts'!H96+'@Patriots'!H96+Colts!H96+'@Eagles'!H96+Bengals!H96+Oilers!H96+'@Browns'!H96+Dolphins!H96+'@Chargers'!H96+Jets!H96+'@Steelers'!H96+'@Dolphins'!H96</f>
        <v>0</v>
      </c>
      <c r="U96" s="24"/>
    </row>
    <row r="97" spans="1:22" ht="12.75">
      <c r="A97" t="s">
        <v>112</v>
      </c>
      <c r="C97">
        <f>+Chargers!C97+'@Jets'!C97+Patriots!C97+Vikings!C97+'@Colts'!C97+'@Patriots'!C97+Colts!C97+'@Eagles'!C97+Bengals!C97+Oilers!C97+'@Browns'!C97+Dolphins!C97+'@Chargers'!C97+Jets!C97+'@Steelers'!C97+'@Dolphins'!C97</f>
        <v>1</v>
      </c>
      <c r="D97">
        <f>+Chargers!D97+'@Jets'!D97+Patriots!D97+Vikings!D97+'@Colts'!D97+'@Patriots'!D97+Colts!D97+'@Eagles'!D97+Bengals!D97+Oilers!D97+'@Browns'!D97+Dolphins!D97+'@Chargers'!D97+Jets!D97+'@Steelers'!D97+'@Dolphins'!D97</f>
        <v>3</v>
      </c>
      <c r="E97" s="12">
        <f t="shared" si="3"/>
        <v>3</v>
      </c>
      <c r="F97">
        <f>MAX(Chargers!F97,'@Jets'!F97,Patriots!F97,Vikings!F97,'@Colts'!F97,'@Patriots'!F97,Colts!F97,Bengals!F97,Oilers!F97,'@Browns'!F97,Dolphins!F97,'@Chargers'!F97,Jets!F97,'@Steelers'!F97,'@Dolphins'!F97,+'@Eagles'!F97)</f>
        <v>3</v>
      </c>
      <c r="G97">
        <f>+Chargers!G97+'@Jets'!G97+Patriots!G97+Vikings!G97+'@Colts'!G97+'@Patriots'!G97+Colts!G97+'@Eagles'!G97+Bengals!G97+Oilers!G97+'@Browns'!G97+Dolphins!G97+'@Chargers'!G97+Jets!G97+'@Steelers'!G97+'@Dolphins'!G97</f>
        <v>0</v>
      </c>
      <c r="H97">
        <f>+Chargers!H97+'@Jets'!H97+Patriots!H97+Vikings!H97+'@Colts'!H97+'@Patriots'!H97+Colts!H97+'@Eagles'!H97+Bengals!H97+Oilers!H97+'@Browns'!H97+Dolphins!H97+'@Chargers'!H97+Jets!H97+'@Steelers'!H97+'@Dolphins'!H97</f>
        <v>0</v>
      </c>
      <c r="U97" s="24"/>
      <c r="V97" s="26"/>
    </row>
    <row r="98" spans="1:8" ht="12.75">
      <c r="A98" t="s">
        <v>126</v>
      </c>
      <c r="C98">
        <f>+Chargers!C98+'@Jets'!C98+Patriots!C98+Vikings!C98+'@Colts'!C98+'@Patriots'!C98+Colts!C98+'@Eagles'!C98+Bengals!C98+Oilers!C98+'@Browns'!C98+Dolphins!C98+'@Chargers'!C98+Jets!C98+'@Steelers'!C98+'@Dolphins'!C98</f>
        <v>0</v>
      </c>
      <c r="D98">
        <f>+Chargers!D98+'@Jets'!D98+Patriots!D98+Vikings!D98+'@Colts'!D98+'@Patriots'!D98+Colts!D98+'@Eagles'!D98+Bengals!D98+Oilers!D98+'@Browns'!D98+Dolphins!D98+'@Chargers'!D98+Jets!D98+'@Steelers'!D98+'@Dolphins'!D98</f>
        <v>0</v>
      </c>
      <c r="E98" s="12" t="e">
        <f t="shared" si="3"/>
        <v>#DIV/0!</v>
      </c>
      <c r="F98">
        <f>MAX(Chargers!F98,'@Jets'!F98,Patriots!F98,Vikings!F98,'@Colts'!F98,'@Patriots'!F98,Colts!F98,Bengals!F98,Oilers!F98,'@Browns'!F98,Dolphins!F98,'@Chargers'!F98,Jets!F98,'@Steelers'!F98,'@Dolphins'!F98,+'@Eagles'!F98)</f>
        <v>0</v>
      </c>
      <c r="G98">
        <f>+Chargers!G98+'@Jets'!G98+Patriots!G98+Vikings!G98+'@Colts'!G98+'@Patriots'!G98+Colts!G98+'@Eagles'!G98+Bengals!G98+Oilers!G98+'@Browns'!G98+Dolphins!G98+'@Chargers'!G98+Jets!G98+'@Steelers'!G98+'@Dolphins'!G98</f>
        <v>0</v>
      </c>
      <c r="H98">
        <f>+Chargers!H98+'@Jets'!H98+Patriots!H98+Vikings!H98+'@Colts'!H98+'@Patriots'!H98+Colts!H98+'@Eagles'!H98+Bengals!H98+Oilers!H98+'@Browns'!H98+Dolphins!H98+'@Chargers'!H98+Jets!H98+'@Steelers'!H98+'@Dolphins'!H98</f>
        <v>0</v>
      </c>
    </row>
    <row r="99" spans="1:8" ht="12.75">
      <c r="A99" t="s">
        <v>127</v>
      </c>
      <c r="C99">
        <f>+Chargers!C99+'@Jets'!C99+Patriots!C99+Vikings!C99+'@Colts'!C99+'@Patriots'!C99+Colts!C99+'@Eagles'!C99+Bengals!C99+Oilers!C99+'@Browns'!C99+Dolphins!C99+'@Chargers'!C99+Jets!C99+'@Steelers'!C99+'@Dolphins'!C99</f>
        <v>0</v>
      </c>
      <c r="D99">
        <f>+Chargers!D99+'@Jets'!D99+Patriots!D99+Vikings!D99+'@Colts'!D99+'@Patriots'!D99+Colts!D99+'@Eagles'!D99+Bengals!D99+Oilers!D99+'@Browns'!D99+Dolphins!D99+'@Chargers'!D99+Jets!D99+'@Steelers'!D99+'@Dolphins'!D99</f>
        <v>0</v>
      </c>
      <c r="E99" s="12" t="e">
        <f t="shared" si="3"/>
        <v>#DIV/0!</v>
      </c>
      <c r="F99">
        <f>MAX(Chargers!F99,'@Jets'!F99,Patriots!F99,Vikings!F99,'@Colts'!F99,'@Patriots'!F99,Colts!F99,Bengals!F99,Oilers!F99,'@Browns'!F99,Dolphins!F99,'@Chargers'!F99,Jets!F99,'@Steelers'!F99,'@Dolphins'!F99,+'@Eagles'!F99)</f>
        <v>0</v>
      </c>
      <c r="G99">
        <f>+Chargers!G99+'@Jets'!G99+Patriots!G99+Vikings!G99+'@Colts'!G99+'@Patriots'!G99+Colts!G99+'@Eagles'!G99+Bengals!G99+Oilers!G99+'@Browns'!G99+Dolphins!G99+'@Chargers'!G99+Jets!G99+'@Steelers'!G99+'@Dolphins'!G99</f>
        <v>0</v>
      </c>
      <c r="H99">
        <f>+Chargers!H99+'@Jets'!H99+Patriots!H99+Vikings!H99+'@Colts'!H99+'@Patriots'!H99+Colts!H99+'@Eagles'!H99+Bengals!H99+Oilers!H99+'@Browns'!H99+Dolphins!H99+'@Chargers'!H99+Jets!H99+'@Steelers'!H99+'@Dolphins'!H99</f>
        <v>0</v>
      </c>
    </row>
    <row r="100" ht="12.75">
      <c r="E100" s="8"/>
    </row>
    <row r="101" spans="1:13" ht="12.75">
      <c r="A101" s="2"/>
      <c r="B101" s="2"/>
      <c r="C101" s="3"/>
      <c r="D101" s="3"/>
      <c r="E101" s="15" t="s">
        <v>57</v>
      </c>
      <c r="F101" s="3" t="s">
        <v>58</v>
      </c>
      <c r="G101" s="3"/>
      <c r="H101" s="3"/>
      <c r="I101" s="3" t="s">
        <v>61</v>
      </c>
      <c r="J101" s="3" t="s">
        <v>63</v>
      </c>
      <c r="K101" s="3" t="s">
        <v>57</v>
      </c>
      <c r="L101" s="3" t="s">
        <v>49</v>
      </c>
      <c r="M101" s="3"/>
    </row>
    <row r="102" spans="1:14" ht="12.75">
      <c r="A102" s="2" t="s">
        <v>54</v>
      </c>
      <c r="B102" s="2"/>
      <c r="C102" s="3" t="s">
        <v>55</v>
      </c>
      <c r="D102" s="3" t="s">
        <v>56</v>
      </c>
      <c r="E102" s="15" t="s">
        <v>56</v>
      </c>
      <c r="F102" s="3" t="s">
        <v>59</v>
      </c>
      <c r="G102" s="3" t="s">
        <v>51</v>
      </c>
      <c r="H102" s="3" t="s">
        <v>60</v>
      </c>
      <c r="I102" s="5" t="s">
        <v>62</v>
      </c>
      <c r="J102" s="3" t="s">
        <v>51</v>
      </c>
      <c r="K102" s="3" t="s">
        <v>64</v>
      </c>
      <c r="L102" s="3" t="s">
        <v>65</v>
      </c>
      <c r="M102" s="3" t="s">
        <v>66</v>
      </c>
      <c r="N102" s="3" t="s">
        <v>80</v>
      </c>
    </row>
    <row r="103" spans="1:25" ht="12.75">
      <c r="A103" t="s">
        <v>115</v>
      </c>
      <c r="C103">
        <f>+Chargers!C103+'@Jets'!C103+Patriots!C103+Vikings!C103+'@Colts'!C103+'@Patriots'!C103+Colts!C103+'@Eagles'!C103+Bengals!C103+Oilers!C103+'@Browns'!C103+Dolphins!C103+'@Chargers'!C103+Jets!C103+'@Steelers'!C103+'@Dolphins'!C103</f>
        <v>292</v>
      </c>
      <c r="D103">
        <f>+Chargers!D103+'@Jets'!D103+Patriots!D103+Vikings!D103+'@Colts'!D103+'@Patriots'!D103+Colts!D103+'@Eagles'!D103+Bengals!D103+Oilers!D103+'@Browns'!D103+Dolphins!D103+'@Chargers'!D103+Jets!D103+'@Steelers'!D103+'@Dolphins'!D103</f>
        <v>141</v>
      </c>
      <c r="E103" s="12">
        <f>+D103/C103*100</f>
        <v>48.28767123287671</v>
      </c>
      <c r="F103">
        <f>+Chargers!F103+'@Jets'!F103+Patriots!F103+Vikings!F103+'@Colts'!F103+'@Patriots'!F103+Colts!F103+'@Eagles'!F103+Bengals!F103+Oilers!F103+'@Browns'!F103+Dolphins!F103+'@Chargers'!F103+Jets!F103+'@Steelers'!F103+'@Dolphins'!F103</f>
        <v>1788</v>
      </c>
      <c r="G103">
        <f>+Chargers!G103+'@Jets'!G103+Patriots!G103+Vikings!G103+'@Colts'!G103+'@Patriots'!G103+Colts!G103+'@Eagles'!G103+Bengals!G103+Oilers!G103+'@Browns'!G103+Dolphins!G103+'@Chargers'!G103+Jets!G103+'@Steelers'!G103+'@Dolphins'!G103</f>
        <v>7</v>
      </c>
      <c r="H103">
        <f>MAX(Chargers!H103,'@Jets'!H103,Patriots!H103,Vikings!H103,'@Colts'!H103,'@Patriots'!H103,Colts!H103,Bengals!H103,Oilers!H103,'@Browns'!H103,Dolphins!H103,'@Chargers'!H103,Jets!H103,'@Steelers'!H103,'@Dolphins'!H103,+'@Eagles'!H103)</f>
        <v>35</v>
      </c>
      <c r="I103">
        <f>+Chargers!I103+'@Jets'!I103+Patriots!I103+Vikings!I103+'@Colts'!I103+'@Patriots'!I103+Colts!I103+'@Eagles'!I103+Bengals!I103+Oilers!I103+'@Browns'!I103+Dolphins!I103+'@Chargers'!I103+Jets!I103+'@Steelers'!I103+'@Dolphins'!I103</f>
        <v>14</v>
      </c>
      <c r="J103" s="8">
        <f>+G103/C103*100</f>
        <v>2.3972602739726026</v>
      </c>
      <c r="K103" s="12">
        <f>+I103/C103*100</f>
        <v>4.794520547945205</v>
      </c>
      <c r="L103" s="12">
        <f>+F103/C103</f>
        <v>6.123287671232877</v>
      </c>
      <c r="M103" s="12">
        <f>100*(S103+U103+W103+Y103)/6</f>
        <v>55.85045662100456</v>
      </c>
      <c r="N103">
        <f>Chargers!N103+'@Jets'!N103+Patriots!N103+Vikings!N103+'@Colts'!N103+'@Patriots'!N103+Colts!N103+'@Eagles'!N103+Bengals!N103+Oilers!N103+'@Browns'!N103+Dolphins!N103+'@Chargers'!N103+Jets!N103+'@Steelers'!N103+'@Dolphins'!N103</f>
        <v>0</v>
      </c>
      <c r="R103">
        <f>+(E103-30)/20</f>
        <v>0.9143835616438356</v>
      </c>
      <c r="S103" s="2">
        <f>IF(R103&lt;0,0,IF(R103&gt;2.375,2.375,R103))</f>
        <v>0.9143835616438356</v>
      </c>
      <c r="T103" s="6">
        <f>+(L103-3)/4</f>
        <v>0.7808219178082192</v>
      </c>
      <c r="U103" s="2">
        <f>IF(T103&lt;0,0,IF(T103&gt;2.375,2.375,T103))</f>
        <v>0.7808219178082192</v>
      </c>
      <c r="V103">
        <f>+J103/5</f>
        <v>0.4794520547945205</v>
      </c>
      <c r="W103" s="2">
        <f>IF(V103&lt;0,0,IF(V103&gt;2.375,2.375,V103))</f>
        <v>0.4794520547945205</v>
      </c>
      <c r="X103">
        <f>(9.5-K103)/4</f>
        <v>1.1763698630136987</v>
      </c>
      <c r="Y103" s="2">
        <f>IF(X103&lt;0,0,X103)</f>
        <v>1.1763698630136987</v>
      </c>
    </row>
    <row r="104" spans="1:25" ht="12.75">
      <c r="A104" t="s">
        <v>111</v>
      </c>
      <c r="C104">
        <f>+Chargers!C104+'@Jets'!C104+Patriots!C104+Vikings!C104+'@Colts'!C104+'@Patriots'!C104+Colts!C104+'@Eagles'!C104+Bengals!C104+Oilers!C104+'@Browns'!C104+Dolphins!C104+'@Chargers'!C104+Jets!C104+'@Steelers'!C104+'@Dolphins'!C104</f>
        <v>255</v>
      </c>
      <c r="D104">
        <f>+Chargers!D104+'@Jets'!D104+Patriots!D104+Vikings!D104+'@Colts'!D104+'@Patriots'!D104+Colts!D104+'@Eagles'!D104+Bengals!D104+Oilers!D104+'@Browns'!D104+Dolphins!D104+'@Chargers'!D104+Jets!D104+'@Steelers'!D104+'@Dolphins'!D104</f>
        <v>119</v>
      </c>
      <c r="E104" s="12">
        <f>+D104/C104*100</f>
        <v>46.666666666666664</v>
      </c>
      <c r="F104">
        <f>+Chargers!F104+'@Jets'!F104+Patriots!F104+Vikings!F104+'@Colts'!F104+'@Patriots'!F104+Colts!F104+'@Eagles'!F104+Bengals!F104+Oilers!F104+'@Browns'!F104+Dolphins!F104+'@Chargers'!F104+Jets!F104+'@Steelers'!F104+'@Dolphins'!F104</f>
        <v>1800</v>
      </c>
      <c r="G104">
        <f>+Chargers!G104+'@Jets'!G104+Patriots!G104+Vikings!G104+'@Colts'!G104+'@Patriots'!G104+Colts!G104+'@Eagles'!G104+Bengals!G104+Oilers!G104+'@Browns'!G104+Dolphins!G104+'@Chargers'!G104+Jets!G104+'@Steelers'!G104+'@Dolphins'!G104</f>
        <v>5</v>
      </c>
      <c r="H104">
        <f>MAX(Chargers!H104,'@Jets'!H104,Patriots!H104,Vikings!H104,'@Colts'!H104,'@Patriots'!H104,Colts!H104,Bengals!H104,Oilers!H104,'@Browns'!H104,Dolphins!H104,'@Chargers'!H104,Jets!H104,'@Steelers'!H104,'@Dolphins'!H104,+'@Eagles'!H104)</f>
        <v>49</v>
      </c>
      <c r="I104">
        <f>+Chargers!I104+'@Jets'!I104+Patriots!I104+Vikings!I104+'@Colts'!I104+'@Patriots'!I104+Colts!I104+'@Eagles'!I104+Bengals!I104+Oilers!I104+'@Browns'!I104+Dolphins!I104+'@Chargers'!I104+Jets!I104+'@Steelers'!I104+'@Dolphins'!I104</f>
        <v>16</v>
      </c>
      <c r="J104" s="8">
        <f>+G104/C104*100</f>
        <v>1.9607843137254901</v>
      </c>
      <c r="K104" s="12">
        <f>+I104/C104*100</f>
        <v>6.2745098039215685</v>
      </c>
      <c r="L104" s="12">
        <f>+F104/C104</f>
        <v>7.0588235294117645</v>
      </c>
      <c r="M104" s="12">
        <f>100*(S104+U104+W104+Y104)/6</f>
        <v>50.77614379084968</v>
      </c>
      <c r="N104">
        <f>Chargers!N104+'@Jets'!N104+Patriots!N104+Vikings!N104+'@Colts'!N104+'@Patriots'!N104+Colts!N104+'@Eagles'!N104+Bengals!N104+Oilers!N104+'@Browns'!N104+Dolphins!N104+'@Chargers'!N104+Jets!N104+'@Steelers'!N104+'@Dolphins'!N104</f>
        <v>3</v>
      </c>
      <c r="R104">
        <f>+(E104-30)/20</f>
        <v>0.8333333333333333</v>
      </c>
      <c r="S104" s="2">
        <f>IF(R104&lt;0,0,IF(R104&gt;2.375,2.375,R104))</f>
        <v>0.8333333333333333</v>
      </c>
      <c r="T104" s="6">
        <f>+(L104-3)/4</f>
        <v>1.0147058823529411</v>
      </c>
      <c r="U104" s="2">
        <f>IF(T104&lt;0,0,IF(T104&gt;2.375,2.375,T104))</f>
        <v>1.0147058823529411</v>
      </c>
      <c r="V104">
        <f>+J104/5</f>
        <v>0.39215686274509803</v>
      </c>
      <c r="W104" s="2">
        <f>IF(V104&lt;0,0,IF(V104&gt;2.375,2.375,V104))</f>
        <v>0.39215686274509803</v>
      </c>
      <c r="X104">
        <f>(9.5-K104)/4</f>
        <v>0.8063725490196079</v>
      </c>
      <c r="Y104" s="2">
        <f>IF(X104&lt;0,0,X104)</f>
        <v>0.8063725490196079</v>
      </c>
    </row>
    <row r="105" spans="1:25" ht="12.75">
      <c r="A105" t="s">
        <v>128</v>
      </c>
      <c r="C105">
        <f>+Chargers!C105+'@Jets'!C105+Patriots!C105+Vikings!C105+'@Colts'!C105+'@Patriots'!C105+Colts!C105+'@Eagles'!C105+Bengals!C105+Oilers!C105+'@Browns'!C105+Dolphins!C105+'@Chargers'!C105+Jets!C105+'@Steelers'!C105+'@Dolphins'!C105</f>
        <v>0</v>
      </c>
      <c r="D105">
        <f>+Chargers!D105+'@Jets'!D105+Patriots!D105+Vikings!D105+'@Colts'!D105+'@Patriots'!D105+Colts!D105+'@Eagles'!D105+Bengals!D105+Oilers!D105+'@Browns'!D105+Dolphins!D105+'@Chargers'!D105+Jets!D105+'@Steelers'!D105+'@Dolphins'!D105</f>
        <v>0</v>
      </c>
      <c r="E105" s="12" t="e">
        <f>+D105/C105*100</f>
        <v>#DIV/0!</v>
      </c>
      <c r="F105">
        <f>+Chargers!F105+'@Jets'!F105+Patriots!F105+Vikings!F105+'@Colts'!F105+'@Patriots'!F105+Colts!F105+'@Eagles'!F105+Bengals!F105+Oilers!F105+'@Browns'!F105+Dolphins!F105+'@Chargers'!F105+Jets!F105+'@Steelers'!F105+'@Dolphins'!F105</f>
        <v>0</v>
      </c>
      <c r="G105">
        <f>+Chargers!G105+'@Jets'!G105+Patriots!G105+Vikings!G105+'@Colts'!G105+'@Patriots'!G105+Colts!G105+'@Eagles'!G105+Bengals!G105+Oilers!G105+'@Browns'!G105+Dolphins!G105+'@Chargers'!G105+Jets!G105+'@Steelers'!G105+'@Dolphins'!G105</f>
        <v>0</v>
      </c>
      <c r="H105">
        <f>MAX(Chargers!H105,'@Jets'!H105,Patriots!H105,Vikings!H105,'@Colts'!H105,'@Patriots'!H105,Colts!H105,Bengals!H105,Oilers!H105,'@Browns'!H105,Dolphins!H105,'@Chargers'!H105,Jets!H105,'@Steelers'!H105,'@Dolphins'!H105,+'@Eagles'!H105)</f>
        <v>0</v>
      </c>
      <c r="I105">
        <f>+Chargers!I105+'@Jets'!I105+Patriots!I105+Vikings!I105+'@Colts'!I105+'@Patriots'!I105+Colts!I105+'@Eagles'!I105+Bengals!I105+Oilers!I105+'@Browns'!I105+Dolphins!I105+'@Chargers'!I105+Jets!I105+'@Steelers'!I105+'@Dolphins'!I105</f>
        <v>0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N105">
        <f>Chargers!N105+'@Jets'!N105+Patriots!N105+Vikings!N105+'@Colts'!N105+'@Patriots'!N105+Colts!N105+'@Eagles'!N105+Bengals!N105+Oilers!N105+'@Browns'!N105+Dolphins!N105+'@Chargers'!N105+Jets!N105+'@Steelers'!N105+'@Dolphins'!N105</f>
        <v>0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109</v>
      </c>
      <c r="C106">
        <f>+Chargers!C106+'@Jets'!C106+Patriots!C106+Vikings!C106+'@Colts'!C106+'@Patriots'!C106+Colts!C106+'@Eagles'!C106+Bengals!C106+Oilers!C106+'@Browns'!C106+Dolphins!C106+'@Chargers'!C106+Jets!C106+'@Steelers'!C106+'@Dolphins'!C106</f>
        <v>1</v>
      </c>
      <c r="D106">
        <f>+Chargers!D106+'@Jets'!D106+Patriots!D106+Vikings!D106+'@Colts'!D106+'@Patriots'!D106+Colts!D106+'@Eagles'!D106+Bengals!D106+Oilers!D106+'@Browns'!D106+Dolphins!D106+'@Chargers'!D106+Jets!D106+'@Steelers'!D106+'@Dolphins'!D106</f>
        <v>0</v>
      </c>
      <c r="E106" s="12">
        <f>+D106/C106*100</f>
        <v>0</v>
      </c>
      <c r="F106">
        <f>+Chargers!F106+'@Jets'!F106+Patriots!F106+Vikings!F106+'@Colts'!F106+'@Patriots'!F106+Colts!F106+'@Eagles'!F106+Bengals!F106+Oilers!F106+'@Browns'!F106+Dolphins!F106+'@Chargers'!F106+Jets!F106+'@Steelers'!F106+'@Dolphins'!F106</f>
        <v>0</v>
      </c>
      <c r="G106">
        <f>+Chargers!G106+'@Jets'!G106+Patriots!G106+Vikings!G106+'@Colts'!G106+'@Patriots'!G106+Colts!G106+'@Eagles'!G106+Bengals!G106+Oilers!G106+'@Browns'!G106+Dolphins!G106+'@Chargers'!G106+Jets!G106+'@Steelers'!G106+'@Dolphins'!G106</f>
        <v>0</v>
      </c>
      <c r="H106">
        <f>MAX(Chargers!H106,'@Jets'!H106,Patriots!H106,Vikings!H106,'@Colts'!H106,'@Patriots'!H106,Colts!H106,Bengals!H106,Oilers!H106,'@Browns'!H106,Dolphins!H106,'@Chargers'!H106,Jets!H106,'@Steelers'!H106,'@Dolphins'!H106,+'@Eagles'!H106)</f>
        <v>0</v>
      </c>
      <c r="I106">
        <f>+Chargers!I106+'@Jets'!I106+Patriots!I106+Vikings!I106+'@Colts'!I106+'@Patriots'!I106+Colts!I106+'@Eagles'!I106+Bengals!I106+Oilers!I106+'@Browns'!I106+Dolphins!I106+'@Chargers'!I106+Jets!I106+'@Steelers'!I106+'@Dolphins'!I106</f>
        <v>0</v>
      </c>
      <c r="J106" s="8">
        <f>+G106/C106*100</f>
        <v>0</v>
      </c>
      <c r="K106" s="12">
        <f>+I106/C106*100</f>
        <v>0</v>
      </c>
      <c r="L106" s="12">
        <f>+F106/C106</f>
        <v>0</v>
      </c>
      <c r="M106" s="12">
        <f>100*(S106+U106+W106+Y106)/6</f>
        <v>39.583333333333336</v>
      </c>
      <c r="N106">
        <f>Chargers!N106+'@Jets'!N106+Patriots!N106+Vikings!N106+'@Colts'!N106+'@Patriots'!N106+Colts!N106+'@Eagles'!N106+Bengals!N106+Oilers!N106+'@Browns'!N106+Dolphins!N106+'@Chargers'!N106+Jets!N106+'@Steelers'!N106+'@Dolphins'!N106</f>
        <v>0</v>
      </c>
      <c r="R106">
        <f>+(E106-30)/20</f>
        <v>-1.5</v>
      </c>
      <c r="S106" s="2">
        <f>IF(R106&lt;0,0,IF(R106&gt;2.375,2.375,R106))</f>
        <v>0</v>
      </c>
      <c r="T106" s="6">
        <f>+(L106-3)/4</f>
        <v>-0.75</v>
      </c>
      <c r="U106" s="2">
        <f>IF(T106&lt;0,0,IF(T106&gt;2.375,2.375,T106))</f>
        <v>0</v>
      </c>
      <c r="V106">
        <f>+J106/5</f>
        <v>0</v>
      </c>
      <c r="W106" s="2">
        <f>IF(V106&lt;0,0,IF(V106&gt;2.375,2.375,V106))</f>
        <v>0</v>
      </c>
      <c r="X106">
        <f>(9.5-K106)/4</f>
        <v>2.375</v>
      </c>
      <c r="Y106" s="2">
        <f>IF(X106&lt;0,0,X106)</f>
        <v>2.375</v>
      </c>
    </row>
    <row r="107" spans="1:25" ht="12.75">
      <c r="A107" t="s">
        <v>129</v>
      </c>
      <c r="C107">
        <f>+Chargers!C107+'@Jets'!C107+Patriots!C107+Vikings!C107+'@Colts'!C107+'@Patriots'!C107+Colts!C107+'@Eagles'!C107+Bengals!C107+Oilers!C107+'@Browns'!C107+Dolphins!C107+'@Chargers'!C107+Jets!C107+'@Steelers'!C107+'@Dolphins'!C107</f>
        <v>0</v>
      </c>
      <c r="D107">
        <f>+Chargers!D107+'@Jets'!D107+Patriots!D107+Vikings!D107+'@Colts'!D107+'@Patriots'!D107+Colts!D107+'@Eagles'!D107+Bengals!D107+Oilers!D107+'@Browns'!D107+Dolphins!D107+'@Chargers'!D107+Jets!D107+'@Steelers'!D107+'@Dolphins'!D107</f>
        <v>0</v>
      </c>
      <c r="E107" s="12" t="e">
        <f>+D107/C107*100</f>
        <v>#DIV/0!</v>
      </c>
      <c r="F107">
        <f>+Chargers!F107+'@Jets'!F107+Patriots!F107+Vikings!F107+'@Colts'!F107+'@Patriots'!F107+Colts!F107+'@Eagles'!F107+Bengals!F107+Oilers!F107+'@Browns'!F107+Dolphins!F107+'@Chargers'!F107+Jets!F107+'@Steelers'!F107+'@Dolphins'!F107</f>
        <v>0</v>
      </c>
      <c r="G107">
        <f>+Chargers!G107+'@Jets'!G107+Patriots!G107+Vikings!G107+'@Colts'!G107+'@Patriots'!G107+Colts!G107+'@Eagles'!G107+Bengals!G107+Oilers!G107+'@Browns'!G107+Dolphins!G107+'@Chargers'!G107+Jets!G107+'@Steelers'!G107+'@Dolphins'!G107</f>
        <v>0</v>
      </c>
      <c r="H107">
        <f>MAX(Chargers!H107,'@Jets'!H107,Patriots!H107,Vikings!H107,'@Colts'!H107,'@Patriots'!H107,Colts!H107,Bengals!H107,Oilers!H107,'@Browns'!H107,Dolphins!H107,'@Chargers'!H107,Jets!H107,'@Steelers'!H107,'@Dolphins'!H107,+'@Eagles'!H107)</f>
        <v>0</v>
      </c>
      <c r="I107">
        <f>+Chargers!I107+'@Jets'!I107+Patriots!I107+Vikings!I107+'@Colts'!I107+'@Patriots'!I107+Colts!I107+'@Eagles'!I107+Bengals!I107+Oilers!I107+'@Browns'!I107+Dolphins!I107+'@Chargers'!I107+Jets!I107+'@Steelers'!I107+'@Dolphins'!I107</f>
        <v>0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N107">
        <f>Chargers!N107+'@Jets'!N107+Patriots!N107+Vikings!N107+'@Colts'!N107+'@Patriots'!N107+Colts!N107+'@Eagles'!N107+Bengals!N107+Oilers!N107+'@Browns'!N107+Dolphins!N107+'@Chargers'!N107+Jets!N107+'@Steelers'!N107+'@Dolphins'!N107</f>
        <v>0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10" spans="1:9" ht="12.75">
      <c r="A110" s="2" t="s">
        <v>67</v>
      </c>
      <c r="C110" s="3" t="s">
        <v>68</v>
      </c>
      <c r="D110" s="3" t="s">
        <v>69</v>
      </c>
      <c r="E110" s="3" t="s">
        <v>70</v>
      </c>
      <c r="F110" s="3" t="s">
        <v>49</v>
      </c>
      <c r="G110" s="3" t="s">
        <v>60</v>
      </c>
      <c r="H110" s="3" t="s">
        <v>51</v>
      </c>
      <c r="I110" s="3" t="s">
        <v>80</v>
      </c>
    </row>
    <row r="111" spans="1:9" ht="12.75">
      <c r="A111" t="s">
        <v>130</v>
      </c>
      <c r="C111">
        <f>+Chargers!C111+'@Jets'!C111+Patriots!C111+Vikings!C111+'@Colts'!C111+'@Patriots'!C111+Colts!C111+'@Eagles'!C111+Bengals!C111+Oilers!C111+'@Browns'!C111+Dolphins!C111+'@Chargers'!C111+Jets!C111+'@Steelers'!C111+'@Dolphins'!C111</f>
        <v>24</v>
      </c>
      <c r="D111">
        <f>+Chargers!D111+'@Jets'!D111+Patriots!D111+Vikings!D111+'@Colts'!D111+'@Patriots'!D111+Colts!D111+'@Eagles'!D111+Bengals!D111+Oilers!D111+'@Browns'!D111+Dolphins!D111+'@Chargers'!D111+Jets!D111+'@Steelers'!D111+'@Dolphins'!D111</f>
        <v>8</v>
      </c>
      <c r="E111">
        <f>+Chargers!E111+'@Jets'!E111+Patriots!E111+Vikings!E111+'@Colts'!E111+'@Patriots'!E111+Colts!E111+'@Eagles'!E111+Bengals!E111+Oilers!E111+'@Browns'!E111+Dolphins!E111+'@Chargers'!E111+Jets!E111+'@Steelers'!E111+'@Dolphins'!E111</f>
        <v>334</v>
      </c>
      <c r="F111" s="12">
        <f>+E111/C111</f>
        <v>13.916666666666666</v>
      </c>
      <c r="G111">
        <f>MAX(Chargers!G111,'@Jets'!G111,Patriots!G111,Vikings!G111,'@Colts'!G111,'@Patriots'!G111,Colts!G111,Bengals!G111,Oilers!G111,'@Browns'!G111,Dolphins!G111,'@Chargers'!G111,Jets!G111,'@Steelers'!G111,'@Dolphins'!G111,+'@Eagles'!G111)</f>
        <v>43</v>
      </c>
      <c r="H111">
        <f>+Chargers!H111+'@Jets'!H111+Patriots!H111+Vikings!H111+'@Colts'!H111+'@Patriots'!H111+Colts!H111+'@Eagles'!H111+Bengals!H111+Oilers!H111+'@Browns'!H111+Dolphins!H111+'@Chargers'!H111+Jets!H111+'@Steelers'!H111+'@Dolphins'!H111</f>
        <v>0</v>
      </c>
      <c r="I111">
        <f>Chargers!I111+'@Jets'!I111+Patriots!I111+Vikings!I111+'@Colts'!I111+'@Patriots'!I111+Colts!I111+'@Eagles'!I111+Bengals!I111+Oilers!I111+'@Browns'!I111+Dolphins!I111+'@Chargers'!I111+Jets!I111+'@Steelers'!I111+'@Dolphins'!I111</f>
        <v>2</v>
      </c>
    </row>
    <row r="112" spans="1:9" ht="12.75">
      <c r="A112" t="s">
        <v>131</v>
      </c>
      <c r="C112">
        <f>+Chargers!C112+'@Jets'!C112+Patriots!C112+Vikings!C112+'@Colts'!C112+'@Patriots'!C112+Colts!C112+'@Eagles'!C112+Bengals!C112+Oilers!C112+'@Browns'!C112+Dolphins!C112+'@Chargers'!C112+Jets!C112+'@Steelers'!C112+'@Dolphins'!C112</f>
        <v>7</v>
      </c>
      <c r="D112">
        <f>+Chargers!D112+'@Jets'!D112+Patriots!D112+Vikings!D112+'@Colts'!D112+'@Patriots'!D112+Colts!D112+'@Eagles'!D112+Bengals!D112+Oilers!D112+'@Browns'!D112+Dolphins!D112+'@Chargers'!D112+Jets!D112+'@Steelers'!D112+'@Dolphins'!D112</f>
        <v>1</v>
      </c>
      <c r="E112">
        <f>+Chargers!E112+'@Jets'!E112+Patriots!E112+Vikings!E112+'@Colts'!E112+'@Patriots'!E112+Colts!E112+'@Eagles'!E112+Bengals!E112+Oilers!E112+'@Browns'!E112+Dolphins!E112+'@Chargers'!E112+Jets!E112+'@Steelers'!E112+'@Dolphins'!E112</f>
        <v>39</v>
      </c>
      <c r="F112" s="12">
        <f>+E112/C112</f>
        <v>5.571428571428571</v>
      </c>
      <c r="G112">
        <f>MAX(Chargers!G112,'@Jets'!G112,Patriots!G112,Vikings!G112,'@Colts'!G112,'@Patriots'!G112,Colts!G112,Bengals!G112,Oilers!G112,'@Browns'!G112,Dolphins!G112,'@Chargers'!G112,Jets!G112,'@Steelers'!G112,'@Dolphins'!G112,+'@Eagles'!G112)</f>
        <v>10</v>
      </c>
      <c r="H112">
        <f>+Chargers!H112+'@Jets'!H112+Patriots!H112+Vikings!H112+'@Colts'!H112+'@Patriots'!H112+Colts!H112+'@Eagles'!H112+Bengals!H112+Oilers!H112+'@Browns'!H112+Dolphins!H112+'@Chargers'!H112+Jets!H112+'@Steelers'!H112+'@Dolphins'!H112</f>
        <v>0</v>
      </c>
      <c r="I112">
        <f>Chargers!I112+'@Jets'!I112+Patriots!I112+Vikings!I112+'@Colts'!I112+'@Patriots'!I112+Colts!I112+'@Eagles'!I112+Bengals!I112+Oilers!I112+'@Browns'!I112+Dolphins!I112+'@Chargers'!I112+Jets!I112+'@Steelers'!I112+'@Dolphins'!I112</f>
        <v>0</v>
      </c>
    </row>
    <row r="113" spans="1:9" ht="12.75">
      <c r="A113" t="s">
        <v>118</v>
      </c>
      <c r="C113">
        <f>+Chargers!C113+'@Jets'!C113+Patriots!C113+Vikings!C113+'@Colts'!C113+'@Patriots'!C113+Colts!C113+'@Eagles'!C113+Bengals!C113+Oilers!C113+'@Browns'!C113+Dolphins!C113+'@Chargers'!C113+Jets!C113+'@Steelers'!C113+'@Dolphins'!C113</f>
        <v>5</v>
      </c>
      <c r="D113">
        <f>+Chargers!D113+'@Jets'!D113+Patriots!D113+Vikings!D113+'@Colts'!D113+'@Patriots'!D113+Colts!D113+'@Eagles'!D113+Bengals!D113+Oilers!D113+'@Browns'!D113+Dolphins!D113+'@Chargers'!D113+Jets!D113+'@Steelers'!D113+'@Dolphins'!D113</f>
        <v>0</v>
      </c>
      <c r="E113">
        <f>+Chargers!E113+'@Jets'!E113+Patriots!E113+Vikings!E113+'@Colts'!E113+'@Patriots'!E113+Colts!E113+'@Eagles'!E113+Bengals!E113+Oilers!E113+'@Browns'!E113+Dolphins!E113+'@Chargers'!E113+Jets!E113+'@Steelers'!E113+'@Dolphins'!E113</f>
        <v>13</v>
      </c>
      <c r="F113" s="12">
        <f>+E113/C113</f>
        <v>2.6</v>
      </c>
      <c r="G113">
        <f>MAX(Chargers!G113,'@Jets'!G113,Patriots!G113,Vikings!G113,'@Colts'!G113,'@Patriots'!G113,Colts!G113,Bengals!G113,Oilers!G113,'@Browns'!G113,Dolphins!G113,'@Chargers'!G113,Jets!G113,'@Steelers'!G113,'@Dolphins'!G113,+'@Eagles'!G113)</f>
        <v>7</v>
      </c>
      <c r="H113">
        <f>+Chargers!H113+'@Jets'!H113+Patriots!H113+Vikings!H113+'@Colts'!H113+'@Patriots'!H113+Colts!H113+'@Eagles'!H113+Bengals!H113+Oilers!H113+'@Browns'!H113+Dolphins!H113+'@Chargers'!H113+Jets!H113+'@Steelers'!H113+'@Dolphins'!H113</f>
        <v>0</v>
      </c>
      <c r="I113">
        <f>Chargers!I113+'@Jets'!I113+Patriots!I113+Vikings!I113+'@Colts'!I113+'@Patriots'!I113+Colts!I113+'@Eagles'!I113+Bengals!I113+Oilers!I113+'@Browns'!I113+Dolphins!I113+'@Chargers'!I113+Jets!I113+'@Steelers'!I113+'@Dolphins'!I113</f>
        <v>0</v>
      </c>
    </row>
    <row r="114" spans="1:9" ht="12.75">
      <c r="A114" t="s">
        <v>132</v>
      </c>
      <c r="C114">
        <f>+Chargers!C114+'@Jets'!C114+Patriots!C114+Vikings!C114+'@Colts'!C114+'@Patriots'!C114+Colts!C114+'@Eagles'!C114+Bengals!C114+Oilers!C114+'@Browns'!C114+Dolphins!C114+'@Chargers'!C114+Jets!C114+'@Steelers'!C114+'@Dolphins'!C114</f>
        <v>0</v>
      </c>
      <c r="D114">
        <f>+Chargers!D114+'@Jets'!D114+Patriots!D114+Vikings!D114+'@Colts'!D114+'@Patriots'!D114+Colts!D114+'@Eagles'!D114+Bengals!D114+Oilers!D114+'@Browns'!D114+Dolphins!D114+'@Chargers'!D114+Jets!D114+'@Steelers'!D114+'@Dolphins'!D114</f>
        <v>0</v>
      </c>
      <c r="E114">
        <f>+Chargers!E114+'@Jets'!E114+Patriots!E114+Vikings!E114+'@Colts'!E114+'@Patriots'!E114+Colts!E114+'@Eagles'!E114+Bengals!E114+Oilers!E114+'@Browns'!E114+Dolphins!E114+'@Chargers'!E114+Jets!E114+'@Steelers'!E114+'@Dolphins'!E114</f>
        <v>0</v>
      </c>
      <c r="F114" s="12" t="e">
        <f>+E114/C114</f>
        <v>#DIV/0!</v>
      </c>
      <c r="G114">
        <f>MAX(Chargers!G114,'@Jets'!G114,Patriots!G114,Vikings!G114,'@Colts'!G114,'@Patriots'!G114,Colts!G114,Bengals!G114,Oilers!G114,'@Browns'!G114,Dolphins!G114,'@Chargers'!G114,Jets!G114,'@Steelers'!G114,'@Dolphins'!G114,+'@Eagles'!G114)</f>
        <v>0</v>
      </c>
      <c r="H114">
        <f>+Chargers!H114+'@Jets'!H114+Patriots!H114+Vikings!H114+'@Colts'!H114+'@Patriots'!H114+Colts!H114+'@Eagles'!H114+Bengals!H114+Oilers!H114+'@Browns'!H114+Dolphins!H114+'@Chargers'!H114+Jets!H114+'@Steelers'!H114+'@Dolphins'!H114</f>
        <v>0</v>
      </c>
      <c r="I114">
        <f>Chargers!I114+'@Jets'!I114+Patriots!I114+Vikings!I114+'@Colts'!I114+'@Patriots'!I114+Colts!I114+'@Eagles'!I114+Bengals!I114+Oilers!I114+'@Browns'!I114+Dolphins!I114+'@Chargers'!I114+Jets!I114+'@Steelers'!I114+'@Dolphins'!I114</f>
        <v>0</v>
      </c>
    </row>
    <row r="115" spans="1:9" ht="12.75">
      <c r="A115" t="s">
        <v>112</v>
      </c>
      <c r="C115">
        <f>+Chargers!C115+'@Jets'!C115+Patriots!C115+Vikings!C115+'@Colts'!C115+'@Patriots'!C115+Colts!C115+'@Eagles'!C115+Bengals!C115+Oilers!C115+'@Browns'!C115+Dolphins!C115+'@Chargers'!C115+Jets!C115+'@Steelers'!C115+'@Dolphins'!C115</f>
        <v>0</v>
      </c>
      <c r="D115">
        <f>+Chargers!D115+'@Jets'!D115+Patriots!D115+Vikings!D115+'@Colts'!D115+'@Patriots'!D115+Colts!D115+'@Eagles'!D115+Bengals!D115+Oilers!D115+'@Browns'!D115+Dolphins!D115+'@Chargers'!D115+Jets!D115+'@Steelers'!D115+'@Dolphins'!D115</f>
        <v>0</v>
      </c>
      <c r="E115">
        <f>+Chargers!E115+'@Jets'!E115+Patriots!E115+Vikings!E115+'@Colts'!E115+'@Patriots'!E115+Colts!E115+'@Eagles'!E115+Bengals!E115+Oilers!E115+'@Browns'!E115+Dolphins!E115+'@Chargers'!E115+Jets!E115+'@Steelers'!E115+'@Dolphins'!E115</f>
        <v>0</v>
      </c>
      <c r="F115" s="12" t="e">
        <f>+E115/C115</f>
        <v>#DIV/0!</v>
      </c>
      <c r="G115">
        <f>MAX(Chargers!G115,'@Jets'!G115,Patriots!G115,Vikings!G115,'@Colts'!G115,'@Patriots'!G115,Colts!G115,Bengals!G115,Oilers!G115,'@Browns'!G115,Dolphins!G115,'@Chargers'!G115,Jets!G115,'@Steelers'!G115,'@Dolphins'!G115,+'@Eagles'!G115)</f>
        <v>0</v>
      </c>
      <c r="H115">
        <f>+Chargers!H115+'@Jets'!H115+Patriots!H115+Vikings!H115+'@Colts'!H115+'@Patriots'!H115+Colts!H115+'@Eagles'!H115+Bengals!H115+Oilers!H115+'@Browns'!H115+Dolphins!H115+'@Chargers'!H115+Jets!H115+'@Steelers'!H115+'@Dolphins'!H115</f>
        <v>0</v>
      </c>
      <c r="I115">
        <f>Chargers!I115+'@Jets'!I115+Patriots!I115+Vikings!I115+'@Colts'!I115+'@Patriots'!I115+Colts!I115+'@Eagles'!I115+Bengals!I115+Oilers!I115+'@Browns'!I115+Dolphins!I115+'@Chargers'!I115+Jets!I115+'@Steelers'!I115+'@Dolphins'!I115</f>
        <v>0</v>
      </c>
    </row>
    <row r="117" spans="1:8" ht="12.75">
      <c r="A117" s="2" t="s">
        <v>30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51</v>
      </c>
      <c r="H117" s="3" t="s">
        <v>80</v>
      </c>
    </row>
    <row r="118" spans="1:8" ht="12.75">
      <c r="A118" t="s">
        <v>130</v>
      </c>
      <c r="C118">
        <f>+Chargers!C118+'@Jets'!C118+Patriots!C118+Vikings!C118+'@Colts'!C118+'@Patriots'!C118+Colts!C118+'@Eagles'!C118+Bengals!C118+Oilers!C118+'@Browns'!C118+Dolphins!C118+'@Chargers'!C118+Jets!C118+'@Steelers'!C118+'@Dolphins'!C118</f>
        <v>34</v>
      </c>
      <c r="D118">
        <f>+Chargers!D118+'@Jets'!D118+Patriots!D118+Vikings!D118+'@Colts'!D118+'@Patriots'!D118+Colts!D118+'@Eagles'!D118+Bengals!D118+Oilers!D118+'@Browns'!D118+Dolphins!D118+'@Chargers'!D118+Jets!D118+'@Steelers'!D118+'@Dolphins'!D118</f>
        <v>755</v>
      </c>
      <c r="E118" s="12">
        <f aca="true" t="shared" si="4" ref="E118:E126">+D118/C118</f>
        <v>22.205882352941178</v>
      </c>
      <c r="F118">
        <f>MAX(Chargers!F118,'@Jets'!F118,Patriots!F118,Vikings!F118,'@Colts'!F118,'@Patriots'!F118,Colts!F118,Bengals!F118,Oilers!F118,'@Browns'!F118,Dolphins!F118,'@Chargers'!F118,Jets!F118,'@Steelers'!F118,'@Dolphins'!F118,+'@Eagles'!F118)</f>
        <v>41</v>
      </c>
      <c r="G118">
        <f>+Chargers!G118+'@Jets'!G118+Patriots!G118+Vikings!G118+'@Colts'!G118+'@Patriots'!G118+Colts!G118+'@Eagles'!G118+Bengals!G118+Oilers!G118+'@Browns'!G118+Dolphins!G118+'@Chargers'!G118+Jets!G118+'@Steelers'!G118+'@Dolphins'!G118</f>
        <v>0</v>
      </c>
      <c r="H118">
        <f>Chargers!H118+'@Jets'!H118+Patriots!H118+Vikings!H118+'@Colts'!H118+'@Patriots'!H118+Colts!H118+'@Eagles'!H118+Bengals!H118+Oilers!H118+'@Browns'!H118+Dolphins!H118+'@Chargers'!H118+Jets!H118+'@Steelers'!H118+'@Dolphins'!H118</f>
        <v>4</v>
      </c>
    </row>
    <row r="119" spans="1:8" ht="12.75">
      <c r="A119" t="s">
        <v>112</v>
      </c>
      <c r="C119">
        <f>+Chargers!C119+'@Jets'!C119+Patriots!C119+Vikings!C119+'@Colts'!C119+'@Patriots'!C119+Colts!C119+'@Eagles'!C119+Bengals!C119+Oilers!C119+'@Browns'!C119+Dolphins!C119+'@Chargers'!C119+Jets!C119+'@Steelers'!C119+'@Dolphins'!C119</f>
        <v>16</v>
      </c>
      <c r="D119">
        <f>+Chargers!D119+'@Jets'!D119+Patriots!D119+Vikings!D119+'@Colts'!D119+'@Patriots'!D119+Colts!D119+'@Eagles'!D119+Bengals!D119+Oilers!D119+'@Browns'!D119+Dolphins!D119+'@Chargers'!D119+Jets!D119+'@Steelers'!D119+'@Dolphins'!D119</f>
        <v>303</v>
      </c>
      <c r="E119" s="12">
        <f t="shared" si="4"/>
        <v>18.9375</v>
      </c>
      <c r="F119">
        <f>MAX(Chargers!F119,'@Jets'!F119,Patriots!F119,Vikings!F119,'@Colts'!F119,'@Patriots'!F119,Colts!F119,Bengals!F119,Oilers!F119,'@Browns'!F119,Dolphins!F119,'@Chargers'!F119,Jets!F119,'@Steelers'!F119,'@Dolphins'!F119,+'@Eagles'!F119)</f>
        <v>31</v>
      </c>
      <c r="G119">
        <f>+Chargers!G119+'@Jets'!G119+Patriots!G119+Vikings!G119+'@Colts'!G119+'@Patriots'!G119+Colts!G119+'@Eagles'!G119+Bengals!G119+Oilers!G119+'@Browns'!G119+Dolphins!G119+'@Chargers'!G119+Jets!G119+'@Steelers'!G119+'@Dolphins'!G119</f>
        <v>0</v>
      </c>
      <c r="H119">
        <f>Chargers!H119+'@Jets'!H119+Patriots!H119+Vikings!H119+'@Colts'!H119+'@Patriots'!H119+Colts!H119+'@Eagles'!H119+Bengals!H119+Oilers!H119+'@Browns'!H119+Dolphins!H119+'@Chargers'!H119+Jets!H119+'@Steelers'!H119+'@Dolphins'!H119</f>
        <v>0</v>
      </c>
    </row>
    <row r="120" spans="1:8" ht="12.75">
      <c r="A120" t="s">
        <v>116</v>
      </c>
      <c r="C120">
        <f>+Chargers!C120+'@Jets'!C120+Patriots!C120+Vikings!C120+'@Colts'!C120+'@Patriots'!C120+Colts!C120+'@Eagles'!C120+Bengals!C120+Oilers!C120+'@Browns'!C120+Dolphins!C120+'@Chargers'!C120+Jets!C120+'@Steelers'!C120+'@Dolphins'!C120</f>
        <v>14</v>
      </c>
      <c r="D120">
        <f>+Chargers!D120+'@Jets'!D120+Patriots!D120+Vikings!D120+'@Colts'!D120+'@Patriots'!D120+Colts!D120+'@Eagles'!D120+Bengals!D120+Oilers!D120+'@Browns'!D120+Dolphins!D120+'@Chargers'!D120+Jets!D120+'@Steelers'!D120+'@Dolphins'!D120</f>
        <v>235</v>
      </c>
      <c r="E120" s="12">
        <f t="shared" si="4"/>
        <v>16.785714285714285</v>
      </c>
      <c r="F120">
        <f>MAX(Chargers!F120,'@Jets'!F120,Patriots!F120,Vikings!F120,'@Colts'!F120,'@Patriots'!F120,Colts!F120,Bengals!F120,Oilers!F120,'@Browns'!F120,Dolphins!F120,'@Chargers'!F120,Jets!F120,'@Steelers'!F120,'@Dolphins'!F120,+'@Eagles'!F120)</f>
        <v>22</v>
      </c>
      <c r="G120">
        <f>+Chargers!G120+'@Jets'!G120+Patriots!G120+Vikings!G120+'@Colts'!G120+'@Patriots'!G120+Colts!G120+'@Eagles'!G120+Bengals!G120+Oilers!G120+'@Browns'!G120+Dolphins!G120+'@Chargers'!G120+Jets!G120+'@Steelers'!G120+'@Dolphins'!G120</f>
        <v>0</v>
      </c>
      <c r="H120">
        <f>Chargers!H120+'@Jets'!H120+Patriots!H120+Vikings!H120+'@Colts'!H120+'@Patriots'!H120+Colts!H120+'@Eagles'!H120+Bengals!H120+Oilers!H120+'@Browns'!H120+Dolphins!H120+'@Chargers'!H120+Jets!H120+'@Steelers'!H120+'@Dolphins'!H120</f>
        <v>0</v>
      </c>
    </row>
    <row r="121" spans="1:8" ht="12.75">
      <c r="A121" t="s">
        <v>124</v>
      </c>
      <c r="C121">
        <f>+Chargers!C121+'@Jets'!C121+Patriots!C121+Vikings!C121+'@Colts'!C121+'@Patriots'!C121+Colts!C121+'@Eagles'!C121+Bengals!C121+Oilers!C121+'@Browns'!C121+Dolphins!C121+'@Chargers'!C121+Jets!C121</f>
        <v>1</v>
      </c>
      <c r="D121">
        <f>+Chargers!D121+'@Jets'!D121+Patriots!D121+Vikings!D121+'@Colts'!D121+'@Patriots'!D121+Colts!D121+'@Eagles'!D121+Bengals!D121+Oilers!D121+'@Browns'!D121+Dolphins!D121+'@Chargers'!D121+Jets!D121</f>
        <v>40</v>
      </c>
      <c r="E121" s="12">
        <f t="shared" si="4"/>
        <v>40</v>
      </c>
      <c r="F121">
        <f>MAX(Chargers!F121,'@Jets'!F121,Patriots!F121,Vikings!F121,'@Colts'!F121,'@Patriots'!F121,Colts!F121,Bengals!F121,Oilers!F121,'@Browns'!F121,Dolphins!F121,'@Chargers'!F121,Jets!F121,'@Steelers'!F121,'@Dolphins'!F121,+'@Eagles'!F121)</f>
        <v>40</v>
      </c>
      <c r="G121">
        <f>+Chargers!G121+'@Jets'!G121+Patriots!G121+Vikings!G121+'@Colts'!G121+'@Patriots'!G121+Colts!G121+'@Eagles'!G121+Bengals!G121+Oilers!G121+'@Browns'!G121+Dolphins!G121+'@Chargers'!G121+Jets!G121</f>
        <v>0</v>
      </c>
      <c r="H121">
        <f>Chargers!H121+'@Jets'!H121+Patriots!H121+Vikings!H121+'@Colts'!H121+'@Patriots'!H121+Colts!H121+'@Eagles'!H121+Bengals!H121+Oilers!H121+'@Browns'!H121+Dolphins!H121+'@Chargers'!H121+Jets!H121+'@Steelers'!H121+'@Dolphins'!H121</f>
        <v>0</v>
      </c>
    </row>
    <row r="122" spans="1:8" ht="12.75">
      <c r="A122" t="s">
        <v>122</v>
      </c>
      <c r="C122">
        <f>+Chargers!C122+'@Jets'!C122+Patriots!C122+Vikings!C122+'@Colts'!C122+'@Patriots'!C122+Colts!C122+'@Eagles'!C122+Bengals!C122+Oilers!C122+'@Browns'!C122+Dolphins!C122+'@Chargers'!C122+Jets!C122</f>
        <v>0</v>
      </c>
      <c r="D122">
        <f>+Chargers!D122+'@Jets'!D122+Patriots!D122+Vikings!D122+'@Colts'!D122+'@Patriots'!D122+Colts!D122+'@Eagles'!D122+Bengals!D122+Oilers!D122+'@Browns'!D122+Dolphins!D122+'@Chargers'!D122+Jets!D122</f>
        <v>0</v>
      </c>
      <c r="E122" s="12" t="e">
        <f t="shared" si="4"/>
        <v>#DIV/0!</v>
      </c>
      <c r="F122">
        <f>MAX(Chargers!F122,'@Jets'!F122,Patriots!F122,Vikings!F122,'@Colts'!F122,'@Patriots'!F122,Colts!F122,Bengals!F122,Oilers!F122,'@Browns'!F122,Dolphins!F122,'@Chargers'!F122,Jets!F122,'@Steelers'!F122,'@Dolphins'!F122,+'@Eagles'!F122)</f>
        <v>0</v>
      </c>
      <c r="G122">
        <f>+Chargers!G122+'@Jets'!G122+Patriots!G122+Vikings!G122+'@Colts'!G122+'@Patriots'!G122+Colts!G122+'@Eagles'!G122+Bengals!G122+Oilers!G122+'@Browns'!G122+Dolphins!G122+'@Chargers'!G122+Jets!G122</f>
        <v>0</v>
      </c>
      <c r="H122">
        <f>Chargers!H122+'@Jets'!H122+Patriots!H122+Vikings!H122+'@Colts'!H122+'@Patriots'!H122+Colts!H122+'@Eagles'!H122+Bengals!H122+Oilers!H122+'@Browns'!H122+Dolphins!H122+'@Chargers'!H122+Jets!H122+'@Steelers'!H122+'@Dolphins'!H122</f>
        <v>0</v>
      </c>
    </row>
    <row r="123" spans="1:8" ht="12.75">
      <c r="A123" t="s">
        <v>114</v>
      </c>
      <c r="C123">
        <f>+Chargers!C123+'@Jets'!C123+Patriots!C123+Vikings!C123+'@Colts'!C123+'@Patriots'!C123+Colts!C123+'@Eagles'!C123+Bengals!C123+Oilers!C123+'@Browns'!C123+Dolphins!C123+'@Chargers'!C123+Jets!C123</f>
        <v>0</v>
      </c>
      <c r="D123">
        <f>+Chargers!D123+'@Jets'!D123+Patriots!D123+Vikings!D123+'@Colts'!D123+'@Patriots'!D123+Colts!D123+'@Eagles'!D123+Bengals!D123+Oilers!D123+'@Browns'!D123+Dolphins!D123+'@Chargers'!D123+Jets!D123</f>
        <v>0</v>
      </c>
      <c r="E123" s="12" t="e">
        <f t="shared" si="4"/>
        <v>#DIV/0!</v>
      </c>
      <c r="F123">
        <f>MAX(Chargers!F123,'@Jets'!F123,Patriots!F123,Vikings!F123,'@Colts'!F123,'@Patriots'!F123,Colts!F123,Bengals!F123,Oilers!F123,'@Browns'!F123,Dolphins!F123,'@Chargers'!F123,Jets!F123,'@Steelers'!F123,'@Dolphins'!F123,+'@Eagles'!F123)</f>
        <v>0</v>
      </c>
      <c r="G123">
        <f>+Chargers!G123+'@Jets'!G123+Patriots!G123+Vikings!G123+'@Colts'!G123+'@Patriots'!G123+Colts!G123+'@Eagles'!G123+Bengals!G123+Oilers!G123+'@Browns'!G123+Dolphins!G123+'@Chargers'!G123+Jets!G123</f>
        <v>0</v>
      </c>
      <c r="H123">
        <f>Chargers!H123+'@Jets'!H123+Patriots!H123+Vikings!H123+'@Colts'!H123+'@Patriots'!H123+Colts!H123+'@Eagles'!H123+Bengals!H123+Oilers!H123+'@Browns'!H123+Dolphins!H123+'@Chargers'!H123+Jets!H123+'@Steelers'!H123+'@Dolphins'!H123</f>
        <v>0</v>
      </c>
    </row>
    <row r="124" spans="1:8" ht="12.75">
      <c r="A124" t="s">
        <v>126</v>
      </c>
      <c r="C124">
        <f>+Chargers!C124+'@Jets'!C124+Patriots!C124+Vikings!C124+'@Colts'!C124+'@Patriots'!C124+Colts!C124+'@Eagles'!C124+Bengals!C124+Oilers!C124+'@Browns'!C124+Dolphins!C124+'@Chargers'!C124+Jets!C124</f>
        <v>0</v>
      </c>
      <c r="D124">
        <f>+Chargers!D124+'@Jets'!D124+Patriots!D124+Vikings!D124+'@Colts'!D124+'@Patriots'!D124+Colts!D124+'@Eagles'!D124+Bengals!D124+Oilers!D124+'@Browns'!D124+Dolphins!D124+'@Chargers'!D124+Jets!D124</f>
        <v>0</v>
      </c>
      <c r="E124" s="12" t="e">
        <f t="shared" si="4"/>
        <v>#DIV/0!</v>
      </c>
      <c r="F124">
        <f>MAX(Chargers!F124,'@Jets'!F124,Patriots!F124,Vikings!F124,'@Colts'!F124,'@Patriots'!F124,Colts!F124,Bengals!F124,Oilers!F124,'@Browns'!F124,Dolphins!F124,'@Chargers'!F124,Jets!F124,'@Steelers'!F124,'@Dolphins'!F124,+'@Eagles'!F124)</f>
        <v>0</v>
      </c>
      <c r="G124">
        <f>+Chargers!G124+'@Jets'!G124+Patriots!G124+Vikings!G124+'@Colts'!G124+'@Patriots'!G124+Colts!G124+'@Eagles'!G124+Bengals!G124+Oilers!G124+'@Browns'!G124+Dolphins!G124+'@Chargers'!G124+Jets!G124</f>
        <v>0</v>
      </c>
      <c r="H124">
        <f>Chargers!H124+'@Jets'!H124+Patriots!H124+Vikings!H124+'@Colts'!H124+'@Patriots'!H124+Colts!H124+'@Eagles'!H124+Bengals!H124+Oilers!H124+'@Browns'!H124+Dolphins!H124+'@Chargers'!H124+Jets!H124+'@Steelers'!H124+'@Dolphins'!H124</f>
        <v>0</v>
      </c>
    </row>
    <row r="125" spans="1:8" ht="12.75">
      <c r="A125" t="s">
        <v>127</v>
      </c>
      <c r="C125">
        <f>+Chargers!C125+'@Jets'!C125+Patriots!C125+Vikings!C125+'@Colts'!C125+'@Patriots'!C125+Colts!C125+'@Eagles'!C125+Bengals!C125+Oilers!C125+'@Browns'!C125+Dolphins!C125+'@Chargers'!C125+Jets!C125</f>
        <v>2</v>
      </c>
      <c r="D125">
        <f>+Chargers!D125+'@Jets'!D125+Patriots!D125+Vikings!D125+'@Colts'!D125+'@Patriots'!D125+Colts!D125+'@Eagles'!D125+Bengals!D125+Oilers!D125+'@Browns'!D125+Dolphins!D125+'@Chargers'!D125+Jets!D125</f>
        <v>24</v>
      </c>
      <c r="E125" s="12">
        <f t="shared" si="4"/>
        <v>12</v>
      </c>
      <c r="F125">
        <f>MAX(Chargers!F125,'@Jets'!F125,Patriots!F125,Vikings!F125,'@Colts'!F125,'@Patriots'!F125,Colts!F125,Bengals!F125,Oilers!F125,'@Browns'!F125,Dolphins!F125,'@Chargers'!F125,Jets!F125,'@Steelers'!F125,'@Dolphins'!F125,+'@Eagles'!F125)</f>
        <v>24</v>
      </c>
      <c r="G125">
        <f>+Chargers!G125+'@Jets'!G125+Patriots!G125+Vikings!G125+'@Colts'!G125+'@Patriots'!G125+Colts!G125+'@Eagles'!G125+Bengals!G125+Oilers!G125+'@Browns'!G125+Dolphins!G125+'@Chargers'!G125+Jets!G125</f>
        <v>0</v>
      </c>
      <c r="H125">
        <f>Chargers!H125+'@Jets'!H125+Patriots!H125+Vikings!H125+'@Colts'!H125+'@Patriots'!H125+Colts!H125+'@Eagles'!H125+Bengals!H125+Oilers!H125+'@Browns'!H125+Dolphins!H125+'@Chargers'!H125+Jets!H125+'@Steelers'!H125+'@Dolphins'!H125</f>
        <v>0</v>
      </c>
    </row>
    <row r="126" spans="1:8" ht="12.75">
      <c r="A126" t="s">
        <v>106</v>
      </c>
      <c r="C126">
        <f>+Chargers!C126+'@Jets'!C126+Patriots!C126+Vikings!C126+'@Colts'!C126+'@Patriots'!C126+Colts!C126+'@Eagles'!C126+Bengals!C126+Oilers!C126+'@Browns'!C126+Dolphins!C126+'@Chargers'!C126+Jets!C126</f>
        <v>0</v>
      </c>
      <c r="D126">
        <f>+Chargers!D126+'@Jets'!D126+Patriots!D126+Vikings!D126+'@Colts'!D126+'@Patriots'!D126+Colts!D126+'@Eagles'!D126+Bengals!D126+Oilers!D126+'@Browns'!D126+Dolphins!D126+'@Chargers'!D126+Jets!D126</f>
        <v>0</v>
      </c>
      <c r="E126" s="12" t="e">
        <f t="shared" si="4"/>
        <v>#DIV/0!</v>
      </c>
      <c r="F126">
        <f>MAX(Chargers!F126,'@Jets'!F126,Patriots!F126,Vikings!F126,'@Colts'!F126,'@Patriots'!F126,Colts!F126,Bengals!F126,Oilers!F126,'@Browns'!F126,Dolphins!F126,'@Chargers'!F126,Jets!F126,'@Steelers'!F126,'@Dolphins'!F126,+'@Eagles'!F126)</f>
        <v>0</v>
      </c>
      <c r="G126">
        <f>+Chargers!G126+'@Jets'!G126+Patriots!G126+Vikings!G126+'@Colts'!G126+'@Patriots'!G126+Colts!G126+'@Eagles'!G126+Bengals!G126+Oilers!G126+'@Browns'!G126+Dolphins!G126+'@Chargers'!G126+Jets!G126</f>
        <v>0</v>
      </c>
      <c r="H126">
        <f>Chargers!H126+'@Jets'!H126+Patriots!H126+Vikings!H126+'@Colts'!H126+'@Patriots'!H126+Colts!H126+'@Eagles'!H126+Bengals!H126+Oilers!H126+'@Browns'!H126+Dolphins!H126+'@Chargers'!H126+Jets!H126+'@Steelers'!H126+'@Dolphins'!H126</f>
        <v>0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129</v>
      </c>
      <c r="C129">
        <f>+Chargers!C129+'@Jets'!C129+Patriots!C129+Vikings!C129+'@Colts'!C129+'@Patriots'!C129+Colts!C129+'@Eagles'!C129+Bengals!C129+Oilers!C129+'@Browns'!C129+Dolphins!C129+'@Chargers'!C129+Jets!C129+'@Steelers'!C129+'@Dolphins'!C129</f>
        <v>78</v>
      </c>
      <c r="D129">
        <f>+Chargers!D129+'@Jets'!D129+Patriots!D129+Vikings!D129+'@Colts'!D129+'@Patriots'!D129+Colts!D129+'@Eagles'!D129+Bengals!D129+Oilers!D129+'@Browns'!D129+Dolphins!D129+'@Chargers'!D129+Jets!D129+'@Steelers'!D129+'@Dolphins'!D129</f>
        <v>3202</v>
      </c>
      <c r="E129" s="12">
        <f>+D129/C129</f>
        <v>41.05128205128205</v>
      </c>
      <c r="F129">
        <f>MAX(Chargers!F129,'@Jets'!F129,Patriots!F129,Vikings!F129,'@Colts'!F129,'@Patriots'!F129,Colts!F129,Bengals!F129,Oilers!F129,'@Browns'!F129,Dolphins!F129,'@Chargers'!F129,Jets!F129,'@Steelers'!F129,'@Dolphins'!F129,+'@Eagles'!F129)</f>
        <v>60</v>
      </c>
      <c r="G129">
        <f>+Chargers!G129+'@Jets'!G129+Patriots!G129+Vikings!G129+'@Colts'!G129+'@Patriots'!G129+Colts!G129+'@Eagles'!G129+Bengals!G129+Oilers!G129+'@Browns'!G129+Dolphins!G129+'@Chargers'!G129+Jets!G129+'@Steelers'!G129+'@Dolphins'!G129</f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133</v>
      </c>
      <c r="C132">
        <f>+Chargers!C132+'@Jets'!C132+Patriots!C132+Vikings!C132+'@Colts'!C132+'@Patriots'!C132+Colts!C132+'@Eagles'!C132+Bengals!C132+Oilers!C132+'@Browns'!C132+Dolphins!C132+'@Chargers'!C132+Jets!C132+'@Steelers'!C132+'@Dolphins'!C132</f>
        <v>71</v>
      </c>
      <c r="D132">
        <f>+Chargers!D132+'@Jets'!D132+Patriots!D132+Vikings!D132+'@Colts'!D132+'@Patriots'!D132+Colts!D132+'@Eagles'!D132+Bengals!D132+Oilers!D132+'@Browns'!D132+Dolphins!D132+'@Chargers'!D132+Jets!D132+'@Steelers'!D132+'@Dolphins'!D132</f>
        <v>20</v>
      </c>
      <c r="E132">
        <f>+Chargers!E132+'@Jets'!E132+Patriots!E132+Vikings!E132+'@Colts'!E132+'@Patriots'!E132+Colts!E132+'@Eagles'!E132+Bengals!E132+Oilers!E132+'@Browns'!E132+Dolphins!E132+'@Chargers'!E132+Jets!E132+'@Steelers'!E132+'@Dolphins'!E132</f>
        <v>27</v>
      </c>
      <c r="F132">
        <f>+Chargers!F132+'@Jets'!F132+Patriots!F132+Vikings!F132+'@Colts'!F132+'@Patriots'!F132+Colts!F132+'@Eagles'!F132+Bengals!F132+Oilers!F132+'@Browns'!F132+Dolphins!F132+'@Chargers'!F132+Jets!F132+'@Steelers'!F132+'@Dolphins'!F132</f>
        <v>27</v>
      </c>
      <c r="G132">
        <f>+Chargers!G132+'@Jets'!G132+Patriots!G132+Vikings!G132+'@Colts'!G132+'@Patriots'!G132+Colts!G132+'@Eagles'!G132+Bengals!G132+Oilers!G132+'@Browns'!G132+Dolphins!G132+'@Chargers'!G132+Jets!G132+'@Steelers'!G132+'@Dolphins'!G132</f>
        <v>34</v>
      </c>
      <c r="H132">
        <f>+Chargers!H132+'@Jets'!H132+Patriots!H132+Vikings!H132+'@Colts'!H132+'@Patriots'!H132+Colts!H132+'@Eagles'!H132+Bengals!H132+Oilers!H132+'@Browns'!H132+Dolphins!H132+'@Chargers'!H132+Jets!H132+'@Steelers'!H132+'@Dolphins'!H132</f>
        <v>29</v>
      </c>
      <c r="I132" s="12">
        <f>+H132/G132*100</f>
        <v>85.29411764705883</v>
      </c>
      <c r="J132">
        <f>MAX(Chargers!J132,'@Jets'!J132,Patriots!J132,Vikings!J132,'@Colts'!J132,'@Patriots'!J132,Colts!J132,Bengals!J132,Oilers!J132,'@Browns'!J132,Dolphins!J132,'@Chargers'!J132,Jets!J132,'@Steelers'!J132,'@Dolphins'!J132,+'@Eagles'!J132)</f>
        <v>52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8" ht="12.75">
      <c r="A135" t="s">
        <v>134</v>
      </c>
      <c r="C135">
        <f>+Chargers!C135+'@Jets'!C135+Patriots!C135+Vikings!C135+'@Colts'!C135+'@Patriots'!C135+Colts!C135+'@Eagles'!C135+Bengals!C135+Oilers!C135+'@Browns'!C135+Dolphins!C135+'@Chargers'!C135+Jets!C135+'@Steelers'!C135+'@Dolphins'!C135</f>
        <v>5</v>
      </c>
      <c r="D135">
        <f>+Chargers!D135+'@Jets'!D135+Patriots!D135+Vikings!D135+'@Colts'!D135+'@Patriots'!D135+Colts!D135+'@Eagles'!D135+Bengals!D135+Oilers!D135+'@Browns'!D135+Dolphins!D135+'@Chargers'!D135+Jets!D135+'@Steelers'!D135+'@Dolphins'!D135</f>
        <v>42</v>
      </c>
      <c r="E135" s="12">
        <f>+D135/C135</f>
        <v>8.4</v>
      </c>
      <c r="F135">
        <f>MAX(Chargers!F135,'@Jets'!F135,Patriots!F135,Vikings!F135,'@Colts'!F135,'@Patriots'!F135,Colts!F135,Bengals!F135,Oilers!F135,'@Browns'!F135,Dolphins!F135,'@Chargers'!F135,Jets!F135,'@Steelers'!F135,'@Dolphins'!F135,+'@Eagles'!F135)</f>
        <v>17</v>
      </c>
      <c r="G135">
        <f>+Chargers!G135+'@Jets'!G135+Patriots!G135+Vikings!G135+'@Colts'!G135+'@Patriots'!G135+Colts!G135+'@Eagles'!G135+Bengals!G135+Oilers!G135+'@Browns'!G135+Dolphins!G135+'@Chargers'!G135+Jets!G135+'@Steelers'!G135+'@Dolphins'!G135</f>
        <v>0</v>
      </c>
      <c r="H135">
        <f>Chargers!H135+'@Jets'!H135+Patriots!H135+Vikings!H135+'@Colts'!H135+'@Patriots'!H135+Colts!H135+'@Eagles'!H135+Bengals!H135+Oilers!H135+'@Browns'!H135+Dolphins!H135+'@Chargers'!H135+Jets!H135+'@Steelers'!H135+'@Dolphins'!H135</f>
        <v>0</v>
      </c>
    </row>
    <row r="136" spans="1:8" ht="12.75">
      <c r="A136" t="s">
        <v>135</v>
      </c>
      <c r="C136">
        <f>+Chargers!C136+'@Jets'!C136+Patriots!C136+Vikings!C136+'@Colts'!C136+'@Patriots'!C136+Colts!C136+'@Eagles'!C136+Bengals!C136+Oilers!C136+'@Browns'!C136+Dolphins!C136+'@Chargers'!C136+Jets!C136+'@Steelers'!C136+'@Dolphins'!C136</f>
        <v>2</v>
      </c>
      <c r="D136">
        <f>+Chargers!D136+'@Jets'!D136+Patriots!D136+Vikings!D136+'@Colts'!D136+'@Patriots'!D136+Colts!D136+'@Eagles'!D136+Bengals!D136+Oilers!D136+'@Browns'!D136+Dolphins!D136+'@Chargers'!D136+Jets!D136+'@Steelers'!D136+'@Steelers'!D136</f>
        <v>38</v>
      </c>
      <c r="E136" s="12">
        <f aca="true" t="shared" si="5" ref="E136:E143">+D136/C136</f>
        <v>19</v>
      </c>
      <c r="F136">
        <f>MAX(Chargers!F136,'@Jets'!F136,Patriots!F136,Vikings!F136,'@Colts'!F136,'@Patriots'!F136,Colts!F136,Bengals!F136,Oilers!F136,'@Browns'!F136,Dolphins!F136,'@Chargers'!F136,Jets!F136,'@Steelers'!F136,'@Dolphins'!F136,+'@Eagles'!F136)</f>
        <v>38</v>
      </c>
      <c r="G136">
        <f>+Chargers!G136+'@Jets'!G136+Patriots!G136+Vikings!G136+'@Colts'!G136+'@Patriots'!G136+Colts!G136+'@Eagles'!G136+Bengals!G136+Oilers!G136+'@Browns'!G136+Dolphins!G136+'@Chargers'!G136+Jets!G136+'@Steelers'!G136+'@Dolphins'!G136</f>
        <v>0</v>
      </c>
      <c r="H136">
        <f>Chargers!H136+'@Jets'!H136+Patriots!H136+Vikings!H136+'@Colts'!H136+'@Patriots'!H136+Colts!H136+'@Eagles'!H136+Bengals!H136+Oilers!H136+'@Browns'!H136+Dolphins!H136+'@Chargers'!H136+Jets!H136+'@Steelers'!H136+'@Dolphins'!H136</f>
        <v>0</v>
      </c>
    </row>
    <row r="137" spans="1:8" ht="12.75">
      <c r="A137" t="s">
        <v>130</v>
      </c>
      <c r="C137">
        <f>+Chargers!C137+'@Jets'!C137+Patriots!C137+Vikings!C137+'@Colts'!C137+'@Patriots'!C137+Colts!C137+'@Eagles'!C137+Bengals!C137+Oilers!C137+'@Browns'!C137+Dolphins!C137+'@Chargers'!C137+Jets!C137+'@Steelers'!C137+'@Dolphins'!C137</f>
        <v>0</v>
      </c>
      <c r="D137">
        <f>+Chargers!D137+'@Jets'!D137+Patriots!D137+Vikings!D137+'@Colts'!D137+'@Patriots'!D137+Colts!D137+'@Eagles'!D137+Bengals!D137+Oilers!D137+'@Browns'!D137+Dolphins!D137+'@Chargers'!D137+Jets!D137+'@Steelers'!D137+'@Dolphins'!D137</f>
        <v>0</v>
      </c>
      <c r="E137" s="12" t="e">
        <f t="shared" si="5"/>
        <v>#DIV/0!</v>
      </c>
      <c r="F137">
        <f>MAX(Chargers!F137,'@Jets'!F137,Patriots!F137,Vikings!F137,'@Colts'!F137,'@Patriots'!F137,Colts!F137,Bengals!F137,Oilers!F137,'@Browns'!F137,Dolphins!F137,'@Chargers'!F137,Jets!F137,'@Steelers'!F137,'@Dolphins'!F137,+'@Eagles'!F137)</f>
        <v>0</v>
      </c>
      <c r="G137">
        <f>+Chargers!G137+'@Jets'!G137+Patriots!G137+Vikings!G137+'@Colts'!G137+'@Patriots'!G137+Colts!G137+'@Eagles'!G137+Bengals!G137+Oilers!G137+'@Browns'!G137+Dolphins!G137+'@Chargers'!G137+Jets!G137+'@Steelers'!G137+'@Dolphins'!G137</f>
        <v>0</v>
      </c>
      <c r="H137">
        <f>Chargers!H137+'@Jets'!H137+Patriots!H137+Vikings!H137+'@Colts'!H137+'@Patriots'!H137+Colts!H137+'@Eagles'!H137+Bengals!H137+Oilers!H137+'@Browns'!H137+Dolphins!H137+'@Chargers'!H137+Jets!H137+'@Steelers'!H137+'@Dolphins'!H137</f>
        <v>0</v>
      </c>
    </row>
    <row r="138" spans="1:8" ht="12.75">
      <c r="A138" t="s">
        <v>131</v>
      </c>
      <c r="C138">
        <f>+Chargers!C138+'@Jets'!C138+Patriots!C138+Vikings!C138+'@Colts'!C138+'@Patriots'!C138+Colts!C138+'@Eagles'!C138+Bengals!C138+Oilers!C138+'@Browns'!C138+Dolphins!C138+'@Chargers'!C138+Jets!C138+'@Steelers'!C138+'@Dolphins'!C138</f>
        <v>3</v>
      </c>
      <c r="D138">
        <f>+Chargers!D138+'@Jets'!D138+Patriots!D138+Vikings!D138+'@Colts'!D138+'@Patriots'!D138+Colts!D138+'@Eagles'!D138+Bengals!D138+Oilers!D138+'@Browns'!D138+Dolphins!D138+'@Chargers'!D138+Jets!D138+'@Steelers'!D138+'@Dolphins'!D138</f>
        <v>38</v>
      </c>
      <c r="E138" s="12">
        <f t="shared" si="5"/>
        <v>12.666666666666666</v>
      </c>
      <c r="F138">
        <f>MAX(Chargers!F138,'@Jets'!F138,Patriots!F138,Vikings!F138,'@Colts'!F138,'@Patriots'!F138,Colts!F138,Bengals!F138,Oilers!F138,'@Browns'!F138,Dolphins!F138,'@Chargers'!F138,Jets!F138,'@Steelers'!F138,'@Dolphins'!F138,+'@Eagles'!F138)</f>
        <v>21</v>
      </c>
      <c r="G138">
        <f>+Chargers!G138+'@Jets'!G138+Patriots!G138+Vikings!G138+'@Colts'!G138+'@Patriots'!G138+Colts!G138+'@Eagles'!G138+Bengals!G138+Oilers!G138+'@Browns'!G138+Dolphins!G138+'@Chargers'!G138+Jets!G138+'@Steelers'!G138+'@Dolphins'!G138</f>
        <v>0</v>
      </c>
      <c r="H138">
        <f>Chargers!H138+'@Jets'!H138+Patriots!H138+Vikings!H138+'@Colts'!H138+'@Patriots'!H138+Colts!H138+'@Eagles'!H138+Bengals!H138+Oilers!H138+'@Browns'!H138+Dolphins!H138+'@Chargers'!H138+Jets!H138+'@Steelers'!H138+'@Dolphins'!H138</f>
        <v>0</v>
      </c>
    </row>
    <row r="139" spans="1:8" ht="12.75">
      <c r="A139" t="s">
        <v>136</v>
      </c>
      <c r="C139">
        <f>+Chargers!C139+'@Jets'!C139+Patriots!C139+Vikings!C139+'@Colts'!C139+'@Patriots'!C139+Colts!C139+'@Eagles'!C139+Bengals!C139+Oilers!C139+'@Browns'!C139+Dolphins!C139+'@Chargers'!C139+Jets!C139+'@Steelers'!C139+'@Dolphins'!C139</f>
        <v>2</v>
      </c>
      <c r="D139">
        <f>+Chargers!D139+'@Jets'!D139+Patriots!D139+Vikings!D139+'@Colts'!D139+'@Patriots'!D139+Colts!D139+'@Eagles'!D139+Bengals!D139+Oilers!D139+'@Browns'!D139+Dolphins!D139+'@Chargers'!D139+Jets!D139+'@Steelers'!D139+'@Dolphins'!D139</f>
        <v>11</v>
      </c>
      <c r="E139" s="12">
        <f t="shared" si="5"/>
        <v>5.5</v>
      </c>
      <c r="F139">
        <f>MAX(Chargers!F139,'@Jets'!F139,Patriots!F139,Vikings!F139,'@Colts'!F139,'@Patriots'!F139,Colts!F139,Bengals!F139,Oilers!F139,'@Browns'!F139,Dolphins!F139,'@Chargers'!F139,Jets!F139,'@Steelers'!F139,'@Dolphins'!F139,+'@Eagles'!F139)</f>
        <v>11</v>
      </c>
      <c r="G139">
        <f>+Chargers!G139+'@Jets'!G139+Patriots!G139+Vikings!G139+'@Colts'!G139+'@Patriots'!G139+Colts!G139+'@Eagles'!G139+Bengals!G139+Oilers!G139+'@Browns'!G139+Dolphins!G139+'@Chargers'!G139+Jets!G139+'@Steelers'!G139+'@Dolphins'!G139</f>
        <v>0</v>
      </c>
      <c r="H139">
        <f>Chargers!H139+'@Jets'!H139+Patriots!H139+Vikings!H139+'@Colts'!H139+'@Patriots'!H139+Colts!H139+'@Eagles'!H139+Bengals!H139+Oilers!H139+'@Browns'!H139+Dolphins!H139+'@Chargers'!H139+Jets!H139+'@Steelers'!H139+'@Dolphins'!H139</f>
        <v>0</v>
      </c>
    </row>
    <row r="140" spans="1:8" ht="12.75">
      <c r="A140" t="s">
        <v>137</v>
      </c>
      <c r="C140">
        <f>+Chargers!C140+'@Jets'!C140+Patriots!C140+Vikings!C140+'@Colts'!C140+'@Patriots'!C140+Colts!C140+'@Eagles'!C140+Bengals!C140+Oilers!C140+'@Browns'!C140+Dolphins!C140+'@Chargers'!C140+Jets!C140+'@Steelers'!C140+'@Dolphins'!C140</f>
        <v>0</v>
      </c>
      <c r="D140">
        <f>+Chargers!D140+'@Jets'!D140+Patriots!D140+Vikings!D140+'@Colts'!D140+'@Patriots'!D140+Colts!D140+'@Eagles'!D140+Bengals!D140+Oilers!D140+'@Browns'!D140+Dolphins!D140+'@Chargers'!D140+Jets!D140+'@Steelers'!D140+'@Dolphins'!D140</f>
        <v>0</v>
      </c>
      <c r="E140" s="12" t="e">
        <f t="shared" si="5"/>
        <v>#DIV/0!</v>
      </c>
      <c r="F140">
        <f>MAX(Chargers!F140,'@Jets'!F140,Patriots!F140,Vikings!F140,'@Colts'!F140,'@Patriots'!F140,Colts!F140,Bengals!F140,Oilers!F140,'@Browns'!F140,Dolphins!F140,'@Chargers'!F140,Jets!F140,'@Steelers'!F140,'@Dolphins'!F140,+'@Eagles'!F140)</f>
        <v>0</v>
      </c>
      <c r="G140">
        <f>+Chargers!G140+'@Jets'!G140+Patriots!G140+Vikings!G140+'@Colts'!G140+'@Patriots'!G140+Colts!G140+'@Eagles'!G140+Bengals!G140+Oilers!G140+'@Browns'!G140+Dolphins!G140+'@Chargers'!G140+Jets!G140+'@Steelers'!G140+'@Dolphins'!G140</f>
        <v>0</v>
      </c>
      <c r="H140">
        <f>Chargers!H140+'@Jets'!H140+Patriots!H140+Vikings!H140+'@Colts'!H140+'@Patriots'!H140+Colts!H140+'@Eagles'!H140+Bengals!H140+Oilers!H140+'@Browns'!H140+Dolphins!H140+'@Chargers'!H140+Jets!H140+'@Steelers'!H140+'@Dolphins'!H140</f>
        <v>0</v>
      </c>
    </row>
    <row r="141" spans="1:8" ht="12.75">
      <c r="A141" t="s">
        <v>138</v>
      </c>
      <c r="C141">
        <f>+Chargers!C141+'@Jets'!C141+Patriots!C141+Vikings!C141+'@Colts'!C141+'@Patriots'!C141+Colts!C141+'@Eagles'!C141+Bengals!C141+Oilers!C141+'@Browns'!C141+Dolphins!C141+'@Chargers'!C141+Jets!C141+'@Steelers'!C141+'@Dolphins'!C141</f>
        <v>0</v>
      </c>
      <c r="D141">
        <f>+Chargers!D141+'@Jets'!D141+Patriots!D141+Vikings!D141+'@Colts'!D141+'@Patriots'!D141+Colts!D141+'@Eagles'!D141+Bengals!D141+Oilers!D141+'@Browns'!D141+Dolphins!D141+'@Chargers'!D141+Jets!D141+'@Steelers'!D141+'@Dolphins'!D141</f>
        <v>0</v>
      </c>
      <c r="E141" s="12" t="e">
        <f t="shared" si="5"/>
        <v>#DIV/0!</v>
      </c>
      <c r="F141">
        <f>MAX(Chargers!F141,'@Jets'!F141,Patriots!F141,Vikings!F141,'@Colts'!F141,'@Patriots'!F141,Colts!F141,Bengals!F141,Oilers!F141,'@Browns'!F141,Dolphins!F141,'@Chargers'!F141,Jets!F141,'@Steelers'!F141,'@Dolphins'!F141,+'@Eagles'!F141)</f>
        <v>0</v>
      </c>
      <c r="G141">
        <f>+Chargers!G141+'@Jets'!G141+Patriots!G141+Vikings!G141+'@Colts'!G141+'@Patriots'!G141+Colts!G141+'@Eagles'!G141+Bengals!G141+Oilers!G141+'@Browns'!G141+Dolphins!G141+'@Chargers'!G141+Jets!G141+'@Steelers'!G141+'@Dolphins'!G141</f>
        <v>0</v>
      </c>
      <c r="H141">
        <f>Chargers!H141+'@Jets'!H141+Patriots!H141+Vikings!H141+'@Colts'!H141+'@Patriots'!H141+Colts!H141+'@Eagles'!H141+Bengals!H141+Oilers!H141+'@Browns'!H141+Dolphins!H141+'@Chargers'!H141+Jets!H141+'@Steelers'!H141+'@Dolphins'!H141</f>
        <v>0</v>
      </c>
    </row>
    <row r="142" spans="1:8" ht="12.75">
      <c r="A142" t="s">
        <v>139</v>
      </c>
      <c r="C142">
        <f>+Chargers!C142+'@Jets'!C142+Patriots!C142+Vikings!C142+'@Colts'!C142+'@Patriots'!C142+Colts!C142+'@Eagles'!C142+Bengals!C142+Oilers!C142+'@Browns'!C142+Dolphins!C142+'@Chargers'!C142+Jets!C142+'@Steelers'!C142+'@Dolphins'!C142</f>
        <v>0</v>
      </c>
      <c r="D142">
        <f>+Chargers!D142+'@Jets'!D142+Patriots!D142+Vikings!D142+'@Colts'!D142+'@Patriots'!D142+Colts!D142+'@Eagles'!D142+Bengals!D142+Oilers!D142+'@Browns'!D142+Dolphins!D142+'@Chargers'!D142+Jets!D142+'@Steelers'!D142+'@Dolphins'!D142</f>
        <v>0</v>
      </c>
      <c r="E142" s="12" t="e">
        <f t="shared" si="5"/>
        <v>#DIV/0!</v>
      </c>
      <c r="F142">
        <f>MAX(Chargers!F142,'@Jets'!F142,Patriots!F142,Vikings!F142,'@Colts'!F142,'@Patriots'!F142,Colts!F142,Bengals!F142,Oilers!F142,'@Browns'!F142,Dolphins!F142,'@Chargers'!F142,Jets!F142,'@Steelers'!F142,'@Dolphins'!F142,+'@Eagles'!F142)</f>
        <v>0</v>
      </c>
      <c r="G142">
        <f>+Chargers!G142+'@Jets'!G142+Patriots!G142+Vikings!G142+'@Colts'!G142+'@Patriots'!G142+Colts!G142+'@Eagles'!G142+Bengals!G142+Oilers!G142+'@Browns'!G142+Dolphins!G142+'@Chargers'!G142+Jets!G142+'@Steelers'!G142+'@Dolphins'!G142</f>
        <v>0</v>
      </c>
      <c r="H142">
        <f>Chargers!H142+'@Jets'!H142+Patriots!H142+Vikings!H142+'@Colts'!H142+'@Patriots'!H142+Colts!H142+'@Eagles'!H142+Bengals!H142+Oilers!H142+'@Browns'!H142+Dolphins!H142+'@Chargers'!H142+Jets!H142+'@Steelers'!H142+'@Dolphins'!H142</f>
        <v>0</v>
      </c>
    </row>
    <row r="143" spans="1:8" ht="12.75">
      <c r="A143" t="s">
        <v>140</v>
      </c>
      <c r="C143">
        <f>+Chargers!C143+'@Jets'!C143+Patriots!C143+Vikings!C143+'@Colts'!C143+'@Patriots'!C143+Colts!C143+'@Eagles'!C143+Bengals!C143+Oilers!C143+'@Browns'!C143+Dolphins!C143+'@Chargers'!C143+Jets!C143+'@Steelers'!C143+'@Dolphins'!C143</f>
        <v>0</v>
      </c>
      <c r="D143">
        <f>+Chargers!D143+'@Jets'!D143+Patriots!D143+Vikings!D143+'@Colts'!D143+'@Patriots'!D143+Colts!D143+'@Eagles'!D143+Bengals!D143+Oilers!D143+'@Browns'!D143+Dolphins!D143+'@Chargers'!D143+Jets!D143+'@Steelers'!D143+'@Dolphins'!D143</f>
        <v>0</v>
      </c>
      <c r="E143" s="12" t="e">
        <f t="shared" si="5"/>
        <v>#DIV/0!</v>
      </c>
      <c r="F143">
        <f>MAX(Chargers!F143,'@Jets'!F143,Patriots!F143,Vikings!F143,'@Colts'!F143,'@Patriots'!F143,Colts!F143,Bengals!F143,Oilers!F143,'@Browns'!F143,Dolphins!F143,'@Chargers'!F143,Jets!F143,'@Steelers'!F143,'@Dolphins'!F143,+'@Eagles'!F143)</f>
        <v>0</v>
      </c>
      <c r="G143">
        <f>+Chargers!G143+'@Jets'!G143+Patriots!G143+Vikings!G143+'@Colts'!G143+'@Patriots'!G143+Colts!G143+'@Eagles'!G143+Bengals!G143+Oilers!G143+'@Browns'!G143+Dolphins!G143+'@Chargers'!G143+Jets!G143+'@Steelers'!G143+'@Dolphins'!G143</f>
        <v>0</v>
      </c>
      <c r="H143">
        <f>Chargers!H143+'@Jets'!H143+Patriots!H143+Vikings!H143+'@Colts'!H143+'@Patriots'!H143+Colts!H143+'@Eagles'!H143+Bengals!H143+Oilers!H143+'@Browns'!H143+Dolphins!H143+'@Chargers'!H143+Jets!H143+'@Steelers'!H143+'@Dolphins'!H143</f>
        <v>0</v>
      </c>
    </row>
    <row r="145" spans="1:4" ht="12.75">
      <c r="A145" s="2" t="s">
        <v>90</v>
      </c>
      <c r="C145" s="3" t="s">
        <v>68</v>
      </c>
      <c r="D145" s="3"/>
    </row>
    <row r="146" spans="1:3" ht="12.75">
      <c r="A146" t="s">
        <v>117</v>
      </c>
      <c r="C146">
        <f>Chargers!C146+'@Jets'!C146+Patriots!C146+Vikings!C146+'@Colts'!C146+'@Patriots'!C146+Colts!C146+'@Eagles'!C146+Bengals!C146+Oilers!C146+'@Browns'!C146+Dolphins!C146+'@Chargers'!C146+Jets!C146+'@Steelers'!C146+'@Dolphins'!C146</f>
        <v>7.5</v>
      </c>
    </row>
    <row r="147" spans="1:3" ht="12.75">
      <c r="A147" t="s">
        <v>141</v>
      </c>
      <c r="C147">
        <f>Chargers!C147+'@Jets'!C147+Patriots!C147+Vikings!C147+'@Colts'!C147+'@Patriots'!C147+Colts!C147+'@Eagles'!C147+Bengals!C147+Oilers!C147+'@Browns'!C147+Dolphins!C147+'@Chargers'!C147+Jets!C147+'@Steelers'!C147+'@Dolphins'!C147</f>
        <v>5</v>
      </c>
    </row>
    <row r="148" spans="1:3" ht="12.75">
      <c r="A148" t="s">
        <v>142</v>
      </c>
      <c r="C148">
        <f>Chargers!C148+'@Jets'!C148+Patriots!C148+Vikings!C148+'@Colts'!C148+'@Patriots'!C148+Colts!C148+'@Eagles'!C148+Bengals!C148+Oilers!C148+'@Browns'!C148+Dolphins!C148+'@Chargers'!C148+Jets!C148+'@Steelers'!C148+'@Dolphins'!C148</f>
        <v>5.5</v>
      </c>
    </row>
    <row r="149" spans="1:3" ht="12.75">
      <c r="A149" t="s">
        <v>143</v>
      </c>
      <c r="C149">
        <f>Chargers!C149+'@Jets'!C149+Patriots!C149+Vikings!C149+'@Colts'!C149+'@Patriots'!C149+Colts!C149+'@Eagles'!C149+Bengals!C149+Oilers!C149+'@Browns'!C149+Dolphins!C149+'@Chargers'!C149+Jets!C149+'@Steelers'!C149+'@Dolphins'!C149</f>
        <v>1</v>
      </c>
    </row>
    <row r="150" spans="1:3" ht="12.75">
      <c r="A150" t="s">
        <v>144</v>
      </c>
      <c r="C150">
        <f>Chargers!C150+'@Jets'!C150+Patriots!C150+Vikings!C150+'@Colts'!C150+'@Patriots'!C150+Colts!C150+'@Eagles'!C150+Bengals!C150+Oilers!C150+'@Browns'!C150+Dolphins!C150+'@Chargers'!C150+Jets!C150+'@Steelers'!C150+'@Dolphins'!C150</f>
        <v>2</v>
      </c>
    </row>
    <row r="151" spans="1:3" ht="12.75">
      <c r="A151" t="s">
        <v>145</v>
      </c>
      <c r="C151">
        <f>Chargers!C151+'@Jets'!C151+Patriots!C151+Vikings!C151+'@Colts'!C151+'@Patriots'!C151+Colts!C151+'@Eagles'!C151+Bengals!C151+Oilers!C151+'@Browns'!C151+Dolphins!C151+'@Chargers'!C151+Jets!C151+'@Steelers'!C151+'@Dolphins'!C151</f>
        <v>2</v>
      </c>
    </row>
    <row r="152" spans="1:3" ht="12.75">
      <c r="A152" t="s">
        <v>140</v>
      </c>
      <c r="C152">
        <f>Chargers!C152+'@Jets'!C152+Patriots!C152+Vikings!C152+'@Colts'!C152+'@Patriots'!C152+Colts!C152+'@Eagles'!C152+Bengals!C152+Oilers!C152+'@Browns'!C152+Dolphins!C152+'@Chargers'!C152+Jets!C152+'@Steelers'!C152+'@Dolphins'!C152</f>
        <v>1.5</v>
      </c>
    </row>
    <row r="153" spans="1:3" ht="12.75">
      <c r="A153" t="s">
        <v>146</v>
      </c>
      <c r="C153">
        <f>Chargers!C153+'@Jets'!C153+Patriots!C153+Vikings!C153+'@Colts'!C153+'@Patriots'!C153+Colts!C153+'@Eagles'!C153+Bengals!C153+Oilers!C153+'@Browns'!C153+Dolphins!C153+'@Chargers'!C153+Jets!C153+'@Steelers'!C153+'@Dolphins'!C153</f>
        <v>1</v>
      </c>
    </row>
    <row r="154" spans="1:3" ht="12.75">
      <c r="A154" t="s">
        <v>138</v>
      </c>
      <c r="C154">
        <f>Chargers!C154+'@Jets'!C154+Patriots!C154+Vikings!C154+'@Colts'!C154+'@Patriots'!C154+Colts!C154+'@Eagles'!C154+Bengals!C154+Oilers!C154+'@Browns'!C154+Dolphins!C154+'@Chargers'!C154+Jets!C154+'@Steelers'!C154+'@Dolphins'!C154</f>
        <v>1.5</v>
      </c>
    </row>
    <row r="155" spans="1:3" ht="12.75">
      <c r="A155" t="s">
        <v>139</v>
      </c>
      <c r="C155">
        <f>Chargers!C155+'@Jets'!C155+Patriots!C155+Vikings!C155+'@Colts'!C155+'@Patriots'!C155+Colts!C155+'@Eagles'!C155+Bengals!C155+Oilers!C155+'@Browns'!C155+Dolphins!C155+'@Chargers'!C155+Jets!C155+'@Steelers'!C155+'@Dolphins'!C155</f>
        <v>0.5</v>
      </c>
    </row>
    <row r="156" spans="1:3" ht="12.75">
      <c r="A156" t="s">
        <v>147</v>
      </c>
      <c r="C156">
        <f>Chargers!C156+'@Jets'!C156+Patriots!C156+Vikings!C156+'@Colts'!C156+'@Patriots'!C156+Colts!C156+'@Eagles'!C156+Bengals!C156+Oilers!C156+'@Browns'!C156+Dolphins!C156+'@Chargers'!C156+Jets!C156+'@Steelers'!C156+'@Dolphins'!C156</f>
        <v>1.5</v>
      </c>
    </row>
    <row r="158" spans="4:15" ht="12.75">
      <c r="D158" s="2" t="s">
        <v>84</v>
      </c>
      <c r="E158" s="2" t="s">
        <v>85</v>
      </c>
      <c r="N158" s="2" t="s">
        <v>84</v>
      </c>
      <c r="O158" s="2" t="s">
        <v>85</v>
      </c>
    </row>
    <row r="159" spans="1:15" ht="12.75">
      <c r="A159" t="s">
        <v>93</v>
      </c>
      <c r="C159">
        <f>Chargers!D159+'@Jets'!D159+Patriots!D159+Vikings!D159+'@Colts'!D159+'@Patriots'!D159+Colts!D159+'@Eagles'!D159+Bengals!D159+Oilers!D159+'@Browns'!D159+Dolphins!D159+'@Chargers'!D159+Jets!D159+'@Steelers'!D159+'@Dolphins'!D159</f>
        <v>205</v>
      </c>
      <c r="D159">
        <f>+C159/$B$2</f>
        <v>12.8125</v>
      </c>
      <c r="E159" s="21">
        <f>213/16</f>
        <v>13.3125</v>
      </c>
      <c r="H159" t="s">
        <v>93</v>
      </c>
      <c r="M159">
        <f>Chargers!M159+'@Jets'!M159+Patriots!M159+Vikings!M159+'@Colts'!M159+'@Patriots'!M159+Colts!M159+'@Eagles'!M159+Bengals!M159+Oilers!M159+'@Browns'!M159+Dolphins!M159+'@Chargers'!M159+Jets!M159+'@Steelers'!M159+'@Dolphins'!M159</f>
        <v>212</v>
      </c>
      <c r="N159">
        <f>+M159/$B$2</f>
        <v>13.25</v>
      </c>
      <c r="O159" s="22">
        <f>211/16</f>
        <v>13.1875</v>
      </c>
    </row>
    <row r="160" spans="1:15" ht="12.75">
      <c r="A160" t="s">
        <v>94</v>
      </c>
      <c r="C160">
        <f>Chargers!D160+'@Jets'!D160+Patriots!D160+Vikings!D160+'@Colts'!D160+'@Patriots'!D160+Colts!D160+'@Eagles'!D160+Bengals!D160+Oilers!D160+'@Browns'!D160+Dolphins!D160+'@Chargers'!D160+Jets!D160+'@Steelers'!D160+'@Dolphins'!D160</f>
        <v>69</v>
      </c>
      <c r="D160">
        <f>+C160/$B$2</f>
        <v>4.3125</v>
      </c>
      <c r="E160" s="21">
        <f>74/16</f>
        <v>4.625</v>
      </c>
      <c r="H160" t="s">
        <v>94</v>
      </c>
      <c r="M160">
        <f>Chargers!M160+'@Jets'!M160+Patriots!M160+Vikings!M160+'@Colts'!M160+'@Patriots'!M160+Colts!M160+'@Eagles'!M160+Bengals!M160+Oilers!M160+'@Browns'!M160+Dolphins!M160+'@Chargers'!M160+Jets!M160+'@Steelers'!M160+'@Dolphins'!M160</f>
        <v>85</v>
      </c>
      <c r="N160">
        <f>+M160/$B$2</f>
        <v>5.3125</v>
      </c>
      <c r="O160" s="22">
        <f>69/16</f>
        <v>4.3125</v>
      </c>
    </row>
    <row r="161" spans="1:15" ht="12.75">
      <c r="A161" t="s">
        <v>95</v>
      </c>
      <c r="C161">
        <f>C160/C159*100</f>
        <v>33.65853658536586</v>
      </c>
      <c r="D161">
        <f>C160/C159*100</f>
        <v>33.65853658536586</v>
      </c>
      <c r="E161" s="21">
        <f>E160/E159*100</f>
        <v>34.74178403755869</v>
      </c>
      <c r="H161" t="s">
        <v>95</v>
      </c>
      <c r="M161" s="8">
        <f>M160/M159*100</f>
        <v>40.09433962264151</v>
      </c>
      <c r="N161">
        <f>M160/M159*100</f>
        <v>40.09433962264151</v>
      </c>
      <c r="O161" s="21">
        <f>O160/O159*100</f>
        <v>32.70142180094787</v>
      </c>
    </row>
    <row r="163" spans="1:5" ht="12.75">
      <c r="A163" t="s">
        <v>98</v>
      </c>
      <c r="C163">
        <f>Chargers!M34+Chargers!M57+'@Jets'!M34+'@Jets'!M57+Patriots!M34+Patriots!M57+Vikings!M34+Vikings!M57+'@Colts'!M34+'@Colts'!M57+'@Patriots'!M57+'@Patriots'!M34+Colts!M34+Colts!M57+'@Eagles'!M34+'@Eagles'!M57+Bengals!M34+Bengals!M57+Oilers!M34+Oilers!M57+'@Browns'!M34+'@Browns'!M57+Dolphins!M34+Dolphins!M57+'@Chargers'!M34+'@Chargers'!M57+Jets!M34+Jets!M57+'@Steelers'!M34+'@Steelers'!M57+'@Dolphins'!M34+'@Dolphins'!M57</f>
        <v>31</v>
      </c>
      <c r="D163">
        <f>C163/$B$2</f>
        <v>1.9375</v>
      </c>
      <c r="E163">
        <v>31</v>
      </c>
    </row>
    <row r="164" spans="1:5" ht="12.75">
      <c r="A164" t="s">
        <v>99</v>
      </c>
      <c r="C164" t="e">
        <f>Chargers!D34+Chargers!#REF!+'@Jets'!D34+'@Jets'!#REF!+Patriots!D34+Patriots!#REF!+Vikings!D34+Vikings!#REF!+'@Colts'!D34+'@Colts'!#REF!+'@Patriots'!D34+'@Patriots'!#REF!+Colts!D34+Colts!#REF!+'@Eagles'!D34+'@Eagles'!#REF!+Bengals!D34+Bengals!#REF!+Oilers!D34+Oilers!#REF!+'@Browns'!D34+'@Browns'!#REF!+Dolphins!D34+Dolphins!#REF!+'@Chargers'!D34+'@Chargers'!#REF!+Jets!D34+Jets!#REF!+'@Steelers'!D34+'@Steelers'!#REF!+'@Dolphins'!D34+'@Dolphins'!#REF!</f>
        <v>#REF!</v>
      </c>
      <c r="D164" t="e">
        <f>C164/$B$2</f>
        <v>#REF!</v>
      </c>
      <c r="E164">
        <v>34</v>
      </c>
    </row>
    <row r="165" spans="1:5" ht="12.75">
      <c r="A165" t="s">
        <v>100</v>
      </c>
      <c r="C165" t="e">
        <f>C163-C164</f>
        <v>#REF!</v>
      </c>
      <c r="D165" t="e">
        <f>D163-D164</f>
        <v>#REF!</v>
      </c>
      <c r="E165">
        <f>E163-E164</f>
        <v>-3</v>
      </c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ht="12.75">
      <c r="B169" s="2"/>
    </row>
    <row r="170" spans="1:7" ht="12.75">
      <c r="A170" s="2"/>
      <c r="B170" s="3"/>
      <c r="C170" s="3"/>
      <c r="D170" s="3"/>
      <c r="E170" s="2"/>
      <c r="F170" s="3"/>
      <c r="G170" s="3"/>
    </row>
    <row r="171" spans="4:7" ht="12.75">
      <c r="D171" s="2"/>
      <c r="F171" s="12"/>
      <c r="G171" s="8"/>
    </row>
    <row r="172" spans="4:7" ht="12.75">
      <c r="D172" s="2"/>
      <c r="F172" s="12"/>
      <c r="G172" s="8"/>
    </row>
    <row r="173" spans="4:7" ht="12.75">
      <c r="D173" s="2"/>
      <c r="F173" s="12"/>
      <c r="G173" s="8"/>
    </row>
    <row r="174" spans="4:7" ht="12.75">
      <c r="D174" s="2"/>
      <c r="F174" s="12"/>
      <c r="G174" s="8"/>
    </row>
    <row r="175" spans="4:6" ht="12.75">
      <c r="D175" s="2"/>
      <c r="F175" s="12"/>
    </row>
    <row r="176" spans="1:7" ht="12.75">
      <c r="A176" s="2"/>
      <c r="B176" s="2"/>
      <c r="C176" s="2"/>
      <c r="D176" s="2"/>
      <c r="E176" s="2"/>
      <c r="F176" s="2"/>
      <c r="G176" s="2"/>
    </row>
    <row r="177" spans="3:6" ht="12.75">
      <c r="C177" s="2"/>
      <c r="E177" s="2"/>
      <c r="F177" s="8"/>
    </row>
    <row r="178" spans="3:6" ht="12.75">
      <c r="C178" s="2"/>
      <c r="E178" s="2"/>
      <c r="F178" s="8"/>
    </row>
    <row r="179" spans="3:6" ht="12.75">
      <c r="C179" s="2"/>
      <c r="E179" s="2"/>
      <c r="F179" s="8"/>
    </row>
    <row r="180" spans="3:6" ht="12.75">
      <c r="C180" s="2"/>
      <c r="E180" s="2"/>
      <c r="F180" s="8"/>
    </row>
    <row r="181" spans="3:6" ht="12.75">
      <c r="C181" s="2"/>
      <c r="E181" s="2"/>
      <c r="F181" s="8"/>
    </row>
    <row r="182" spans="3:6" ht="12.75">
      <c r="C182" s="2"/>
      <c r="E182" s="2"/>
      <c r="F182" s="8"/>
    </row>
    <row r="183" spans="3:6" ht="12.75">
      <c r="C183" s="2"/>
      <c r="E183" s="2"/>
      <c r="F183" s="8"/>
    </row>
    <row r="184" spans="3:6" ht="12.75">
      <c r="C184" s="2"/>
      <c r="E184" s="2"/>
      <c r="F184" s="8"/>
    </row>
    <row r="185" spans="3:6" ht="12.75">
      <c r="C185" s="2"/>
      <c r="E185" s="2"/>
      <c r="F185" s="8"/>
    </row>
    <row r="186" spans="3:5" ht="12.75">
      <c r="C186" s="2"/>
      <c r="E186" s="2"/>
    </row>
    <row r="191" spans="1:6" ht="12.75">
      <c r="A191" s="2"/>
      <c r="D191" s="2"/>
      <c r="F191" s="2"/>
    </row>
    <row r="192" spans="1:1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5:13" ht="12.75">
      <c r="E193" s="12"/>
      <c r="G193" s="2"/>
      <c r="I193" s="2"/>
      <c r="K193" s="2"/>
      <c r="M193" s="12"/>
    </row>
    <row r="194" spans="5:13" ht="12.75">
      <c r="E194" s="12"/>
      <c r="G194" s="2"/>
      <c r="I194" s="2"/>
      <c r="K194" s="2"/>
      <c r="M194" s="12"/>
    </row>
    <row r="197" spans="1:11" ht="12.7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3:5" ht="12.75">
      <c r="C198" s="2"/>
      <c r="E198" s="12"/>
    </row>
    <row r="199" spans="3:5" ht="12.75">
      <c r="C199" s="2"/>
      <c r="E199" s="12"/>
    </row>
    <row r="200" spans="3:5" ht="12.75">
      <c r="C200" s="2"/>
      <c r="E200" s="12"/>
    </row>
    <row r="201" spans="3:5" ht="12.75">
      <c r="C201" s="2"/>
      <c r="E201" s="12"/>
    </row>
    <row r="202" spans="3:5" ht="12.75">
      <c r="C202" s="2"/>
      <c r="E202" s="12"/>
    </row>
    <row r="203" spans="3:5" ht="12.75">
      <c r="C203" s="2"/>
      <c r="E203" s="1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spans="1:11" ht="12.75">
      <c r="A209" s="2"/>
      <c r="B209" s="2"/>
      <c r="C209" s="2"/>
      <c r="D209" s="3"/>
      <c r="E209" s="3"/>
      <c r="F209" s="3"/>
      <c r="G209" s="3"/>
      <c r="H209" s="3"/>
      <c r="I209" s="3"/>
      <c r="J209" s="3"/>
      <c r="K209" s="3"/>
    </row>
    <row r="210" spans="3:4" ht="12.75">
      <c r="C210" s="2"/>
      <c r="D210" s="12"/>
    </row>
    <row r="211" spans="3:4" ht="12.75">
      <c r="C211" s="2"/>
      <c r="D211" s="12"/>
    </row>
    <row r="212" spans="3:4" ht="12.75">
      <c r="C212" s="2"/>
      <c r="D212" s="12"/>
    </row>
    <row r="213" spans="3:4" ht="12.75">
      <c r="C213" s="2"/>
      <c r="D213" s="12"/>
    </row>
    <row r="214" spans="3:4" ht="12.75">
      <c r="C214" s="2"/>
      <c r="D214" s="12"/>
    </row>
    <row r="215" spans="3:4" ht="12.75">
      <c r="C215" s="2"/>
      <c r="D215" s="12"/>
    </row>
    <row r="216" ht="12.75">
      <c r="C216" s="2"/>
    </row>
    <row r="217" ht="12.75">
      <c r="C217" s="2"/>
    </row>
    <row r="218" ht="12.75">
      <c r="C218" s="2"/>
    </row>
    <row r="219" spans="2:9" ht="12.75">
      <c r="B219" s="3"/>
      <c r="C219" s="2"/>
      <c r="D219" s="3"/>
      <c r="E219" s="3"/>
      <c r="F219" s="3"/>
      <c r="G219" s="3"/>
      <c r="H219" s="3"/>
      <c r="I219" s="3"/>
    </row>
    <row r="220" spans="3:4" ht="12.75">
      <c r="C220" s="2"/>
      <c r="D220" s="12"/>
    </row>
    <row r="221" ht="12.75">
      <c r="C221" s="2"/>
    </row>
    <row r="222" spans="3:8" ht="12.75">
      <c r="C222" s="2"/>
      <c r="H222" s="5"/>
    </row>
    <row r="223" spans="2:9" ht="12.75">
      <c r="B223" s="3"/>
      <c r="C223" s="3"/>
      <c r="D223" s="3"/>
      <c r="E223" s="3"/>
      <c r="F223" s="3"/>
      <c r="G223" s="3"/>
      <c r="H223" s="3"/>
      <c r="I223" s="3"/>
    </row>
    <row r="224" ht="12.75">
      <c r="H224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Y161"/>
  <sheetViews>
    <sheetView zoomScalePageLayoutView="0" workbookViewId="0" topLeftCell="A81">
      <selection activeCell="M161" sqref="M161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107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23</v>
      </c>
      <c r="H6" s="1" t="s">
        <v>29</v>
      </c>
      <c r="M6" s="2">
        <f>M7+M8+M9</f>
        <v>23</v>
      </c>
    </row>
    <row r="7" spans="1:13" ht="12.75">
      <c r="A7" s="1" t="s">
        <v>103</v>
      </c>
      <c r="D7" s="2">
        <v>8</v>
      </c>
      <c r="H7" s="1" t="s">
        <v>103</v>
      </c>
      <c r="M7" s="2">
        <v>13</v>
      </c>
    </row>
    <row r="8" spans="1:13" ht="12.75">
      <c r="A8" s="1" t="s">
        <v>105</v>
      </c>
      <c r="D8" s="2">
        <v>13</v>
      </c>
      <c r="H8" s="1" t="s">
        <v>105</v>
      </c>
      <c r="M8" s="2">
        <v>9</v>
      </c>
    </row>
    <row r="9" spans="1:13" ht="12.75">
      <c r="A9" s="1" t="s">
        <v>104</v>
      </c>
      <c r="D9" s="2">
        <v>2</v>
      </c>
      <c r="H9" s="1" t="s">
        <v>104</v>
      </c>
      <c r="M9" s="2">
        <v>1</v>
      </c>
    </row>
    <row r="11" spans="1:23" ht="12.75">
      <c r="A11" t="s">
        <v>1</v>
      </c>
      <c r="D11" s="2">
        <v>21</v>
      </c>
      <c r="H11" t="s">
        <v>1</v>
      </c>
      <c r="M11" s="2">
        <v>37</v>
      </c>
      <c r="V11">
        <f>+D11</f>
        <v>21</v>
      </c>
      <c r="W11">
        <f>+M11</f>
        <v>37</v>
      </c>
    </row>
    <row r="12" spans="1:23" ht="12.75">
      <c r="A12" t="s">
        <v>2</v>
      </c>
      <c r="D12" s="2">
        <v>131</v>
      </c>
      <c r="H12" t="s">
        <v>2</v>
      </c>
      <c r="M12" s="2">
        <v>196</v>
      </c>
      <c r="U12" s="13"/>
      <c r="V12">
        <f>+D16</f>
        <v>20</v>
      </c>
      <c r="W12">
        <f>+M16</f>
        <v>16</v>
      </c>
    </row>
    <row r="13" spans="1:23" ht="12.75">
      <c r="A13" s="1" t="s">
        <v>3</v>
      </c>
      <c r="D13" s="8">
        <f>+D12/D11</f>
        <v>6.238095238095238</v>
      </c>
      <c r="H13" s="1" t="s">
        <v>3</v>
      </c>
      <c r="M13" s="8">
        <f>+M12/M11</f>
        <v>5.297297297297297</v>
      </c>
      <c r="V13">
        <f>+(D15-D16)/2</f>
        <v>7.5</v>
      </c>
      <c r="W13">
        <f>+(M15-M16)/2</f>
        <v>9</v>
      </c>
    </row>
    <row r="14" spans="22:23" ht="12.75">
      <c r="V14">
        <f>+D38/2</f>
        <v>2</v>
      </c>
      <c r="W14">
        <f>+M38/2</f>
        <v>2</v>
      </c>
    </row>
    <row r="15" spans="1:23" ht="12.75">
      <c r="A15" t="s">
        <v>4</v>
      </c>
      <c r="D15" s="2">
        <v>35</v>
      </c>
      <c r="H15" t="s">
        <v>4</v>
      </c>
      <c r="M15" s="2">
        <v>34</v>
      </c>
      <c r="V15">
        <f>+D42/2</f>
        <v>0.5</v>
      </c>
      <c r="W15">
        <f>+M42/2</f>
        <v>0.5</v>
      </c>
    </row>
    <row r="16" spans="1:23" ht="12.75">
      <c r="A16" t="s">
        <v>5</v>
      </c>
      <c r="D16" s="2">
        <v>20</v>
      </c>
      <c r="H16" t="s">
        <v>5</v>
      </c>
      <c r="M16" s="2">
        <v>16</v>
      </c>
      <c r="V16">
        <f>+D48/2</f>
        <v>2</v>
      </c>
      <c r="W16">
        <f>+M48/2</f>
        <v>2.5</v>
      </c>
    </row>
    <row r="17" spans="1:13" ht="12.75">
      <c r="A17" t="s">
        <v>6</v>
      </c>
      <c r="D17" s="8">
        <f>+D16/D15*100</f>
        <v>57.14285714285714</v>
      </c>
      <c r="H17" t="s">
        <v>6</v>
      </c>
      <c r="M17" s="8">
        <f>+M16/M15*100</f>
        <v>47.05882352941176</v>
      </c>
    </row>
    <row r="18" spans="1:24" ht="12.75">
      <c r="A18" t="s">
        <v>7</v>
      </c>
      <c r="D18" s="2">
        <v>254</v>
      </c>
      <c r="H18" t="s">
        <v>7</v>
      </c>
      <c r="M18" s="2">
        <v>234</v>
      </c>
      <c r="V18">
        <f>SUM(V11:V16)</f>
        <v>53</v>
      </c>
      <c r="W18">
        <f>SUM(W11:W16)</f>
        <v>67</v>
      </c>
      <c r="X18">
        <f>+W18+V18</f>
        <v>120</v>
      </c>
    </row>
    <row r="19" spans="1:23" ht="12.75">
      <c r="A19" t="s">
        <v>8</v>
      </c>
      <c r="D19" s="2">
        <v>4</v>
      </c>
      <c r="H19" t="s">
        <v>8</v>
      </c>
      <c r="M19" s="2">
        <v>1</v>
      </c>
      <c r="V19">
        <f>+V18/X18</f>
        <v>0.44166666666666665</v>
      </c>
      <c r="W19">
        <f>+W18/X18</f>
        <v>0.5583333333333333</v>
      </c>
    </row>
    <row r="20" spans="1:23" ht="12.75">
      <c r="A20" t="s">
        <v>9</v>
      </c>
      <c r="D20" s="2">
        <v>37</v>
      </c>
      <c r="H20" t="s">
        <v>9</v>
      </c>
      <c r="M20" s="2">
        <v>13</v>
      </c>
      <c r="V20">
        <f>+V19*60</f>
        <v>26.5</v>
      </c>
      <c r="W20">
        <f>+W19*60</f>
        <v>33.5</v>
      </c>
    </row>
    <row r="21" spans="1:23" ht="12.75">
      <c r="A21" t="s">
        <v>10</v>
      </c>
      <c r="D21">
        <f>+D18-D20</f>
        <v>217</v>
      </c>
      <c r="H21" t="s">
        <v>10</v>
      </c>
      <c r="M21">
        <f>+M18-M20</f>
        <v>221</v>
      </c>
      <c r="V21">
        <f>+V20-INT(V20)</f>
        <v>0.5</v>
      </c>
      <c r="W21">
        <f>+W20-INT(W20)</f>
        <v>0.5</v>
      </c>
    </row>
    <row r="22" spans="1:23" ht="12.75">
      <c r="A22" t="s">
        <v>11</v>
      </c>
      <c r="D22" s="7">
        <f>+D21/(D15+D19)</f>
        <v>5.564102564102564</v>
      </c>
      <c r="H22" t="s">
        <v>11</v>
      </c>
      <c r="M22" s="7">
        <f>+M21/(M15+M19)</f>
        <v>6.314285714285714</v>
      </c>
      <c r="V22">
        <f>+V21*60</f>
        <v>30</v>
      </c>
      <c r="W22">
        <f>+W21*60</f>
        <v>30</v>
      </c>
    </row>
    <row r="23" spans="1:23" ht="12.75">
      <c r="A23" t="s">
        <v>12</v>
      </c>
      <c r="D23" s="7">
        <f>+D18/D16</f>
        <v>12.7</v>
      </c>
      <c r="H23" t="s">
        <v>12</v>
      </c>
      <c r="M23" s="7">
        <f>+M18/M16</f>
        <v>14.625</v>
      </c>
      <c r="U23">
        <v>0</v>
      </c>
      <c r="V23" s="11">
        <f>ROUND(V22,0)</f>
        <v>30</v>
      </c>
      <c r="W23">
        <f>ROUND(W22,0)</f>
        <v>30</v>
      </c>
    </row>
    <row r="24" spans="22:23" ht="12.75">
      <c r="V24">
        <f>INT(V20)</f>
        <v>26</v>
      </c>
      <c r="W24">
        <f>INT(W20)</f>
        <v>33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348</v>
      </c>
      <c r="H26" t="s">
        <v>14</v>
      </c>
      <c r="M26">
        <f>+M21+M12</f>
        <v>417</v>
      </c>
      <c r="V26" s="14" t="str">
        <f>+V24&amp;V25&amp;V23</f>
        <v>26:30</v>
      </c>
      <c r="W26" s="9" t="str">
        <f>+W24&amp;W25&amp;W23</f>
        <v>33:30</v>
      </c>
    </row>
    <row r="27" spans="1:23" ht="12.75">
      <c r="A27" t="s">
        <v>15</v>
      </c>
      <c r="D27" s="7">
        <f>+D12/D26*100</f>
        <v>37.64367816091954</v>
      </c>
      <c r="H27" t="s">
        <v>15</v>
      </c>
      <c r="M27" s="7">
        <f>+M12/M26*100</f>
        <v>47.00239808153477</v>
      </c>
      <c r="V27" s="9" t="str">
        <f>IF(V23&lt;10,+V24&amp;V25&amp;$U$23&amp;V23,+V24&amp;V25&amp;V23)</f>
        <v>26:30</v>
      </c>
      <c r="W27" s="9" t="str">
        <f>IF(W23&lt;10,+W24&amp;W25&amp;$U$23&amp;W23,+W24&amp;W25&amp;W23)</f>
        <v>33:30</v>
      </c>
    </row>
    <row r="28" spans="1:13" ht="12.75">
      <c r="A28" s="1" t="s">
        <v>86</v>
      </c>
      <c r="D28" s="7">
        <f>+D21/D26*100</f>
        <v>62.356321839080465</v>
      </c>
      <c r="H28" s="1" t="s">
        <v>86</v>
      </c>
      <c r="M28" s="7">
        <f>+M21/M26*100</f>
        <v>52.99760191846523</v>
      </c>
    </row>
    <row r="30" spans="1:13" ht="12.75">
      <c r="A30" t="s">
        <v>16</v>
      </c>
      <c r="D30">
        <f>+D11+D15+D19</f>
        <v>60</v>
      </c>
      <c r="H30" t="s">
        <v>16</v>
      </c>
      <c r="M30">
        <f>+M11+M15+M19</f>
        <v>72</v>
      </c>
    </row>
    <row r="31" spans="1:13" ht="12.75">
      <c r="A31" t="s">
        <v>17</v>
      </c>
      <c r="D31" s="8">
        <f>+D26/D30</f>
        <v>5.8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5.791666666666667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1</v>
      </c>
      <c r="H34" t="s">
        <v>19</v>
      </c>
      <c r="M34" s="2">
        <v>0</v>
      </c>
    </row>
    <row r="35" spans="1:13" ht="12.75">
      <c r="A35" t="s">
        <v>20</v>
      </c>
      <c r="D35" s="2">
        <v>25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4</v>
      </c>
      <c r="H38" t="s">
        <v>22</v>
      </c>
      <c r="M38" s="2">
        <v>4</v>
      </c>
    </row>
    <row r="39" spans="1:13" ht="12.75">
      <c r="A39" t="s">
        <v>23</v>
      </c>
      <c r="D39" s="2">
        <v>146</v>
      </c>
      <c r="H39" t="s">
        <v>23</v>
      </c>
      <c r="M39" s="2">
        <v>173</v>
      </c>
    </row>
    <row r="40" spans="1:13" ht="12.75">
      <c r="A40" t="s">
        <v>24</v>
      </c>
      <c r="D40" s="8">
        <f>+D39/D38</f>
        <v>36.5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43.25</v>
      </c>
    </row>
    <row r="42" spans="1:13" ht="12.75">
      <c r="A42" t="s">
        <v>25</v>
      </c>
      <c r="D42" s="2">
        <v>1</v>
      </c>
      <c r="H42" t="s">
        <v>25</v>
      </c>
      <c r="M42" s="2">
        <v>1</v>
      </c>
    </row>
    <row r="43" spans="1:13" ht="12.75">
      <c r="A43" t="s">
        <v>26</v>
      </c>
      <c r="D43" s="2">
        <v>14</v>
      </c>
      <c r="H43" t="s">
        <v>26</v>
      </c>
      <c r="M43" s="2">
        <v>0</v>
      </c>
    </row>
    <row r="44" spans="1:13" ht="12.75">
      <c r="A44" t="s">
        <v>27</v>
      </c>
      <c r="D44" s="8">
        <f>+D43/D42</f>
        <v>14</v>
      </c>
      <c r="H44" t="s">
        <v>27</v>
      </c>
      <c r="M44" s="8">
        <v>0</v>
      </c>
    </row>
    <row r="45" spans="1:13" ht="12.75">
      <c r="A45" t="s">
        <v>108</v>
      </c>
      <c r="D45" s="2">
        <v>3</v>
      </c>
      <c r="H45" t="s">
        <v>108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4</v>
      </c>
      <c r="H48" t="s">
        <v>30</v>
      </c>
      <c r="M48" s="2">
        <v>5</v>
      </c>
    </row>
    <row r="49" spans="1:13" ht="12.75">
      <c r="A49" t="s">
        <v>26</v>
      </c>
      <c r="D49" s="2">
        <v>103</v>
      </c>
      <c r="H49" t="s">
        <v>26</v>
      </c>
      <c r="M49" s="2">
        <v>89</v>
      </c>
    </row>
    <row r="50" spans="1:13" ht="12.75">
      <c r="A50" t="s">
        <v>27</v>
      </c>
      <c r="D50" s="8">
        <f>+D49/D48</f>
        <v>25.75</v>
      </c>
      <c r="H50" t="s">
        <v>27</v>
      </c>
      <c r="M50" s="8">
        <f>+M49/M48</f>
        <v>17.8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6</v>
      </c>
      <c r="H53" t="s">
        <v>31</v>
      </c>
      <c r="M53" s="2">
        <v>6</v>
      </c>
    </row>
    <row r="54" spans="1:13" ht="12.75">
      <c r="A54" t="s">
        <v>32</v>
      </c>
      <c r="D54" s="2">
        <v>58</v>
      </c>
      <c r="H54" t="s">
        <v>32</v>
      </c>
      <c r="M54" s="2">
        <v>37</v>
      </c>
    </row>
    <row r="56" spans="1:13" ht="12.75">
      <c r="A56" t="s">
        <v>33</v>
      </c>
      <c r="D56" s="2">
        <v>2</v>
      </c>
      <c r="H56" t="s">
        <v>33</v>
      </c>
      <c r="M56" s="2">
        <v>4</v>
      </c>
    </row>
    <row r="57" spans="1:13" ht="12.75">
      <c r="A57" t="s">
        <v>101</v>
      </c>
      <c r="D57" s="2">
        <v>1</v>
      </c>
      <c r="H57" t="s">
        <v>101</v>
      </c>
      <c r="M57" s="2">
        <v>2</v>
      </c>
    </row>
    <row r="59" spans="1:13" ht="12.75">
      <c r="A59" t="s">
        <v>34</v>
      </c>
      <c r="D59" s="2">
        <v>23</v>
      </c>
      <c r="H59" t="s">
        <v>34</v>
      </c>
      <c r="M59" s="2">
        <v>27</v>
      </c>
    </row>
    <row r="60" spans="1:13" ht="12.75">
      <c r="A60" t="s">
        <v>35</v>
      </c>
      <c r="D60" s="2">
        <v>2</v>
      </c>
      <c r="H60" t="s">
        <v>35</v>
      </c>
      <c r="M60" s="2">
        <v>3</v>
      </c>
    </row>
    <row r="61" spans="1:13" ht="12.75">
      <c r="A61" t="s">
        <v>36</v>
      </c>
      <c r="D61" s="2">
        <v>0</v>
      </c>
      <c r="H61" t="s">
        <v>36</v>
      </c>
      <c r="M61" s="2">
        <v>0</v>
      </c>
    </row>
    <row r="62" spans="1:13" ht="12.75">
      <c r="A62" t="s">
        <v>37</v>
      </c>
      <c r="D62" s="2">
        <v>2</v>
      </c>
      <c r="H62" t="s">
        <v>37</v>
      </c>
      <c r="M62" s="2">
        <v>2</v>
      </c>
    </row>
    <row r="63" spans="1:13" ht="12.75">
      <c r="A63" t="s">
        <v>38</v>
      </c>
      <c r="D63" s="2">
        <v>0</v>
      </c>
      <c r="H63" t="s">
        <v>38</v>
      </c>
      <c r="M63" s="2">
        <v>1</v>
      </c>
    </row>
    <row r="64" spans="1:13" ht="12.75">
      <c r="A64" t="s">
        <v>39</v>
      </c>
      <c r="D64" s="2">
        <v>2</v>
      </c>
      <c r="H64" t="s">
        <v>39</v>
      </c>
      <c r="M64" s="2">
        <v>3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3</v>
      </c>
      <c r="H66" t="s">
        <v>41</v>
      </c>
      <c r="M66" s="2">
        <v>2</v>
      </c>
    </row>
    <row r="67" spans="1:13" ht="12.75">
      <c r="A67" t="s">
        <v>42</v>
      </c>
      <c r="D67" s="2">
        <v>3</v>
      </c>
      <c r="H67" t="s">
        <v>42</v>
      </c>
      <c r="M67" s="2">
        <v>2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92</v>
      </c>
      <c r="D69" s="10" t="str">
        <f>IF(V23&lt;10,V27,V26)</f>
        <v>26:30</v>
      </c>
      <c r="E69" s="8"/>
      <c r="F69" s="8"/>
      <c r="H69" t="s">
        <v>92</v>
      </c>
      <c r="M69" s="10" t="str">
        <f>IF(W23&lt;10,W27,W26)</f>
        <v>33:30</v>
      </c>
    </row>
    <row r="70" spans="1:13" ht="12.75">
      <c r="A70" t="s">
        <v>102</v>
      </c>
      <c r="D70" s="23">
        <f>D161</f>
        <v>20</v>
      </c>
      <c r="E70" s="8"/>
      <c r="F70" s="8"/>
      <c r="H70" t="s">
        <v>102</v>
      </c>
      <c r="M70" s="23">
        <f>M161</f>
        <v>41.66666666666667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11</v>
      </c>
      <c r="D74">
        <v>84</v>
      </c>
      <c r="E74" s="12">
        <f aca="true" t="shared" si="0" ref="E74:E83">+D74/C74</f>
        <v>7.636363636363637</v>
      </c>
      <c r="F74">
        <v>16</v>
      </c>
      <c r="G74">
        <v>0</v>
      </c>
      <c r="H74">
        <v>1</v>
      </c>
    </row>
    <row r="75" spans="1:8" ht="12.75">
      <c r="A75" t="s">
        <v>110</v>
      </c>
      <c r="C75">
        <v>10</v>
      </c>
      <c r="D75">
        <v>47</v>
      </c>
      <c r="E75" s="12">
        <f t="shared" si="0"/>
        <v>4.7</v>
      </c>
      <c r="F75">
        <v>18</v>
      </c>
      <c r="G75">
        <v>0</v>
      </c>
      <c r="H75">
        <v>0</v>
      </c>
    </row>
    <row r="76" spans="1:5" ht="12.75">
      <c r="A76" t="s">
        <v>111</v>
      </c>
      <c r="E76" s="12" t="e">
        <f t="shared" si="0"/>
        <v>#DIV/0!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ht="12.75">
      <c r="E84" s="8"/>
    </row>
    <row r="85" spans="1:8" ht="12.75">
      <c r="A85" s="2" t="s">
        <v>52</v>
      </c>
      <c r="C85" s="3" t="s">
        <v>53</v>
      </c>
      <c r="D85" s="3" t="s">
        <v>48</v>
      </c>
      <c r="E85" s="15" t="s">
        <v>49</v>
      </c>
      <c r="F85" s="3" t="s">
        <v>50</v>
      </c>
      <c r="G85" s="3" t="s">
        <v>51</v>
      </c>
      <c r="H85" s="3" t="s">
        <v>80</v>
      </c>
    </row>
    <row r="86" spans="1:8" ht="12.75">
      <c r="A86" t="s">
        <v>109</v>
      </c>
      <c r="C86">
        <v>5</v>
      </c>
      <c r="D86">
        <v>51</v>
      </c>
      <c r="E86" s="12">
        <f aca="true" t="shared" si="1" ref="E86:E99">+D86/C86</f>
        <v>10.2</v>
      </c>
      <c r="F86">
        <v>17</v>
      </c>
      <c r="G86">
        <v>1</v>
      </c>
      <c r="H86">
        <v>0</v>
      </c>
    </row>
    <row r="87" spans="1:8" ht="12.75">
      <c r="A87" t="s">
        <v>118</v>
      </c>
      <c r="C87">
        <v>1</v>
      </c>
      <c r="D87">
        <v>16</v>
      </c>
      <c r="E87" s="12">
        <f t="shared" si="1"/>
        <v>16</v>
      </c>
      <c r="F87">
        <v>16</v>
      </c>
      <c r="G87">
        <v>0</v>
      </c>
      <c r="H87">
        <v>0</v>
      </c>
    </row>
    <row r="88" spans="1:8" ht="12.75">
      <c r="A88" t="s">
        <v>119</v>
      </c>
      <c r="C88">
        <v>6</v>
      </c>
      <c r="D88">
        <v>102</v>
      </c>
      <c r="E88" s="12">
        <f t="shared" si="1"/>
        <v>17</v>
      </c>
      <c r="F88">
        <v>32</v>
      </c>
      <c r="G88">
        <v>1</v>
      </c>
      <c r="H88">
        <v>0</v>
      </c>
    </row>
    <row r="89" spans="1:8" ht="12.75">
      <c r="A89" t="s">
        <v>120</v>
      </c>
      <c r="C89">
        <v>4</v>
      </c>
      <c r="D89">
        <v>46</v>
      </c>
      <c r="E89" s="12">
        <f t="shared" si="1"/>
        <v>11.5</v>
      </c>
      <c r="F89">
        <v>19</v>
      </c>
      <c r="G89">
        <v>0</v>
      </c>
      <c r="H89">
        <v>0</v>
      </c>
    </row>
    <row r="90" spans="1:5" ht="12.75">
      <c r="A90" t="s">
        <v>121</v>
      </c>
      <c r="E90" s="12" t="e">
        <f t="shared" si="1"/>
        <v>#DIV/0!</v>
      </c>
    </row>
    <row r="91" spans="1:8" ht="12.75">
      <c r="A91" t="s">
        <v>110</v>
      </c>
      <c r="C91">
        <v>3</v>
      </c>
      <c r="D91">
        <v>25</v>
      </c>
      <c r="E91" s="12">
        <f t="shared" si="1"/>
        <v>8.333333333333334</v>
      </c>
      <c r="F91">
        <v>12</v>
      </c>
      <c r="G91">
        <v>0</v>
      </c>
      <c r="H91">
        <v>0</v>
      </c>
    </row>
    <row r="92" spans="1:8" ht="12.75">
      <c r="A92" t="s">
        <v>122</v>
      </c>
      <c r="C92">
        <v>1</v>
      </c>
      <c r="D92">
        <v>14</v>
      </c>
      <c r="E92" s="12">
        <f t="shared" si="1"/>
        <v>14</v>
      </c>
      <c r="F92">
        <v>14</v>
      </c>
      <c r="G92">
        <v>0</v>
      </c>
      <c r="H92">
        <v>0</v>
      </c>
    </row>
    <row r="93" spans="1:5" ht="12.75">
      <c r="A93" t="s">
        <v>123</v>
      </c>
      <c r="E93" s="12" t="e">
        <f t="shared" si="1"/>
        <v>#DIV/0!</v>
      </c>
    </row>
    <row r="94" spans="1:5" ht="12.75">
      <c r="A94" t="s">
        <v>114</v>
      </c>
      <c r="E94" s="12" t="e">
        <f t="shared" si="1"/>
        <v>#DIV/0!</v>
      </c>
    </row>
    <row r="95" spans="1:5" ht="12.75">
      <c r="A95" t="s">
        <v>124</v>
      </c>
      <c r="E95" s="12" t="e">
        <f t="shared" si="1"/>
        <v>#DIV/0!</v>
      </c>
    </row>
    <row r="96" spans="1:5" ht="12.75">
      <c r="A96" t="s">
        <v>125</v>
      </c>
      <c r="E96" s="12" t="e">
        <f t="shared" si="1"/>
        <v>#DIV/0!</v>
      </c>
    </row>
    <row r="97" spans="1:5" ht="12.75">
      <c r="A97" t="s">
        <v>112</v>
      </c>
      <c r="E97" s="12" t="e">
        <f t="shared" si="1"/>
        <v>#DIV/0!</v>
      </c>
    </row>
    <row r="98" spans="1:5" ht="12.75">
      <c r="A98" t="s">
        <v>126</v>
      </c>
      <c r="E98" s="12" t="e">
        <f t="shared" si="1"/>
        <v>#DIV/0!</v>
      </c>
    </row>
    <row r="99" spans="1:5" ht="12.75">
      <c r="A99" t="s">
        <v>127</v>
      </c>
      <c r="E99" s="12" t="e">
        <f t="shared" si="1"/>
        <v>#DIV/0!</v>
      </c>
    </row>
    <row r="100" ht="12.75">
      <c r="E100" s="8"/>
    </row>
    <row r="101" spans="1:13" ht="12.75">
      <c r="A101" s="2"/>
      <c r="B101" s="2"/>
      <c r="C101" s="3"/>
      <c r="D101" s="3"/>
      <c r="E101" s="15" t="s">
        <v>57</v>
      </c>
      <c r="F101" s="3" t="s">
        <v>58</v>
      </c>
      <c r="G101" s="3"/>
      <c r="H101" s="3"/>
      <c r="I101" s="3" t="s">
        <v>61</v>
      </c>
      <c r="J101" s="3" t="s">
        <v>63</v>
      </c>
      <c r="K101" s="3" t="s">
        <v>57</v>
      </c>
      <c r="L101" s="3" t="s">
        <v>49</v>
      </c>
      <c r="M101" s="3"/>
    </row>
    <row r="102" spans="1:14" ht="12.75">
      <c r="A102" s="2" t="s">
        <v>54</v>
      </c>
      <c r="B102" s="2"/>
      <c r="C102" s="3" t="s">
        <v>55</v>
      </c>
      <c r="D102" s="3" t="s">
        <v>56</v>
      </c>
      <c r="E102" s="15" t="s">
        <v>56</v>
      </c>
      <c r="F102" s="3" t="s">
        <v>59</v>
      </c>
      <c r="G102" s="3" t="s">
        <v>51</v>
      </c>
      <c r="H102" s="3" t="s">
        <v>60</v>
      </c>
      <c r="I102" s="5" t="s">
        <v>62</v>
      </c>
      <c r="J102" s="3" t="s">
        <v>51</v>
      </c>
      <c r="K102" s="3" t="s">
        <v>64</v>
      </c>
      <c r="L102" s="3" t="s">
        <v>65</v>
      </c>
      <c r="M102" s="3" t="s">
        <v>66</v>
      </c>
      <c r="N102" s="3" t="s">
        <v>80</v>
      </c>
    </row>
    <row r="103" spans="1:25" ht="12.75">
      <c r="A103" t="s">
        <v>115</v>
      </c>
      <c r="C103">
        <v>23</v>
      </c>
      <c r="D103">
        <v>15</v>
      </c>
      <c r="E103" s="12">
        <f>+D103/C103*100</f>
        <v>65.21739130434783</v>
      </c>
      <c r="F103">
        <v>181</v>
      </c>
      <c r="G103">
        <v>2</v>
      </c>
      <c r="H103">
        <v>26</v>
      </c>
      <c r="I103">
        <v>0</v>
      </c>
      <c r="J103" s="8">
        <f>+G103/C103*100</f>
        <v>8.695652173913043</v>
      </c>
      <c r="K103" s="12">
        <f>+I103/C103*100</f>
        <v>0</v>
      </c>
      <c r="L103" s="12">
        <f>+F103/C103</f>
        <v>7.869565217391305</v>
      </c>
      <c r="M103" s="12">
        <f>100*(S103+U103+W103+Y103)/6</f>
        <v>118.20652173913044</v>
      </c>
      <c r="R103">
        <f>+(E103-30)/20</f>
        <v>1.7608695652173914</v>
      </c>
      <c r="S103" s="2">
        <f>IF(R103&lt;0,0,IF(R103&gt;2.375,2.375,R103))</f>
        <v>1.7608695652173914</v>
      </c>
      <c r="T103" s="6">
        <f>+(L103-3)/4</f>
        <v>1.2173913043478262</v>
      </c>
      <c r="U103" s="2">
        <f>IF(T103&lt;0,0,IF(T103&gt;2.375,2.375,T103))</f>
        <v>1.2173913043478262</v>
      </c>
      <c r="V103">
        <f>+J103/5</f>
        <v>1.7391304347826086</v>
      </c>
      <c r="W103" s="2">
        <f>IF(V103&lt;0,0,IF(V103&gt;2.375,2.375,V103))</f>
        <v>1.7391304347826086</v>
      </c>
      <c r="X103">
        <f>(9.5-K103)/4</f>
        <v>2.375</v>
      </c>
      <c r="Y103" s="2">
        <f>IF(X103&lt;0,0,X103)</f>
        <v>2.375</v>
      </c>
    </row>
    <row r="104" spans="1:25" ht="12.75">
      <c r="A104" t="s">
        <v>111</v>
      </c>
      <c r="C104">
        <v>11</v>
      </c>
      <c r="D104">
        <v>5</v>
      </c>
      <c r="E104" s="12">
        <f>+D104/C104*100</f>
        <v>45.45454545454545</v>
      </c>
      <c r="F104">
        <v>73</v>
      </c>
      <c r="G104">
        <v>0</v>
      </c>
      <c r="H104">
        <v>32</v>
      </c>
      <c r="I104">
        <v>1</v>
      </c>
      <c r="J104" s="8">
        <f>+G104/C104*100</f>
        <v>0</v>
      </c>
      <c r="K104" s="12">
        <f>+I104/C104*100</f>
        <v>9.090909090909092</v>
      </c>
      <c r="L104" s="12">
        <f>+F104/C104</f>
        <v>6.636363636363637</v>
      </c>
      <c r="M104" s="12">
        <f>100*(S104+U104+W104+Y104)/6</f>
        <v>29.734848484848484</v>
      </c>
      <c r="N104">
        <v>1</v>
      </c>
      <c r="R104">
        <f>+(E104-30)/20</f>
        <v>0.7727272727272727</v>
      </c>
      <c r="S104" s="2">
        <f>IF(R104&lt;0,0,IF(R104&gt;2.375,2.375,R104))</f>
        <v>0.7727272727272727</v>
      </c>
      <c r="T104" s="6">
        <f>+(L104-3)/4</f>
        <v>0.9090909090909092</v>
      </c>
      <c r="U104" s="2">
        <f>IF(T104&lt;0,0,IF(T104&gt;2.375,2.375,T104))</f>
        <v>0.9090909090909092</v>
      </c>
      <c r="V104">
        <f>+J104/5</f>
        <v>0</v>
      </c>
      <c r="W104" s="2">
        <f>IF(V104&lt;0,0,IF(V104&gt;2.375,2.375,V104))</f>
        <v>0</v>
      </c>
      <c r="X104">
        <f>(9.5-K104)/4</f>
        <v>0.10227272727272707</v>
      </c>
      <c r="Y104" s="2">
        <f>IF(X104&lt;0,0,X104)</f>
        <v>0.10227272727272707</v>
      </c>
    </row>
    <row r="105" spans="1:25" ht="12.75">
      <c r="A105" t="s">
        <v>128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109</v>
      </c>
      <c r="C106">
        <v>1</v>
      </c>
      <c r="D106">
        <v>0</v>
      </c>
      <c r="E106" s="12">
        <f>+D106/C106*100</f>
        <v>0</v>
      </c>
      <c r="F106">
        <v>0</v>
      </c>
      <c r="G106">
        <v>0</v>
      </c>
      <c r="H106">
        <v>0</v>
      </c>
      <c r="I106">
        <v>0</v>
      </c>
      <c r="J106" s="8">
        <f>+G106/C106*100</f>
        <v>0</v>
      </c>
      <c r="K106" s="12">
        <f>+I106/C106*100</f>
        <v>0</v>
      </c>
      <c r="L106" s="12">
        <f>+F106/C106</f>
        <v>0</v>
      </c>
      <c r="M106" s="12">
        <f>100*(S106+U106+W106+Y106)/6</f>
        <v>39.583333333333336</v>
      </c>
      <c r="R106">
        <f>+(E106-30)/20</f>
        <v>-1.5</v>
      </c>
      <c r="S106" s="2">
        <f>IF(R106&lt;0,0,IF(R106&gt;2.375,2.375,R106))</f>
        <v>0</v>
      </c>
      <c r="T106" s="6">
        <f>+(L106-3)/4</f>
        <v>-0.75</v>
      </c>
      <c r="U106" s="2">
        <f>IF(T106&lt;0,0,IF(T106&gt;2.375,2.375,T106))</f>
        <v>0</v>
      </c>
      <c r="V106">
        <f>+J106/5</f>
        <v>0</v>
      </c>
      <c r="W106" s="2">
        <f>IF(V106&lt;0,0,IF(V106&gt;2.375,2.375,V106))</f>
        <v>0</v>
      </c>
      <c r="X106">
        <f>(9.5-K106)/4</f>
        <v>2.375</v>
      </c>
      <c r="Y106" s="2">
        <f>IF(X106&lt;0,0,X106)</f>
        <v>2.375</v>
      </c>
    </row>
    <row r="107" spans="1:25" ht="12.75">
      <c r="A107" t="s">
        <v>129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10" spans="1:9" ht="12.75">
      <c r="A110" s="2" t="s">
        <v>67</v>
      </c>
      <c r="C110" s="3" t="s">
        <v>68</v>
      </c>
      <c r="D110" s="3" t="s">
        <v>69</v>
      </c>
      <c r="E110" s="3" t="s">
        <v>70</v>
      </c>
      <c r="F110" s="3" t="s">
        <v>49</v>
      </c>
      <c r="G110" s="3" t="s">
        <v>60</v>
      </c>
      <c r="H110" s="3" t="s">
        <v>51</v>
      </c>
      <c r="I110" s="3" t="s">
        <v>80</v>
      </c>
    </row>
    <row r="111" spans="1:9" ht="12.75">
      <c r="A111" t="s">
        <v>130</v>
      </c>
      <c r="C111">
        <v>1</v>
      </c>
      <c r="D111">
        <v>2</v>
      </c>
      <c r="E111">
        <v>14</v>
      </c>
      <c r="F111" s="12">
        <v>0</v>
      </c>
      <c r="G111">
        <v>14</v>
      </c>
      <c r="H111">
        <v>0</v>
      </c>
      <c r="I111">
        <v>0</v>
      </c>
    </row>
    <row r="112" spans="1:9" ht="12.75">
      <c r="A112" t="s">
        <v>131</v>
      </c>
      <c r="C112">
        <v>0</v>
      </c>
      <c r="D112">
        <v>1</v>
      </c>
      <c r="E112">
        <v>0</v>
      </c>
      <c r="F112" s="12" t="e">
        <f>+E112/C112</f>
        <v>#DIV/0!</v>
      </c>
      <c r="G112">
        <v>0</v>
      </c>
      <c r="H112">
        <v>0</v>
      </c>
      <c r="I112">
        <v>0</v>
      </c>
    </row>
    <row r="113" spans="1:6" ht="12.75">
      <c r="A113" t="s">
        <v>118</v>
      </c>
      <c r="F113" s="12" t="e">
        <f>+E113/C113</f>
        <v>#DIV/0!</v>
      </c>
    </row>
    <row r="114" spans="1:6" ht="12.75">
      <c r="A114" t="s">
        <v>132</v>
      </c>
      <c r="F114" s="12" t="e">
        <f>+E114/C114</f>
        <v>#DIV/0!</v>
      </c>
    </row>
    <row r="115" spans="1:6" ht="12.75">
      <c r="A115" t="s">
        <v>112</v>
      </c>
      <c r="F115" s="12" t="e">
        <f>+E115/C115</f>
        <v>#DIV/0!</v>
      </c>
    </row>
    <row r="117" spans="1:8" ht="12.75">
      <c r="A117" s="2" t="s">
        <v>30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51</v>
      </c>
      <c r="H117" s="3" t="s">
        <v>80</v>
      </c>
    </row>
    <row r="118" spans="1:8" ht="12.75">
      <c r="A118" t="s">
        <v>130</v>
      </c>
      <c r="C118">
        <v>1</v>
      </c>
      <c r="D118">
        <v>18</v>
      </c>
      <c r="E118" s="12">
        <f aca="true" t="shared" si="2" ref="E118:E126">+D118/C118</f>
        <v>18</v>
      </c>
      <c r="F118">
        <v>18</v>
      </c>
      <c r="G118">
        <v>0</v>
      </c>
      <c r="H118">
        <v>0</v>
      </c>
    </row>
    <row r="119" spans="1:8" ht="12.75">
      <c r="A119" t="s">
        <v>112</v>
      </c>
      <c r="C119">
        <v>1</v>
      </c>
      <c r="D119">
        <v>29</v>
      </c>
      <c r="E119" s="12">
        <f t="shared" si="2"/>
        <v>29</v>
      </c>
      <c r="F119">
        <v>29</v>
      </c>
      <c r="G119">
        <v>0</v>
      </c>
      <c r="H119">
        <v>0</v>
      </c>
    </row>
    <row r="120" spans="1:8" ht="12.75">
      <c r="A120" t="s">
        <v>116</v>
      </c>
      <c r="C120">
        <v>1</v>
      </c>
      <c r="D120">
        <v>16</v>
      </c>
      <c r="E120" s="12">
        <f t="shared" si="2"/>
        <v>16</v>
      </c>
      <c r="F120">
        <v>16</v>
      </c>
      <c r="G120">
        <v>0</v>
      </c>
      <c r="H120">
        <v>0</v>
      </c>
    </row>
    <row r="121" spans="1:8" ht="12.75">
      <c r="A121" t="s">
        <v>124</v>
      </c>
      <c r="C121">
        <v>1</v>
      </c>
      <c r="D121">
        <v>40</v>
      </c>
      <c r="E121" s="12">
        <f t="shared" si="2"/>
        <v>40</v>
      </c>
      <c r="F121">
        <v>40</v>
      </c>
      <c r="G121">
        <v>0</v>
      </c>
      <c r="H121">
        <v>0</v>
      </c>
    </row>
    <row r="122" spans="1:5" ht="12.75">
      <c r="A122" t="s">
        <v>122</v>
      </c>
      <c r="E122" s="12" t="e">
        <f t="shared" si="2"/>
        <v>#DIV/0!</v>
      </c>
    </row>
    <row r="123" spans="1:5" ht="12.75">
      <c r="A123" t="s">
        <v>114</v>
      </c>
      <c r="E123" s="12" t="e">
        <f t="shared" si="2"/>
        <v>#DIV/0!</v>
      </c>
    </row>
    <row r="124" spans="1:5" ht="12.75">
      <c r="A124" t="s">
        <v>126</v>
      </c>
      <c r="E124" s="12" t="e">
        <f t="shared" si="2"/>
        <v>#DIV/0!</v>
      </c>
    </row>
    <row r="125" spans="1:5" ht="12.75">
      <c r="A125" t="s">
        <v>127</v>
      </c>
      <c r="E125" s="12" t="e">
        <f t="shared" si="2"/>
        <v>#DIV/0!</v>
      </c>
    </row>
    <row r="126" spans="1:5" ht="12.75">
      <c r="A126" t="s">
        <v>106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129</v>
      </c>
      <c r="C129">
        <v>4</v>
      </c>
      <c r="D129">
        <v>146</v>
      </c>
      <c r="E129" s="12">
        <f>+D129/C129</f>
        <v>36.5</v>
      </c>
      <c r="F129">
        <v>47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133</v>
      </c>
      <c r="C132">
        <v>6</v>
      </c>
      <c r="D132">
        <v>1</v>
      </c>
      <c r="E132">
        <v>2</v>
      </c>
      <c r="F132">
        <v>2</v>
      </c>
      <c r="G132">
        <v>3</v>
      </c>
      <c r="H132">
        <v>3</v>
      </c>
      <c r="I132" s="12">
        <f>+H132/G132*100</f>
        <v>100</v>
      </c>
      <c r="J132">
        <v>35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5" ht="12.75">
      <c r="A135" t="s">
        <v>134</v>
      </c>
      <c r="E135" s="12" t="e">
        <f>+D135/C135</f>
        <v>#DIV/0!</v>
      </c>
    </row>
    <row r="136" spans="1:5" ht="12.75">
      <c r="A136" t="s">
        <v>135</v>
      </c>
      <c r="E136" s="12" t="e">
        <f aca="true" t="shared" si="3" ref="E136:E143">+D136/C136</f>
        <v>#DIV/0!</v>
      </c>
    </row>
    <row r="137" spans="1:5" ht="12.75">
      <c r="A137" t="s">
        <v>130</v>
      </c>
      <c r="E137" s="12" t="e">
        <f t="shared" si="3"/>
        <v>#DIV/0!</v>
      </c>
    </row>
    <row r="138" spans="1:5" ht="12.75">
      <c r="A138" t="s">
        <v>131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137</v>
      </c>
      <c r="E140" s="12" t="e">
        <f t="shared" si="3"/>
        <v>#DIV/0!</v>
      </c>
    </row>
    <row r="141" spans="1:5" ht="12.75">
      <c r="A141" t="s">
        <v>138</v>
      </c>
      <c r="E141" s="12" t="e">
        <f t="shared" si="3"/>
        <v>#DIV/0!</v>
      </c>
    </row>
    <row r="142" spans="1:5" ht="12.75">
      <c r="A142" t="s">
        <v>139</v>
      </c>
      <c r="E142" s="12" t="e">
        <f t="shared" si="3"/>
        <v>#DIV/0!</v>
      </c>
    </row>
    <row r="143" spans="1:5" ht="12.75">
      <c r="A143" t="s">
        <v>140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ht="12.75">
      <c r="A146" t="s">
        <v>117</v>
      </c>
    </row>
    <row r="147" ht="12.75">
      <c r="A147" t="s">
        <v>141</v>
      </c>
    </row>
    <row r="148" ht="12.75">
      <c r="A148" t="s">
        <v>142</v>
      </c>
    </row>
    <row r="149" ht="12.75">
      <c r="A149" t="s">
        <v>143</v>
      </c>
    </row>
    <row r="150" ht="12.75">
      <c r="A150" t="s">
        <v>144</v>
      </c>
    </row>
    <row r="151" spans="1:3" ht="12.75">
      <c r="A151" t="s">
        <v>145</v>
      </c>
      <c r="C151">
        <v>1</v>
      </c>
    </row>
    <row r="152" ht="12.75">
      <c r="A152" t="s">
        <v>140</v>
      </c>
    </row>
    <row r="153" ht="12.75">
      <c r="A153" t="s">
        <v>146</v>
      </c>
    </row>
    <row r="154" ht="12.75">
      <c r="A154" t="s">
        <v>138</v>
      </c>
    </row>
    <row r="155" ht="12.75">
      <c r="A155" t="s">
        <v>139</v>
      </c>
    </row>
    <row r="156" ht="12.75">
      <c r="A156" t="s">
        <v>147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10</v>
      </c>
      <c r="H159" t="s">
        <v>93</v>
      </c>
      <c r="M159">
        <v>12</v>
      </c>
    </row>
    <row r="160" spans="1:13" ht="12.75">
      <c r="A160" t="s">
        <v>94</v>
      </c>
      <c r="D160">
        <v>2</v>
      </c>
      <c r="H160" t="s">
        <v>94</v>
      </c>
      <c r="M160">
        <v>5</v>
      </c>
    </row>
    <row r="161" spans="1:13" ht="12.75">
      <c r="A161" t="s">
        <v>95</v>
      </c>
      <c r="D161" s="8">
        <f>D160/D159*100</f>
        <v>20</v>
      </c>
      <c r="H161" t="s">
        <v>95</v>
      </c>
      <c r="M161">
        <f>+M160/M159*100</f>
        <v>41.66666666666667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3"/>
  </sheetPr>
  <dimension ref="A1:Y161"/>
  <sheetViews>
    <sheetView zoomScalePageLayoutView="0" workbookViewId="0" topLeftCell="A75">
      <selection activeCell="U67" sqref="U67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107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24</v>
      </c>
      <c r="H6" s="1" t="s">
        <v>29</v>
      </c>
      <c r="M6" s="2">
        <f>M7+M8+M9</f>
        <v>14</v>
      </c>
    </row>
    <row r="7" spans="1:13" ht="12.75">
      <c r="A7" s="1" t="s">
        <v>103</v>
      </c>
      <c r="D7" s="2">
        <v>10</v>
      </c>
      <c r="H7" s="1" t="s">
        <v>103</v>
      </c>
      <c r="M7" s="2">
        <v>8</v>
      </c>
    </row>
    <row r="8" spans="1:13" ht="12.75">
      <c r="A8" s="1" t="s">
        <v>105</v>
      </c>
      <c r="D8" s="2">
        <v>13</v>
      </c>
      <c r="H8" s="1" t="s">
        <v>105</v>
      </c>
      <c r="M8" s="2">
        <v>4</v>
      </c>
    </row>
    <row r="9" spans="1:13" ht="12.75">
      <c r="A9" s="1" t="s">
        <v>104</v>
      </c>
      <c r="D9" s="2">
        <v>1</v>
      </c>
      <c r="H9" s="1" t="s">
        <v>104</v>
      </c>
      <c r="M9" s="2">
        <v>2</v>
      </c>
    </row>
    <row r="11" spans="1:23" ht="12.75">
      <c r="A11" t="s">
        <v>1</v>
      </c>
      <c r="D11" s="2">
        <v>35</v>
      </c>
      <c r="H11" t="s">
        <v>1</v>
      </c>
      <c r="M11" s="2">
        <v>24</v>
      </c>
      <c r="V11">
        <f>+D11</f>
        <v>35</v>
      </c>
      <c r="W11">
        <f>+M11</f>
        <v>24</v>
      </c>
    </row>
    <row r="12" spans="1:23" ht="12.75">
      <c r="A12" t="s">
        <v>2</v>
      </c>
      <c r="D12" s="2">
        <v>169</v>
      </c>
      <c r="H12" t="s">
        <v>2</v>
      </c>
      <c r="M12" s="2">
        <v>96</v>
      </c>
      <c r="U12" s="13"/>
      <c r="V12">
        <f>+D16</f>
        <v>20</v>
      </c>
      <c r="W12">
        <f>+M16</f>
        <v>17</v>
      </c>
    </row>
    <row r="13" spans="1:23" ht="12.75">
      <c r="A13" s="1" t="s">
        <v>3</v>
      </c>
      <c r="D13" s="8">
        <f>+D12/D11</f>
        <v>4.828571428571428</v>
      </c>
      <c r="H13" s="1" t="s">
        <v>3</v>
      </c>
      <c r="M13" s="8">
        <f>M12/M11</f>
        <v>4</v>
      </c>
      <c r="V13">
        <f>+(D15-D16)/2</f>
        <v>6.5</v>
      </c>
      <c r="W13">
        <f>+(M15-M16)/2</f>
        <v>8.5</v>
      </c>
    </row>
    <row r="14" spans="22:23" ht="12.75">
      <c r="V14">
        <f>+D38/2</f>
        <v>2</v>
      </c>
      <c r="W14">
        <f>+M38/2</f>
        <v>4</v>
      </c>
    </row>
    <row r="15" spans="1:23" ht="12.75">
      <c r="A15" t="s">
        <v>4</v>
      </c>
      <c r="D15" s="2">
        <v>33</v>
      </c>
      <c r="H15" t="s">
        <v>4</v>
      </c>
      <c r="M15" s="2">
        <v>34</v>
      </c>
      <c r="V15">
        <f>+D42/2</f>
        <v>1.5</v>
      </c>
      <c r="W15">
        <f>+M42/2</f>
        <v>1.5</v>
      </c>
    </row>
    <row r="16" spans="1:23" ht="12.75">
      <c r="A16" t="s">
        <v>5</v>
      </c>
      <c r="D16" s="2">
        <v>20</v>
      </c>
      <c r="H16" t="s">
        <v>5</v>
      </c>
      <c r="M16" s="2">
        <v>17</v>
      </c>
      <c r="V16">
        <f>+D48/2</f>
        <v>0</v>
      </c>
      <c r="W16">
        <f>+M48/2</f>
        <v>0.5</v>
      </c>
    </row>
    <row r="17" spans="1:13" ht="12.75">
      <c r="A17" t="s">
        <v>6</v>
      </c>
      <c r="D17" s="8">
        <f>+D16/D15*100</f>
        <v>60.60606060606061</v>
      </c>
      <c r="H17" t="s">
        <v>6</v>
      </c>
      <c r="M17" s="8">
        <f>+M16/M15*100</f>
        <v>50</v>
      </c>
    </row>
    <row r="18" spans="1:24" ht="12.75">
      <c r="A18" t="s">
        <v>7</v>
      </c>
      <c r="D18" s="2">
        <v>279</v>
      </c>
      <c r="H18" t="s">
        <v>7</v>
      </c>
      <c r="M18" s="2">
        <v>193</v>
      </c>
      <c r="V18">
        <f>SUM(V11:V16)</f>
        <v>65</v>
      </c>
      <c r="W18">
        <f>SUM(W11:W16)</f>
        <v>55.5</v>
      </c>
      <c r="X18">
        <f>+W18+V18</f>
        <v>120.5</v>
      </c>
    </row>
    <row r="19" spans="1:23" ht="12.75">
      <c r="A19" t="s">
        <v>8</v>
      </c>
      <c r="D19" s="2">
        <v>4</v>
      </c>
      <c r="H19" t="s">
        <v>8</v>
      </c>
      <c r="M19" s="2">
        <v>3</v>
      </c>
      <c r="V19">
        <f>+V18/X18</f>
        <v>0.5394190871369294</v>
      </c>
      <c r="W19">
        <f>+W18/X18</f>
        <v>0.4605809128630705</v>
      </c>
    </row>
    <row r="20" spans="1:23" ht="12.75">
      <c r="A20" t="s">
        <v>9</v>
      </c>
      <c r="D20" s="2">
        <v>40</v>
      </c>
      <c r="H20" t="s">
        <v>9</v>
      </c>
      <c r="M20" s="2">
        <v>32</v>
      </c>
      <c r="V20">
        <f>+V19*60</f>
        <v>32.365145228215766</v>
      </c>
      <c r="W20">
        <f>+W19*60</f>
        <v>27.63485477178423</v>
      </c>
    </row>
    <row r="21" spans="1:23" ht="12.75">
      <c r="A21" t="s">
        <v>10</v>
      </c>
      <c r="D21">
        <f>+D18-D20</f>
        <v>239</v>
      </c>
      <c r="H21" t="s">
        <v>10</v>
      </c>
      <c r="M21">
        <f>+M18-M20</f>
        <v>161</v>
      </c>
      <c r="V21">
        <f>+V20-INT(V20)</f>
        <v>0.36514522821576634</v>
      </c>
      <c r="W21">
        <f>+W20-INT(W20)</f>
        <v>0.6348547717842301</v>
      </c>
    </row>
    <row r="22" spans="1:23" ht="12.75">
      <c r="A22" t="s">
        <v>11</v>
      </c>
      <c r="D22" s="7">
        <f>+D21/(D15+D19)</f>
        <v>6.45945945945946</v>
      </c>
      <c r="H22" t="s">
        <v>11</v>
      </c>
      <c r="M22" s="7">
        <f>+M21/(M15+M19)</f>
        <v>4.351351351351352</v>
      </c>
      <c r="V22">
        <f>+V21*60</f>
        <v>21.90871369294598</v>
      </c>
      <c r="W22">
        <f>+W21*60</f>
        <v>38.09128630705381</v>
      </c>
    </row>
    <row r="23" spans="1:23" ht="12.75">
      <c r="A23" t="s">
        <v>12</v>
      </c>
      <c r="D23" s="7">
        <f>+D18/D16</f>
        <v>13.95</v>
      </c>
      <c r="H23" t="s">
        <v>12</v>
      </c>
      <c r="M23" s="7">
        <f>+M18/M16</f>
        <v>11.352941176470589</v>
      </c>
      <c r="U23">
        <v>0</v>
      </c>
      <c r="V23" s="11">
        <f>ROUND(V22,0)</f>
        <v>22</v>
      </c>
      <c r="W23">
        <f>ROUND(W22,0)</f>
        <v>38</v>
      </c>
    </row>
    <row r="24" spans="22:23" ht="12.75">
      <c r="V24">
        <f>INT(V20)</f>
        <v>32</v>
      </c>
      <c r="W24">
        <f>INT(W20)</f>
        <v>27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408</v>
      </c>
      <c r="H26" t="s">
        <v>14</v>
      </c>
      <c r="M26">
        <f>+M21+M12</f>
        <v>257</v>
      </c>
      <c r="V26" s="14" t="str">
        <f>+V24&amp;V25&amp;V23</f>
        <v>32:22</v>
      </c>
      <c r="W26" s="9" t="str">
        <f>+W24&amp;W25&amp;W23</f>
        <v>27:38</v>
      </c>
    </row>
    <row r="27" spans="1:23" ht="12.75">
      <c r="A27" t="s">
        <v>15</v>
      </c>
      <c r="D27" s="7">
        <f>+D12/D26*100</f>
        <v>41.42156862745098</v>
      </c>
      <c r="H27" t="s">
        <v>15</v>
      </c>
      <c r="M27" s="7">
        <f>+M12/M26*100</f>
        <v>37.35408560311284</v>
      </c>
      <c r="V27" s="9" t="str">
        <f>IF(V23&lt;10,+V24&amp;V25&amp;$U$23&amp;V23,+V24&amp;V25&amp;V23)</f>
        <v>32:22</v>
      </c>
      <c r="W27" s="9" t="str">
        <f>IF(W23&lt;10,+W24&amp;W25&amp;$U$23&amp;W23,+W24&amp;W25&amp;W23)</f>
        <v>27:38</v>
      </c>
    </row>
    <row r="28" spans="1:13" ht="12.75">
      <c r="A28" s="1" t="s">
        <v>86</v>
      </c>
      <c r="D28" s="7">
        <f>+D21/D26*100</f>
        <v>58.57843137254902</v>
      </c>
      <c r="H28" s="1" t="s">
        <v>86</v>
      </c>
      <c r="M28" s="7">
        <f>+M21/M26*100</f>
        <v>62.64591439688716</v>
      </c>
    </row>
    <row r="30" spans="1:13" ht="12.75">
      <c r="A30" t="s">
        <v>16</v>
      </c>
      <c r="D30">
        <f>+D11+D15+D19</f>
        <v>72</v>
      </c>
      <c r="H30" t="s">
        <v>16</v>
      </c>
      <c r="M30">
        <f>+M11+M15+M19</f>
        <v>61</v>
      </c>
    </row>
    <row r="31" spans="1:13" ht="12.75">
      <c r="A31" t="s">
        <v>17</v>
      </c>
      <c r="D31" s="8">
        <f>+D26/D30</f>
        <v>5.666666666666667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4.213114754098361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2</v>
      </c>
      <c r="H34" t="s">
        <v>19</v>
      </c>
      <c r="M34" s="2">
        <v>2</v>
      </c>
    </row>
    <row r="35" spans="1:13" ht="12.75">
      <c r="A35" t="s">
        <v>20</v>
      </c>
      <c r="D35" s="2">
        <v>8</v>
      </c>
      <c r="H35" t="s">
        <v>20</v>
      </c>
      <c r="M35" s="2">
        <v>-1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4</v>
      </c>
      <c r="H38" t="s">
        <v>22</v>
      </c>
      <c r="M38" s="2">
        <v>8</v>
      </c>
    </row>
    <row r="39" spans="1:13" ht="12.75">
      <c r="A39" t="s">
        <v>23</v>
      </c>
      <c r="D39" s="2">
        <v>185</v>
      </c>
      <c r="H39" t="s">
        <v>23</v>
      </c>
      <c r="M39" s="2">
        <v>283</v>
      </c>
    </row>
    <row r="40" spans="1:13" ht="12.75">
      <c r="A40" t="s">
        <v>24</v>
      </c>
      <c r="D40" s="8">
        <f>+D39/D38</f>
        <v>46.25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35.375</v>
      </c>
    </row>
    <row r="42" spans="1:13" ht="12.75">
      <c r="A42" t="s">
        <v>25</v>
      </c>
      <c r="D42" s="2">
        <v>3</v>
      </c>
      <c r="H42" t="s">
        <v>25</v>
      </c>
      <c r="M42" s="2">
        <v>3</v>
      </c>
    </row>
    <row r="43" spans="1:13" ht="12.75">
      <c r="A43" t="s">
        <v>26</v>
      </c>
      <c r="D43" s="2">
        <v>42</v>
      </c>
      <c r="H43" t="s">
        <v>26</v>
      </c>
      <c r="M43" s="2">
        <v>18</v>
      </c>
    </row>
    <row r="44" spans="1:13" ht="12.75">
      <c r="A44" t="s">
        <v>27</v>
      </c>
      <c r="D44" s="8">
        <f>+D43/D42</f>
        <v>14</v>
      </c>
      <c r="H44" t="s">
        <v>27</v>
      </c>
      <c r="M44" s="8">
        <v>0</v>
      </c>
    </row>
    <row r="45" spans="1:13" ht="12.75">
      <c r="A45" t="s">
        <v>108</v>
      </c>
      <c r="D45" s="2">
        <v>0</v>
      </c>
      <c r="H45" t="s">
        <v>108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0</v>
      </c>
      <c r="H48" t="s">
        <v>30</v>
      </c>
      <c r="M48" s="2">
        <v>1</v>
      </c>
    </row>
    <row r="49" spans="1:13" ht="12.75">
      <c r="A49" t="s">
        <v>26</v>
      </c>
      <c r="D49" s="2">
        <v>0</v>
      </c>
      <c r="H49" t="s">
        <v>26</v>
      </c>
      <c r="M49" s="2">
        <v>28</v>
      </c>
    </row>
    <row r="50" spans="1:13" ht="12.75">
      <c r="A50" t="s">
        <v>27</v>
      </c>
      <c r="D50" s="8">
        <v>0</v>
      </c>
      <c r="H50" t="s">
        <v>27</v>
      </c>
      <c r="M50" s="8">
        <f>+M49/M48</f>
        <v>28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11</v>
      </c>
      <c r="H53" t="s">
        <v>31</v>
      </c>
      <c r="M53" s="2">
        <v>7</v>
      </c>
    </row>
    <row r="54" spans="1:13" ht="12.75">
      <c r="A54" t="s">
        <v>32</v>
      </c>
      <c r="D54" s="2">
        <v>92</v>
      </c>
      <c r="H54" t="s">
        <v>32</v>
      </c>
      <c r="M54" s="2">
        <v>54</v>
      </c>
    </row>
    <row r="56" spans="1:13" ht="12.75">
      <c r="A56" t="s">
        <v>33</v>
      </c>
      <c r="D56" s="2">
        <v>5</v>
      </c>
      <c r="H56" t="s">
        <v>33</v>
      </c>
      <c r="M56" s="2">
        <v>4</v>
      </c>
    </row>
    <row r="57" spans="1:13" ht="12.75">
      <c r="A57" t="s">
        <v>101</v>
      </c>
      <c r="D57" s="2">
        <v>2</v>
      </c>
      <c r="H57" t="s">
        <v>101</v>
      </c>
      <c r="M57" s="2">
        <v>1</v>
      </c>
    </row>
    <row r="59" spans="1:13" ht="12.75">
      <c r="A59" t="s">
        <v>34</v>
      </c>
      <c r="D59" s="2">
        <v>24</v>
      </c>
      <c r="H59" t="s">
        <v>34</v>
      </c>
      <c r="M59" s="2">
        <v>7</v>
      </c>
    </row>
    <row r="60" spans="1:13" ht="12.75">
      <c r="A60" t="s">
        <v>35</v>
      </c>
      <c r="D60" s="2">
        <v>3</v>
      </c>
      <c r="H60" t="s">
        <v>35</v>
      </c>
      <c r="M60" s="2">
        <v>1</v>
      </c>
    </row>
    <row r="61" spans="1:13" ht="12.75">
      <c r="A61" t="s">
        <v>36</v>
      </c>
      <c r="D61" s="2">
        <v>2</v>
      </c>
      <c r="H61" t="s">
        <v>36</v>
      </c>
      <c r="M61" s="2">
        <v>1</v>
      </c>
    </row>
    <row r="62" spans="1:13" ht="12.75">
      <c r="A62" t="s">
        <v>37</v>
      </c>
      <c r="D62" s="2">
        <v>1</v>
      </c>
      <c r="H62" t="s">
        <v>37</v>
      </c>
      <c r="M62" s="2">
        <v>0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3</v>
      </c>
      <c r="H64" t="s">
        <v>39</v>
      </c>
      <c r="M64" s="2">
        <v>1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1</v>
      </c>
      <c r="H66" t="s">
        <v>41</v>
      </c>
      <c r="M66" s="2">
        <v>0</v>
      </c>
    </row>
    <row r="67" spans="1:13" ht="12.75">
      <c r="A67" t="s">
        <v>42</v>
      </c>
      <c r="D67" s="2">
        <v>1</v>
      </c>
      <c r="H67" t="s">
        <v>42</v>
      </c>
      <c r="M67" s="2">
        <v>0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 t="e">
        <f>+M66/M67*100</f>
        <v>#DIV/0!</v>
      </c>
    </row>
    <row r="69" spans="1:13" ht="12.75">
      <c r="A69" t="s">
        <v>89</v>
      </c>
      <c r="D69" s="10" t="str">
        <f>IF(V23&lt;10,V27,V26)</f>
        <v>32:22</v>
      </c>
      <c r="E69" s="8"/>
      <c r="F69" s="8"/>
      <c r="H69" t="s">
        <v>89</v>
      </c>
      <c r="M69" s="10" t="str">
        <f>IF(W23&lt;10,W27,W26)</f>
        <v>27:38</v>
      </c>
    </row>
    <row r="70" spans="1:13" ht="12.75">
      <c r="A70" t="s">
        <v>102</v>
      </c>
      <c r="D70" s="23">
        <f>D161</f>
        <v>46.15384615384615</v>
      </c>
      <c r="E70" s="8"/>
      <c r="F70" s="8"/>
      <c r="H70" t="s">
        <v>102</v>
      </c>
      <c r="M70" s="23">
        <f>M161</f>
        <v>38.46153846153847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11</v>
      </c>
      <c r="D74">
        <v>49</v>
      </c>
      <c r="E74" s="12">
        <f aca="true" t="shared" si="0" ref="E74:E83">+D74/C74</f>
        <v>4.454545454545454</v>
      </c>
      <c r="F74">
        <v>14</v>
      </c>
      <c r="G74">
        <v>1</v>
      </c>
      <c r="H74">
        <v>0</v>
      </c>
    </row>
    <row r="75" spans="1:8" ht="12.75">
      <c r="A75" t="s">
        <v>110</v>
      </c>
      <c r="C75">
        <v>16</v>
      </c>
      <c r="D75">
        <v>76</v>
      </c>
      <c r="E75" s="12">
        <f t="shared" si="0"/>
        <v>4.75</v>
      </c>
      <c r="F75">
        <v>22</v>
      </c>
      <c r="G75">
        <v>1</v>
      </c>
      <c r="H75">
        <v>2</v>
      </c>
    </row>
    <row r="76" spans="1:8" ht="12.75">
      <c r="A76" t="s">
        <v>111</v>
      </c>
      <c r="C76">
        <v>4</v>
      </c>
      <c r="D76">
        <v>34</v>
      </c>
      <c r="E76" s="12">
        <f t="shared" si="0"/>
        <v>8.5</v>
      </c>
      <c r="F76">
        <v>23</v>
      </c>
      <c r="G76">
        <v>0</v>
      </c>
      <c r="H76">
        <v>0</v>
      </c>
    </row>
    <row r="77" spans="1:8" ht="12.75">
      <c r="A77" t="s">
        <v>112</v>
      </c>
      <c r="C77">
        <v>4</v>
      </c>
      <c r="D77">
        <v>10</v>
      </c>
      <c r="E77" s="12">
        <f t="shared" si="0"/>
        <v>2.5</v>
      </c>
      <c r="F77">
        <v>10</v>
      </c>
      <c r="G77">
        <v>0</v>
      </c>
      <c r="H77">
        <v>0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ht="12.75">
      <c r="E84" s="8"/>
    </row>
    <row r="85" spans="1:8" ht="12.75">
      <c r="A85" s="2" t="s">
        <v>52</v>
      </c>
      <c r="C85" s="3" t="s">
        <v>53</v>
      </c>
      <c r="D85" s="3" t="s">
        <v>48</v>
      </c>
      <c r="E85" s="15" t="s">
        <v>49</v>
      </c>
      <c r="F85" s="3" t="s">
        <v>50</v>
      </c>
      <c r="G85" s="3" t="s">
        <v>51</v>
      </c>
      <c r="H85" s="3" t="s">
        <v>80</v>
      </c>
    </row>
    <row r="86" spans="1:8" ht="12.75">
      <c r="A86" t="s">
        <v>109</v>
      </c>
      <c r="C86">
        <v>5</v>
      </c>
      <c r="D86">
        <v>56</v>
      </c>
      <c r="E86" s="12">
        <f aca="true" t="shared" si="1" ref="E86:E99">+D86/C86</f>
        <v>11.2</v>
      </c>
      <c r="F86">
        <v>17</v>
      </c>
      <c r="G86">
        <v>0</v>
      </c>
      <c r="H86">
        <v>0</v>
      </c>
    </row>
    <row r="87" spans="1:8" ht="12.75">
      <c r="A87" t="s">
        <v>118</v>
      </c>
      <c r="C87">
        <v>2</v>
      </c>
      <c r="D87">
        <v>38</v>
      </c>
      <c r="E87" s="12">
        <f t="shared" si="1"/>
        <v>19</v>
      </c>
      <c r="F87">
        <v>31</v>
      </c>
      <c r="G87">
        <v>0</v>
      </c>
      <c r="H87">
        <v>0</v>
      </c>
    </row>
    <row r="88" spans="1:8" ht="12.75">
      <c r="A88" t="s">
        <v>119</v>
      </c>
      <c r="C88">
        <v>5</v>
      </c>
      <c r="D88">
        <v>74</v>
      </c>
      <c r="E88" s="12">
        <f t="shared" si="1"/>
        <v>14.8</v>
      </c>
      <c r="F88">
        <v>29</v>
      </c>
      <c r="G88">
        <v>1</v>
      </c>
      <c r="H88">
        <v>0</v>
      </c>
    </row>
    <row r="89" spans="1:8" ht="12.75">
      <c r="A89" t="s">
        <v>120</v>
      </c>
      <c r="C89">
        <v>4</v>
      </c>
      <c r="D89">
        <v>40</v>
      </c>
      <c r="E89" s="12">
        <f t="shared" si="1"/>
        <v>10</v>
      </c>
      <c r="F89">
        <v>20</v>
      </c>
      <c r="G89">
        <v>0</v>
      </c>
      <c r="H89">
        <v>0</v>
      </c>
    </row>
    <row r="90" spans="1:8" ht="12.75">
      <c r="A90" t="s">
        <v>121</v>
      </c>
      <c r="C90">
        <v>1</v>
      </c>
      <c r="D90">
        <v>35</v>
      </c>
      <c r="E90" s="12">
        <f t="shared" si="1"/>
        <v>35</v>
      </c>
      <c r="F90">
        <v>35</v>
      </c>
      <c r="G90">
        <v>0</v>
      </c>
      <c r="H90">
        <v>0</v>
      </c>
    </row>
    <row r="91" spans="1:8" ht="12.75">
      <c r="A91" t="s">
        <v>110</v>
      </c>
      <c r="C91">
        <v>2</v>
      </c>
      <c r="D91">
        <v>23</v>
      </c>
      <c r="E91" s="12">
        <f t="shared" si="1"/>
        <v>11.5</v>
      </c>
      <c r="F91">
        <v>19</v>
      </c>
      <c r="G91">
        <v>0</v>
      </c>
      <c r="H91">
        <v>0</v>
      </c>
    </row>
    <row r="92" spans="1:5" ht="12.75">
      <c r="A92" t="s">
        <v>122</v>
      </c>
      <c r="E92" s="12" t="e">
        <f t="shared" si="1"/>
        <v>#DIV/0!</v>
      </c>
    </row>
    <row r="93" spans="1:5" ht="12.75">
      <c r="A93" t="s">
        <v>123</v>
      </c>
      <c r="E93" s="12" t="e">
        <f t="shared" si="1"/>
        <v>#DIV/0!</v>
      </c>
    </row>
    <row r="94" spans="1:5" ht="12.75">
      <c r="A94" t="s">
        <v>114</v>
      </c>
      <c r="E94" s="12" t="e">
        <f t="shared" si="1"/>
        <v>#DIV/0!</v>
      </c>
    </row>
    <row r="95" spans="1:8" ht="12.75">
      <c r="A95" t="s">
        <v>124</v>
      </c>
      <c r="C95">
        <v>1</v>
      </c>
      <c r="D95">
        <v>13</v>
      </c>
      <c r="E95" s="12">
        <f t="shared" si="1"/>
        <v>13</v>
      </c>
      <c r="F95">
        <v>13</v>
      </c>
      <c r="G95">
        <v>0</v>
      </c>
      <c r="H95">
        <v>0</v>
      </c>
    </row>
    <row r="96" spans="1:5" ht="12.75">
      <c r="A96" t="s">
        <v>125</v>
      </c>
      <c r="E96" s="12" t="e">
        <f t="shared" si="1"/>
        <v>#DIV/0!</v>
      </c>
    </row>
    <row r="97" spans="1:5" ht="12.75">
      <c r="A97" t="s">
        <v>112</v>
      </c>
      <c r="E97" s="12" t="e">
        <f t="shared" si="1"/>
        <v>#DIV/0!</v>
      </c>
    </row>
    <row r="98" spans="1:5" ht="12.75">
      <c r="A98" t="s">
        <v>126</v>
      </c>
      <c r="E98" s="12" t="e">
        <f t="shared" si="1"/>
        <v>#DIV/0!</v>
      </c>
    </row>
    <row r="99" spans="1:5" ht="12.75">
      <c r="A99" t="s">
        <v>127</v>
      </c>
      <c r="E99" s="12" t="e">
        <f t="shared" si="1"/>
        <v>#DIV/0!</v>
      </c>
    </row>
    <row r="100" ht="12.75">
      <c r="E100" s="8"/>
    </row>
    <row r="101" spans="1:13" ht="12.75">
      <c r="A101" s="2"/>
      <c r="B101" s="2"/>
      <c r="C101" s="3"/>
      <c r="D101" s="3"/>
      <c r="E101" s="15" t="s">
        <v>57</v>
      </c>
      <c r="F101" s="3" t="s">
        <v>58</v>
      </c>
      <c r="G101" s="3"/>
      <c r="H101" s="3"/>
      <c r="I101" s="3" t="s">
        <v>61</v>
      </c>
      <c r="J101" s="3" t="s">
        <v>63</v>
      </c>
      <c r="K101" s="3" t="s">
        <v>57</v>
      </c>
      <c r="L101" s="3" t="s">
        <v>49</v>
      </c>
      <c r="M101" s="3"/>
    </row>
    <row r="102" spans="1:14" ht="12.75">
      <c r="A102" s="2" t="s">
        <v>54</v>
      </c>
      <c r="B102" s="2"/>
      <c r="C102" s="3" t="s">
        <v>55</v>
      </c>
      <c r="D102" s="3" t="s">
        <v>56</v>
      </c>
      <c r="E102" s="15" t="s">
        <v>56</v>
      </c>
      <c r="F102" s="3" t="s">
        <v>59</v>
      </c>
      <c r="G102" s="3" t="s">
        <v>51</v>
      </c>
      <c r="H102" s="3" t="s">
        <v>60</v>
      </c>
      <c r="I102" s="5" t="s">
        <v>62</v>
      </c>
      <c r="J102" s="3" t="s">
        <v>51</v>
      </c>
      <c r="K102" s="3" t="s">
        <v>64</v>
      </c>
      <c r="L102" s="3" t="s">
        <v>65</v>
      </c>
      <c r="M102" s="3" t="s">
        <v>66</v>
      </c>
      <c r="N102" s="3" t="s">
        <v>80</v>
      </c>
    </row>
    <row r="103" spans="1:25" ht="12.75">
      <c r="A103" t="s">
        <v>115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111</v>
      </c>
      <c r="C104">
        <v>33</v>
      </c>
      <c r="D104">
        <v>20</v>
      </c>
      <c r="E104" s="12">
        <f>+D104/C104*100</f>
        <v>60.60606060606061</v>
      </c>
      <c r="F104">
        <v>279</v>
      </c>
      <c r="G104">
        <v>1</v>
      </c>
      <c r="H104">
        <v>35</v>
      </c>
      <c r="I104">
        <v>2</v>
      </c>
      <c r="J104" s="8">
        <f>+G104/C104*100</f>
        <v>3.0303030303030303</v>
      </c>
      <c r="K104" s="12">
        <f>+I104/C104*100</f>
        <v>6.0606060606060606</v>
      </c>
      <c r="L104" s="12">
        <f>+F104/C104</f>
        <v>8.454545454545455</v>
      </c>
      <c r="M104" s="12">
        <f>100*(S104+U104+W104+Y104)/6</f>
        <v>72.66414141414143</v>
      </c>
      <c r="N104">
        <v>2</v>
      </c>
      <c r="R104">
        <f>+(E104-30)/20</f>
        <v>1.5303030303030305</v>
      </c>
      <c r="S104" s="2">
        <f>IF(R104&lt;0,0,IF(R104&gt;2.375,2.375,R104))</f>
        <v>1.5303030303030305</v>
      </c>
      <c r="T104" s="6">
        <f>+(L104-3)/4</f>
        <v>1.3636363636363638</v>
      </c>
      <c r="U104" s="2">
        <f>IF(T104&lt;0,0,IF(T104&gt;2.375,2.375,T104))</f>
        <v>1.3636363636363638</v>
      </c>
      <c r="V104">
        <f>+J104/5</f>
        <v>0.6060606060606061</v>
      </c>
      <c r="W104" s="2">
        <f>IF(V104&lt;0,0,IF(V104&gt;2.375,2.375,V104))</f>
        <v>0.6060606060606061</v>
      </c>
      <c r="X104">
        <f>(9.5-K104)/4</f>
        <v>0.8598484848484849</v>
      </c>
      <c r="Y104" s="2">
        <f>IF(X104&lt;0,0,X104)</f>
        <v>0.8598484848484849</v>
      </c>
    </row>
    <row r="105" spans="1:25" ht="12.75">
      <c r="A105" t="s">
        <v>128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109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7" spans="1:25" ht="12.75">
      <c r="A107" t="s">
        <v>129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10" spans="1:9" ht="12.75">
      <c r="A110" s="2" t="s">
        <v>67</v>
      </c>
      <c r="C110" s="3" t="s">
        <v>68</v>
      </c>
      <c r="D110" s="3" t="s">
        <v>69</v>
      </c>
      <c r="E110" s="3" t="s">
        <v>70</v>
      </c>
      <c r="F110" s="3" t="s">
        <v>49</v>
      </c>
      <c r="G110" s="3" t="s">
        <v>60</v>
      </c>
      <c r="H110" s="3" t="s">
        <v>51</v>
      </c>
      <c r="I110" s="3" t="s">
        <v>80</v>
      </c>
    </row>
    <row r="111" spans="1:9" ht="12.75">
      <c r="A111" t="s">
        <v>130</v>
      </c>
      <c r="C111">
        <v>3</v>
      </c>
      <c r="D111">
        <v>0</v>
      </c>
      <c r="E111">
        <v>42</v>
      </c>
      <c r="F111" s="12">
        <f>+E111/C111</f>
        <v>14</v>
      </c>
      <c r="G111">
        <v>20</v>
      </c>
      <c r="H111">
        <v>0</v>
      </c>
      <c r="I111">
        <v>1</v>
      </c>
    </row>
    <row r="112" spans="1:6" ht="12.75">
      <c r="A112" t="s">
        <v>131</v>
      </c>
      <c r="F112" s="12" t="e">
        <f>+E112/C112</f>
        <v>#DIV/0!</v>
      </c>
    </row>
    <row r="113" spans="1:6" ht="12.75">
      <c r="A113" t="s">
        <v>118</v>
      </c>
      <c r="F113" s="12" t="e">
        <f>+E113/C113</f>
        <v>#DIV/0!</v>
      </c>
    </row>
    <row r="114" spans="1:6" ht="12.75">
      <c r="A114" t="s">
        <v>132</v>
      </c>
      <c r="F114" s="12" t="e">
        <f>+E114/C114</f>
        <v>#DIV/0!</v>
      </c>
    </row>
    <row r="115" spans="1:6" ht="12.75">
      <c r="A115" t="s">
        <v>112</v>
      </c>
      <c r="F115" s="12" t="e">
        <f>+E115/C115</f>
        <v>#DIV/0!</v>
      </c>
    </row>
    <row r="117" spans="1:8" ht="12.75">
      <c r="A117" s="2" t="s">
        <v>30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51</v>
      </c>
      <c r="H117" s="3" t="s">
        <v>80</v>
      </c>
    </row>
    <row r="118" spans="1:5" ht="12.75">
      <c r="A118" t="s">
        <v>130</v>
      </c>
      <c r="E118" s="12" t="e">
        <f aca="true" t="shared" si="2" ref="E118:E126">+D118/C118</f>
        <v>#DIV/0!</v>
      </c>
    </row>
    <row r="119" spans="1:5" ht="12.75">
      <c r="A119" t="s">
        <v>112</v>
      </c>
      <c r="E119" s="12" t="e">
        <f t="shared" si="2"/>
        <v>#DIV/0!</v>
      </c>
    </row>
    <row r="120" spans="1:5" ht="12.75">
      <c r="A120" t="s">
        <v>116</v>
      </c>
      <c r="E120" s="12" t="e">
        <f t="shared" si="2"/>
        <v>#DIV/0!</v>
      </c>
    </row>
    <row r="121" spans="1:5" ht="12.75">
      <c r="A121" t="s">
        <v>124</v>
      </c>
      <c r="E121" s="12" t="e">
        <f t="shared" si="2"/>
        <v>#DIV/0!</v>
      </c>
    </row>
    <row r="122" spans="1:5" ht="12.75">
      <c r="A122" t="s">
        <v>122</v>
      </c>
      <c r="E122" s="12" t="e">
        <f t="shared" si="2"/>
        <v>#DIV/0!</v>
      </c>
    </row>
    <row r="123" spans="1:5" ht="12.75">
      <c r="A123" t="s">
        <v>114</v>
      </c>
      <c r="E123" s="12" t="e">
        <f t="shared" si="2"/>
        <v>#DIV/0!</v>
      </c>
    </row>
    <row r="124" spans="1:5" ht="12.75">
      <c r="A124" t="s">
        <v>126</v>
      </c>
      <c r="E124" s="12" t="e">
        <f t="shared" si="2"/>
        <v>#DIV/0!</v>
      </c>
    </row>
    <row r="125" spans="1:5" ht="12.75">
      <c r="A125" t="s">
        <v>127</v>
      </c>
      <c r="E125" s="12" t="e">
        <f t="shared" si="2"/>
        <v>#DIV/0!</v>
      </c>
    </row>
    <row r="126" spans="1:5" ht="12.75">
      <c r="A126" t="s">
        <v>106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129</v>
      </c>
      <c r="C129">
        <v>4</v>
      </c>
      <c r="D129">
        <v>185</v>
      </c>
      <c r="E129" s="12">
        <f>+D129/C129</f>
        <v>46.25</v>
      </c>
      <c r="F129">
        <v>54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133</v>
      </c>
      <c r="C132">
        <v>5</v>
      </c>
      <c r="D132">
        <v>4</v>
      </c>
      <c r="E132">
        <v>3</v>
      </c>
      <c r="F132">
        <v>3</v>
      </c>
      <c r="G132">
        <v>1</v>
      </c>
      <c r="H132">
        <v>1</v>
      </c>
      <c r="I132" s="12">
        <f>+H132/G132*100</f>
        <v>100</v>
      </c>
      <c r="J132">
        <v>40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8" ht="12.75">
      <c r="A135" t="s">
        <v>134</v>
      </c>
      <c r="C135">
        <v>1</v>
      </c>
      <c r="D135">
        <v>-1</v>
      </c>
      <c r="E135" s="12">
        <f>+D135/C135</f>
        <v>-1</v>
      </c>
      <c r="F135">
        <v>-1</v>
      </c>
      <c r="G135">
        <v>0</v>
      </c>
      <c r="H135">
        <v>0</v>
      </c>
    </row>
    <row r="136" spans="1:5" ht="12.75">
      <c r="A136" t="s">
        <v>135</v>
      </c>
      <c r="E136" s="12" t="e">
        <f aca="true" t="shared" si="3" ref="E136:E143">+D136/C136</f>
        <v>#DIV/0!</v>
      </c>
    </row>
    <row r="137" spans="1:5" ht="12.75">
      <c r="A137" t="s">
        <v>130</v>
      </c>
      <c r="E137" s="12" t="e">
        <f t="shared" si="3"/>
        <v>#DIV/0!</v>
      </c>
    </row>
    <row r="138" spans="1:5" ht="12.75">
      <c r="A138" t="s">
        <v>131</v>
      </c>
      <c r="E138" s="12" t="e">
        <f t="shared" si="3"/>
        <v>#DIV/0!</v>
      </c>
    </row>
    <row r="139" spans="1:8" ht="12.75">
      <c r="A139" t="s">
        <v>136</v>
      </c>
      <c r="C139">
        <v>1</v>
      </c>
      <c r="D139">
        <v>0</v>
      </c>
      <c r="E139" s="12">
        <f t="shared" si="3"/>
        <v>0</v>
      </c>
      <c r="F139">
        <v>0</v>
      </c>
      <c r="G139">
        <v>0</v>
      </c>
      <c r="H139">
        <v>0</v>
      </c>
    </row>
    <row r="140" spans="1:5" ht="12.75">
      <c r="A140" t="s">
        <v>137</v>
      </c>
      <c r="E140" s="12" t="e">
        <f t="shared" si="3"/>
        <v>#DIV/0!</v>
      </c>
    </row>
    <row r="141" spans="1:5" ht="12.75">
      <c r="A141" t="s">
        <v>138</v>
      </c>
      <c r="E141" s="12" t="e">
        <f t="shared" si="3"/>
        <v>#DIV/0!</v>
      </c>
    </row>
    <row r="142" spans="1:5" ht="12.75">
      <c r="A142" t="s">
        <v>139</v>
      </c>
      <c r="E142" s="12" t="e">
        <f t="shared" si="3"/>
        <v>#DIV/0!</v>
      </c>
    </row>
    <row r="143" spans="1:5" ht="12.75">
      <c r="A143" t="s">
        <v>140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spans="1:3" ht="12.75">
      <c r="A146" t="s">
        <v>117</v>
      </c>
      <c r="C146">
        <v>1</v>
      </c>
    </row>
    <row r="147" spans="1:3" ht="12.75">
      <c r="A147" t="s">
        <v>141</v>
      </c>
      <c r="C147">
        <v>0.5</v>
      </c>
    </row>
    <row r="148" ht="12.75">
      <c r="A148" t="s">
        <v>142</v>
      </c>
    </row>
    <row r="149" ht="12.75">
      <c r="A149" t="s">
        <v>143</v>
      </c>
    </row>
    <row r="150" ht="12.75">
      <c r="A150" t="s">
        <v>144</v>
      </c>
    </row>
    <row r="151" ht="12.75">
      <c r="A151" t="s">
        <v>145</v>
      </c>
    </row>
    <row r="152" spans="1:3" ht="12.75">
      <c r="A152" t="s">
        <v>140</v>
      </c>
      <c r="C152">
        <v>0.5</v>
      </c>
    </row>
    <row r="153" ht="12.75">
      <c r="A153" t="s">
        <v>146</v>
      </c>
    </row>
    <row r="154" ht="12.75">
      <c r="A154" t="s">
        <v>138</v>
      </c>
    </row>
    <row r="155" ht="12.75">
      <c r="A155" t="s">
        <v>139</v>
      </c>
    </row>
    <row r="156" spans="1:3" ht="12.75">
      <c r="A156" t="s">
        <v>147</v>
      </c>
      <c r="C156">
        <v>1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13</v>
      </c>
      <c r="H159" t="s">
        <v>93</v>
      </c>
      <c r="M159">
        <v>13</v>
      </c>
    </row>
    <row r="160" spans="1:13" ht="12.75">
      <c r="A160" t="s">
        <v>94</v>
      </c>
      <c r="D160">
        <v>6</v>
      </c>
      <c r="H160" t="s">
        <v>94</v>
      </c>
      <c r="M160">
        <v>5</v>
      </c>
    </row>
    <row r="161" spans="1:13" ht="12.75">
      <c r="A161" t="s">
        <v>95</v>
      </c>
      <c r="D161">
        <f>D160/D159*100</f>
        <v>46.15384615384615</v>
      </c>
      <c r="H161" t="s">
        <v>95</v>
      </c>
      <c r="M161">
        <f>+M160/M159*100</f>
        <v>38.46153846153847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Y161"/>
  <sheetViews>
    <sheetView zoomScalePageLayoutView="0" workbookViewId="0" topLeftCell="A73">
      <selection activeCell="Q22" sqref="Q22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107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19</v>
      </c>
      <c r="H6" s="1" t="s">
        <v>29</v>
      </c>
      <c r="M6" s="2">
        <f>M7+M8+M9</f>
        <v>16</v>
      </c>
    </row>
    <row r="7" spans="1:13" ht="12.75">
      <c r="A7" s="1" t="s">
        <v>103</v>
      </c>
      <c r="D7" s="2">
        <v>6</v>
      </c>
      <c r="H7" s="1" t="s">
        <v>103</v>
      </c>
      <c r="M7" s="2">
        <v>10</v>
      </c>
    </row>
    <row r="8" spans="1:13" ht="12.75">
      <c r="A8" s="1" t="s">
        <v>105</v>
      </c>
      <c r="D8" s="2">
        <v>11</v>
      </c>
      <c r="H8" s="1" t="s">
        <v>105</v>
      </c>
      <c r="M8" s="2">
        <v>5</v>
      </c>
    </row>
    <row r="9" spans="1:13" ht="12.75">
      <c r="A9" s="1" t="s">
        <v>104</v>
      </c>
      <c r="D9" s="2">
        <v>2</v>
      </c>
      <c r="H9" s="1" t="s">
        <v>104</v>
      </c>
      <c r="M9" s="2">
        <v>1</v>
      </c>
    </row>
    <row r="11" spans="1:23" ht="12.75">
      <c r="A11" t="s">
        <v>1</v>
      </c>
      <c r="D11" s="2">
        <v>33</v>
      </c>
      <c r="H11" t="s">
        <v>1</v>
      </c>
      <c r="M11" s="2">
        <v>29</v>
      </c>
      <c r="V11">
        <f>+D11</f>
        <v>33</v>
      </c>
      <c r="W11">
        <f>+M11</f>
        <v>29</v>
      </c>
    </row>
    <row r="12" spans="1:23" ht="12.75">
      <c r="A12" t="s">
        <v>2</v>
      </c>
      <c r="D12" s="2">
        <v>63</v>
      </c>
      <c r="H12" t="s">
        <v>2</v>
      </c>
      <c r="M12" s="2">
        <v>155</v>
      </c>
      <c r="U12" s="13"/>
      <c r="V12">
        <f>+D16</f>
        <v>19</v>
      </c>
      <c r="W12">
        <f>+M16</f>
        <v>12</v>
      </c>
    </row>
    <row r="13" spans="1:23" ht="12.75">
      <c r="A13" s="1" t="s">
        <v>3</v>
      </c>
      <c r="D13" s="8">
        <f>+D12/D11</f>
        <v>1.9090909090909092</v>
      </c>
      <c r="H13" s="1" t="s">
        <v>3</v>
      </c>
      <c r="M13" s="8">
        <f>M12/M11</f>
        <v>5.344827586206897</v>
      </c>
      <c r="V13">
        <f>+(D15-D16)/2</f>
        <v>12</v>
      </c>
      <c r="W13">
        <f>+(M15-M16)/2</f>
        <v>5</v>
      </c>
    </row>
    <row r="14" spans="22:23" ht="12.75">
      <c r="V14">
        <f>+D38/2</f>
        <v>3</v>
      </c>
      <c r="W14">
        <f>+M38/2</f>
        <v>3</v>
      </c>
    </row>
    <row r="15" spans="1:23" ht="12.75">
      <c r="A15" t="s">
        <v>4</v>
      </c>
      <c r="D15" s="2">
        <v>43</v>
      </c>
      <c r="H15" t="s">
        <v>4</v>
      </c>
      <c r="M15" s="2">
        <v>22</v>
      </c>
      <c r="V15">
        <f>+D42/2</f>
        <v>1.5</v>
      </c>
      <c r="W15">
        <f>+M42/2</f>
        <v>1.5</v>
      </c>
    </row>
    <row r="16" spans="1:23" ht="12.75">
      <c r="A16" t="s">
        <v>5</v>
      </c>
      <c r="D16" s="2">
        <v>19</v>
      </c>
      <c r="H16" t="s">
        <v>5</v>
      </c>
      <c r="M16" s="2">
        <v>12</v>
      </c>
      <c r="V16">
        <f>+D48/2</f>
        <v>3</v>
      </c>
      <c r="W16">
        <f>+M48/2</f>
        <v>1</v>
      </c>
    </row>
    <row r="17" spans="1:13" ht="12.75">
      <c r="A17" t="s">
        <v>6</v>
      </c>
      <c r="D17" s="8">
        <f>+D16/D15*100</f>
        <v>44.18604651162791</v>
      </c>
      <c r="H17" t="s">
        <v>6</v>
      </c>
      <c r="M17" s="8">
        <f>+M16/M15*100</f>
        <v>54.54545454545454</v>
      </c>
    </row>
    <row r="18" spans="1:24" ht="12.75">
      <c r="A18" t="s">
        <v>7</v>
      </c>
      <c r="D18" s="2">
        <v>230</v>
      </c>
      <c r="H18" t="s">
        <v>7</v>
      </c>
      <c r="M18" s="2">
        <v>143</v>
      </c>
      <c r="V18">
        <f>SUM(V11:V16)</f>
        <v>71.5</v>
      </c>
      <c r="W18">
        <f>SUM(W11:W16)</f>
        <v>51.5</v>
      </c>
      <c r="X18">
        <f>+W18+V18</f>
        <v>123</v>
      </c>
    </row>
    <row r="19" spans="1:23" ht="12.75">
      <c r="A19" t="s">
        <v>8</v>
      </c>
      <c r="D19" s="2">
        <v>3</v>
      </c>
      <c r="H19" t="s">
        <v>8</v>
      </c>
      <c r="M19" s="2">
        <v>0</v>
      </c>
      <c r="V19">
        <f>+V18/X18</f>
        <v>0.5813008130081301</v>
      </c>
      <c r="W19">
        <f>+W18/X18</f>
        <v>0.4186991869918699</v>
      </c>
    </row>
    <row r="20" spans="1:23" ht="12.75">
      <c r="A20" t="s">
        <v>9</v>
      </c>
      <c r="D20" s="2">
        <v>11</v>
      </c>
      <c r="H20" t="s">
        <v>9</v>
      </c>
      <c r="M20" s="2">
        <v>0</v>
      </c>
      <c r="V20">
        <f>+V19*60</f>
        <v>34.8780487804878</v>
      </c>
      <c r="W20">
        <f>+W19*60</f>
        <v>25.121951219512194</v>
      </c>
    </row>
    <row r="21" spans="1:23" ht="12.75">
      <c r="A21" t="s">
        <v>10</v>
      </c>
      <c r="D21">
        <f>+D18-D20</f>
        <v>219</v>
      </c>
      <c r="H21" t="s">
        <v>10</v>
      </c>
      <c r="M21">
        <f>+M18-M20</f>
        <v>143</v>
      </c>
      <c r="V21">
        <f>+V20-INT(V20)</f>
        <v>0.8780487804878021</v>
      </c>
      <c r="W21">
        <f>+W20-INT(W20)</f>
        <v>0.12195121951219434</v>
      </c>
    </row>
    <row r="22" spans="1:23" ht="12.75">
      <c r="A22" t="s">
        <v>11</v>
      </c>
      <c r="D22" s="7">
        <f>+D21/(D15+D19)</f>
        <v>4.760869565217392</v>
      </c>
      <c r="H22" t="s">
        <v>11</v>
      </c>
      <c r="M22" s="7">
        <f>+M21/(M15+M19)</f>
        <v>6.5</v>
      </c>
      <c r="V22">
        <f>+V21*60</f>
        <v>52.682926829268126</v>
      </c>
      <c r="W22">
        <f>+W21*60</f>
        <v>7.3170731707316605</v>
      </c>
    </row>
    <row r="23" spans="1:23" ht="12.75">
      <c r="A23" t="s">
        <v>12</v>
      </c>
      <c r="D23" s="7">
        <f>+D18/D16</f>
        <v>12.105263157894736</v>
      </c>
      <c r="H23" t="s">
        <v>12</v>
      </c>
      <c r="M23" s="7">
        <f>+M18/M16</f>
        <v>11.916666666666666</v>
      </c>
      <c r="U23">
        <v>0</v>
      </c>
      <c r="V23" s="11">
        <f>ROUND(V22,0)</f>
        <v>53</v>
      </c>
      <c r="W23">
        <f>ROUND(W22,0)</f>
        <v>7</v>
      </c>
    </row>
    <row r="24" spans="22:23" ht="12.75">
      <c r="V24">
        <f>INT(V20)</f>
        <v>34</v>
      </c>
      <c r="W24">
        <f>INT(W20)</f>
        <v>25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282</v>
      </c>
      <c r="H26" t="s">
        <v>14</v>
      </c>
      <c r="M26">
        <f>+M21+M12</f>
        <v>298</v>
      </c>
      <c r="V26" s="14" t="str">
        <f>+V24&amp;V25&amp;V23</f>
        <v>34:53</v>
      </c>
      <c r="W26" s="9" t="str">
        <f>+W24&amp;W25&amp;W23</f>
        <v>25:7</v>
      </c>
    </row>
    <row r="27" spans="1:23" ht="12.75">
      <c r="A27" t="s">
        <v>15</v>
      </c>
      <c r="D27" s="7">
        <f>+D12/D26*100</f>
        <v>22.340425531914892</v>
      </c>
      <c r="H27" t="s">
        <v>15</v>
      </c>
      <c r="M27" s="7">
        <f>+M12/M26*100</f>
        <v>52.013422818791945</v>
      </c>
      <c r="V27" s="9" t="str">
        <f>IF(V23&lt;10,+V24&amp;V25&amp;$U$23&amp;V23,+V24&amp;V25&amp;V23)</f>
        <v>34:53</v>
      </c>
      <c r="W27" s="9" t="str">
        <f>IF(W23&lt;10,+W24&amp;W25&amp;$U$23&amp;W23,+W24&amp;W25&amp;W23)</f>
        <v>25:07</v>
      </c>
    </row>
    <row r="28" spans="1:13" ht="12.75">
      <c r="A28" s="1" t="s">
        <v>86</v>
      </c>
      <c r="D28" s="7">
        <f>+D21/D26*100</f>
        <v>77.6595744680851</v>
      </c>
      <c r="H28" s="1" t="s">
        <v>86</v>
      </c>
      <c r="M28" s="7">
        <f>+M21/M26*100</f>
        <v>47.98657718120805</v>
      </c>
    </row>
    <row r="30" spans="1:13" ht="12.75">
      <c r="A30" t="s">
        <v>16</v>
      </c>
      <c r="D30">
        <f>+D11+D15+D19</f>
        <v>79</v>
      </c>
      <c r="H30" t="s">
        <v>16</v>
      </c>
      <c r="M30">
        <f>+M11+M15+M19</f>
        <v>51</v>
      </c>
    </row>
    <row r="31" spans="1:13" ht="12.75">
      <c r="A31" t="s">
        <v>17</v>
      </c>
      <c r="D31" s="8">
        <f>+D26/D30</f>
        <v>3.569620253164557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5.8431372549019605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3</v>
      </c>
      <c r="H34" t="s">
        <v>19</v>
      </c>
      <c r="M34" s="2">
        <v>0</v>
      </c>
    </row>
    <row r="35" spans="1:13" ht="12.75">
      <c r="A35" t="s">
        <v>20</v>
      </c>
      <c r="D35" s="2">
        <v>109</v>
      </c>
      <c r="H35" t="s">
        <v>20</v>
      </c>
      <c r="M35" s="2">
        <v>0</v>
      </c>
    </row>
    <row r="36" spans="1:13" ht="12.75">
      <c r="A36" t="s">
        <v>21</v>
      </c>
      <c r="D36" s="2">
        <v>1</v>
      </c>
      <c r="H36" t="s">
        <v>21</v>
      </c>
      <c r="M36" s="2">
        <v>0</v>
      </c>
    </row>
    <row r="38" spans="1:13" ht="12.75">
      <c r="A38" t="s">
        <v>22</v>
      </c>
      <c r="D38" s="2">
        <v>6</v>
      </c>
      <c r="H38" t="s">
        <v>22</v>
      </c>
      <c r="M38" s="2">
        <v>6</v>
      </c>
    </row>
    <row r="39" spans="1:13" ht="12.75">
      <c r="A39" t="s">
        <v>23</v>
      </c>
      <c r="D39" s="2">
        <v>239</v>
      </c>
      <c r="H39" t="s">
        <v>23</v>
      </c>
      <c r="M39" s="2">
        <v>261</v>
      </c>
    </row>
    <row r="40" spans="1:13" ht="12.75">
      <c r="A40" t="s">
        <v>24</v>
      </c>
      <c r="D40" s="8">
        <f>+D39/D38</f>
        <v>39.833333333333336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43.5</v>
      </c>
    </row>
    <row r="42" spans="1:13" ht="12.75">
      <c r="A42" t="s">
        <v>25</v>
      </c>
      <c r="D42" s="2">
        <v>3</v>
      </c>
      <c r="H42" t="s">
        <v>25</v>
      </c>
      <c r="M42" s="2">
        <v>3</v>
      </c>
    </row>
    <row r="43" spans="1:13" ht="12.75">
      <c r="A43" t="s">
        <v>26</v>
      </c>
      <c r="D43" s="2">
        <v>29</v>
      </c>
      <c r="H43" t="s">
        <v>26</v>
      </c>
      <c r="M43" s="2">
        <v>27</v>
      </c>
    </row>
    <row r="44" spans="1:13" ht="12.75">
      <c r="A44" t="s">
        <v>27</v>
      </c>
      <c r="D44" s="8">
        <f>+D43/D42</f>
        <v>9.666666666666666</v>
      </c>
      <c r="H44" t="s">
        <v>27</v>
      </c>
      <c r="M44" s="8">
        <f>+M43/M42</f>
        <v>9</v>
      </c>
    </row>
    <row r="45" spans="1:13" ht="12.75">
      <c r="A45" t="s">
        <v>108</v>
      </c>
      <c r="D45" s="2">
        <v>2</v>
      </c>
      <c r="H45" t="s">
        <v>108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6</v>
      </c>
      <c r="H48" t="s">
        <v>30</v>
      </c>
      <c r="M48" s="2">
        <v>2</v>
      </c>
    </row>
    <row r="49" spans="1:13" ht="12.75">
      <c r="A49" t="s">
        <v>26</v>
      </c>
      <c r="D49" s="2">
        <v>113</v>
      </c>
      <c r="H49" t="s">
        <v>26</v>
      </c>
      <c r="M49" s="2">
        <v>18</v>
      </c>
    </row>
    <row r="50" spans="1:13" ht="12.75">
      <c r="A50" t="s">
        <v>27</v>
      </c>
      <c r="D50" s="8">
        <f>+D49/D48</f>
        <v>18.833333333333332</v>
      </c>
      <c r="H50" t="s">
        <v>27</v>
      </c>
      <c r="M50" s="8">
        <f>+M49/M48</f>
        <v>9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5</v>
      </c>
      <c r="H53" t="s">
        <v>31</v>
      </c>
      <c r="M53" s="2">
        <v>7</v>
      </c>
    </row>
    <row r="54" spans="1:13" ht="12.75">
      <c r="A54" t="s">
        <v>32</v>
      </c>
      <c r="D54" s="2">
        <v>50</v>
      </c>
      <c r="H54" t="s">
        <v>32</v>
      </c>
      <c r="M54" s="2">
        <v>52</v>
      </c>
    </row>
    <row r="56" spans="1:13" ht="12.75">
      <c r="A56" t="s">
        <v>33</v>
      </c>
      <c r="D56" s="2">
        <v>2</v>
      </c>
      <c r="H56" t="s">
        <v>33</v>
      </c>
      <c r="M56" s="2">
        <v>1</v>
      </c>
    </row>
    <row r="57" spans="1:13" ht="12.75">
      <c r="A57" t="s">
        <v>101</v>
      </c>
      <c r="D57" s="2">
        <v>0</v>
      </c>
      <c r="H57" t="s">
        <v>101</v>
      </c>
      <c r="M57" s="2">
        <v>1</v>
      </c>
    </row>
    <row r="59" spans="1:13" ht="12.75">
      <c r="A59" t="s">
        <v>34</v>
      </c>
      <c r="D59" s="2">
        <v>15</v>
      </c>
      <c r="H59" t="s">
        <v>34</v>
      </c>
      <c r="M59" s="2">
        <v>31</v>
      </c>
    </row>
    <row r="60" spans="1:13" ht="12.75">
      <c r="A60" t="s">
        <v>35</v>
      </c>
      <c r="D60" s="2">
        <v>1</v>
      </c>
      <c r="H60" t="s">
        <v>35</v>
      </c>
      <c r="M60" s="2">
        <v>4</v>
      </c>
    </row>
    <row r="61" spans="1:13" ht="12.75">
      <c r="A61" t="s">
        <v>36</v>
      </c>
      <c r="D61" s="2">
        <v>0</v>
      </c>
      <c r="H61" t="s">
        <v>36</v>
      </c>
      <c r="M61" s="2">
        <v>1</v>
      </c>
    </row>
    <row r="62" spans="1:13" ht="12.75">
      <c r="A62" t="s">
        <v>37</v>
      </c>
      <c r="D62" s="2">
        <v>1</v>
      </c>
      <c r="H62" t="s">
        <v>37</v>
      </c>
      <c r="M62" s="2">
        <v>2</v>
      </c>
    </row>
    <row r="63" spans="1:13" ht="12.75">
      <c r="A63" t="s">
        <v>38</v>
      </c>
      <c r="D63" s="2">
        <v>0</v>
      </c>
      <c r="H63" t="s">
        <v>38</v>
      </c>
      <c r="M63" s="2">
        <v>1</v>
      </c>
    </row>
    <row r="64" spans="1:13" ht="12.75">
      <c r="A64" t="s">
        <v>39</v>
      </c>
      <c r="D64" s="2">
        <v>1</v>
      </c>
      <c r="H64" t="s">
        <v>39</v>
      </c>
      <c r="M64" s="2">
        <v>4</v>
      </c>
    </row>
    <row r="65" spans="1:13" ht="12.75">
      <c r="A65" t="s">
        <v>40</v>
      </c>
      <c r="D65" s="2">
        <v>1</v>
      </c>
      <c r="H65" t="s">
        <v>40</v>
      </c>
      <c r="M65" s="2">
        <v>0</v>
      </c>
    </row>
    <row r="66" spans="1:13" ht="12.75">
      <c r="A66" t="s">
        <v>41</v>
      </c>
      <c r="D66" s="2">
        <v>2</v>
      </c>
      <c r="H66" t="s">
        <v>41</v>
      </c>
      <c r="M66" s="2">
        <v>1</v>
      </c>
    </row>
    <row r="67" spans="1:13" ht="12.75">
      <c r="A67" t="s">
        <v>42</v>
      </c>
      <c r="D67" s="2">
        <v>2</v>
      </c>
      <c r="H67" t="s">
        <v>42</v>
      </c>
      <c r="M67" s="2">
        <v>1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92</v>
      </c>
      <c r="D69" s="10" t="str">
        <f>IF(V23&lt;10,V27,V26)</f>
        <v>34:53</v>
      </c>
      <c r="E69" s="8"/>
      <c r="F69" s="8"/>
      <c r="H69" t="s">
        <v>92</v>
      </c>
      <c r="M69" s="10" t="str">
        <f>IF(W23&lt;10,W27,W26)</f>
        <v>25:07</v>
      </c>
    </row>
    <row r="70" spans="1:13" ht="12.75">
      <c r="A70" t="s">
        <v>102</v>
      </c>
      <c r="D70" s="23">
        <f>D161</f>
        <v>37.5</v>
      </c>
      <c r="E70" s="8"/>
      <c r="F70" s="8"/>
      <c r="H70" t="s">
        <v>102</v>
      </c>
      <c r="M70" s="23">
        <f>M161</f>
        <v>0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12</v>
      </c>
      <c r="D74">
        <v>29</v>
      </c>
      <c r="E74" s="12">
        <f aca="true" t="shared" si="0" ref="E74:E83">+D74/C74</f>
        <v>2.4166666666666665</v>
      </c>
      <c r="F74">
        <v>7</v>
      </c>
      <c r="G74">
        <v>0</v>
      </c>
      <c r="H74">
        <v>1</v>
      </c>
    </row>
    <row r="75" spans="1:8" ht="12.75">
      <c r="A75" t="s">
        <v>110</v>
      </c>
      <c r="C75">
        <v>15</v>
      </c>
      <c r="D75">
        <v>22</v>
      </c>
      <c r="E75" s="12">
        <f t="shared" si="0"/>
        <v>1.4666666666666666</v>
      </c>
      <c r="F75">
        <v>7</v>
      </c>
      <c r="G75">
        <v>0</v>
      </c>
      <c r="H75">
        <v>0</v>
      </c>
    </row>
    <row r="76" spans="1:8" ht="12.75">
      <c r="A76" t="s">
        <v>111</v>
      </c>
      <c r="C76">
        <v>2</v>
      </c>
      <c r="D76">
        <v>2</v>
      </c>
      <c r="E76" s="12">
        <f t="shared" si="0"/>
        <v>1</v>
      </c>
      <c r="F76">
        <v>4</v>
      </c>
      <c r="G76">
        <v>0</v>
      </c>
      <c r="H76">
        <v>0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8" ht="12.75">
      <c r="A79" t="s">
        <v>114</v>
      </c>
      <c r="C79">
        <v>4</v>
      </c>
      <c r="D79">
        <v>10</v>
      </c>
      <c r="E79" s="12">
        <f t="shared" si="0"/>
        <v>2.5</v>
      </c>
      <c r="F79">
        <v>6</v>
      </c>
      <c r="G79">
        <v>0</v>
      </c>
      <c r="H79">
        <v>1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ht="12.75">
      <c r="E84" s="8"/>
    </row>
    <row r="85" spans="1:8" ht="12.75">
      <c r="A85" s="2" t="s">
        <v>52</v>
      </c>
      <c r="C85" s="3" t="s">
        <v>53</v>
      </c>
      <c r="D85" s="3" t="s">
        <v>48</v>
      </c>
      <c r="E85" s="15" t="s">
        <v>49</v>
      </c>
      <c r="F85" s="3" t="s">
        <v>50</v>
      </c>
      <c r="G85" s="3" t="s">
        <v>51</v>
      </c>
      <c r="H85" s="3" t="s">
        <v>80</v>
      </c>
    </row>
    <row r="86" spans="1:8" ht="12.75">
      <c r="A86" t="s">
        <v>109</v>
      </c>
      <c r="C86">
        <v>8</v>
      </c>
      <c r="D86">
        <v>101</v>
      </c>
      <c r="E86" s="12">
        <f aca="true" t="shared" si="1" ref="E86:E99">+D86/C86</f>
        <v>12.625</v>
      </c>
      <c r="F86">
        <v>20</v>
      </c>
      <c r="G86">
        <v>0</v>
      </c>
      <c r="H86">
        <v>0</v>
      </c>
    </row>
    <row r="87" spans="1:8" ht="12.75">
      <c r="A87" t="s">
        <v>118</v>
      </c>
      <c r="C87">
        <v>1</v>
      </c>
      <c r="D87">
        <v>18</v>
      </c>
      <c r="E87" s="12">
        <f t="shared" si="1"/>
        <v>18</v>
      </c>
      <c r="F87">
        <v>18</v>
      </c>
      <c r="G87">
        <v>0</v>
      </c>
      <c r="H87">
        <v>0</v>
      </c>
    </row>
    <row r="88" spans="1:8" ht="12.75">
      <c r="A88" t="s">
        <v>119</v>
      </c>
      <c r="C88">
        <v>1</v>
      </c>
      <c r="D88">
        <v>26</v>
      </c>
      <c r="E88" s="12">
        <f t="shared" si="1"/>
        <v>26</v>
      </c>
      <c r="F88">
        <v>26</v>
      </c>
      <c r="G88">
        <v>0</v>
      </c>
      <c r="H88">
        <v>0</v>
      </c>
    </row>
    <row r="89" spans="1:8" ht="12.75">
      <c r="A89" t="s">
        <v>120</v>
      </c>
      <c r="C89">
        <v>1</v>
      </c>
      <c r="D89">
        <v>6</v>
      </c>
      <c r="E89" s="12">
        <f t="shared" si="1"/>
        <v>6</v>
      </c>
      <c r="F89">
        <v>6</v>
      </c>
      <c r="G89">
        <v>0</v>
      </c>
      <c r="H89">
        <v>0</v>
      </c>
    </row>
    <row r="90" spans="1:5" ht="12.75">
      <c r="A90" t="s">
        <v>121</v>
      </c>
      <c r="E90" s="12" t="e">
        <f t="shared" si="1"/>
        <v>#DIV/0!</v>
      </c>
    </row>
    <row r="91" spans="1:8" ht="12.75">
      <c r="A91" t="s">
        <v>110</v>
      </c>
      <c r="C91">
        <v>2</v>
      </c>
      <c r="D91">
        <v>18</v>
      </c>
      <c r="E91" s="12">
        <f t="shared" si="1"/>
        <v>9</v>
      </c>
      <c r="F91">
        <v>12</v>
      </c>
      <c r="G91">
        <v>0</v>
      </c>
      <c r="H91">
        <v>0</v>
      </c>
    </row>
    <row r="92" spans="1:5" ht="12.75">
      <c r="A92" t="s">
        <v>122</v>
      </c>
      <c r="E92" s="12" t="e">
        <f t="shared" si="1"/>
        <v>#DIV/0!</v>
      </c>
    </row>
    <row r="93" spans="1:8" ht="12.75">
      <c r="A93" t="s">
        <v>123</v>
      </c>
      <c r="C93">
        <v>1</v>
      </c>
      <c r="D93">
        <v>2</v>
      </c>
      <c r="E93" s="12">
        <f t="shared" si="1"/>
        <v>2</v>
      </c>
      <c r="F93">
        <v>2</v>
      </c>
      <c r="G93">
        <v>0</v>
      </c>
      <c r="H93">
        <v>0</v>
      </c>
    </row>
    <row r="94" spans="1:8" ht="12.75">
      <c r="A94" t="s">
        <v>114</v>
      </c>
      <c r="C94">
        <v>2</v>
      </c>
      <c r="D94">
        <v>22</v>
      </c>
      <c r="E94" s="12">
        <f t="shared" si="1"/>
        <v>11</v>
      </c>
      <c r="F94">
        <v>17</v>
      </c>
      <c r="G94">
        <v>0</v>
      </c>
      <c r="H94">
        <v>0</v>
      </c>
    </row>
    <row r="95" spans="1:8" ht="12.75">
      <c r="A95" t="s">
        <v>124</v>
      </c>
      <c r="C95">
        <v>3</v>
      </c>
      <c r="D95">
        <v>37</v>
      </c>
      <c r="E95" s="12">
        <f t="shared" si="1"/>
        <v>12.333333333333334</v>
      </c>
      <c r="F95">
        <v>21</v>
      </c>
      <c r="G95">
        <v>1</v>
      </c>
      <c r="H95">
        <v>0</v>
      </c>
    </row>
    <row r="96" spans="1:5" ht="12.75">
      <c r="A96" t="s">
        <v>125</v>
      </c>
      <c r="E96" s="12" t="e">
        <f t="shared" si="1"/>
        <v>#DIV/0!</v>
      </c>
    </row>
    <row r="97" spans="1:5" ht="12.75">
      <c r="A97" t="s">
        <v>112</v>
      </c>
      <c r="E97" s="12" t="e">
        <f t="shared" si="1"/>
        <v>#DIV/0!</v>
      </c>
    </row>
    <row r="98" spans="1:5" ht="12.75">
      <c r="A98" t="s">
        <v>126</v>
      </c>
      <c r="E98" s="12" t="e">
        <f t="shared" si="1"/>
        <v>#DIV/0!</v>
      </c>
    </row>
    <row r="99" spans="1:5" ht="12.75">
      <c r="A99" t="s">
        <v>127</v>
      </c>
      <c r="E99" s="12" t="e">
        <f t="shared" si="1"/>
        <v>#DIV/0!</v>
      </c>
    </row>
    <row r="100" ht="12.75">
      <c r="E100" s="8"/>
    </row>
    <row r="101" spans="1:13" ht="12.75">
      <c r="A101" s="2"/>
      <c r="B101" s="2"/>
      <c r="C101" s="3"/>
      <c r="D101" s="3"/>
      <c r="E101" s="15" t="s">
        <v>57</v>
      </c>
      <c r="F101" s="3" t="s">
        <v>58</v>
      </c>
      <c r="G101" s="3"/>
      <c r="H101" s="3"/>
      <c r="I101" s="3" t="s">
        <v>61</v>
      </c>
      <c r="J101" s="3" t="s">
        <v>63</v>
      </c>
      <c r="K101" s="3" t="s">
        <v>57</v>
      </c>
      <c r="L101" s="3" t="s">
        <v>49</v>
      </c>
      <c r="M101" s="3"/>
    </row>
    <row r="102" spans="1:14" ht="12.75">
      <c r="A102" s="2" t="s">
        <v>54</v>
      </c>
      <c r="B102" s="2"/>
      <c r="C102" s="3" t="s">
        <v>55</v>
      </c>
      <c r="D102" s="3" t="s">
        <v>56</v>
      </c>
      <c r="E102" s="15" t="s">
        <v>56</v>
      </c>
      <c r="F102" s="3" t="s">
        <v>59</v>
      </c>
      <c r="G102" s="3" t="s">
        <v>51</v>
      </c>
      <c r="H102" s="3" t="s">
        <v>60</v>
      </c>
      <c r="I102" s="5" t="s">
        <v>62</v>
      </c>
      <c r="J102" s="3" t="s">
        <v>51</v>
      </c>
      <c r="K102" s="3" t="s">
        <v>64</v>
      </c>
      <c r="L102" s="3" t="s">
        <v>65</v>
      </c>
      <c r="M102" s="3" t="s">
        <v>66</v>
      </c>
      <c r="N102" s="3" t="s">
        <v>80</v>
      </c>
    </row>
    <row r="103" spans="1:25" ht="12.75">
      <c r="A103" t="s">
        <v>115</v>
      </c>
      <c r="C103">
        <v>11</v>
      </c>
      <c r="D103">
        <v>4</v>
      </c>
      <c r="E103" s="12">
        <f>+D103/C103*100</f>
        <v>36.36363636363637</v>
      </c>
      <c r="F103">
        <v>54</v>
      </c>
      <c r="G103">
        <v>0</v>
      </c>
      <c r="H103">
        <v>21</v>
      </c>
      <c r="I103">
        <v>1</v>
      </c>
      <c r="J103" s="8">
        <f>+G103/C103*100</f>
        <v>0</v>
      </c>
      <c r="K103" s="12">
        <f>+I103/C103*100</f>
        <v>9.090909090909092</v>
      </c>
      <c r="L103" s="12">
        <f>+F103/C103</f>
        <v>4.909090909090909</v>
      </c>
      <c r="M103" s="12">
        <f>100*(S103+U103+W103+Y103)/6</f>
        <v>14.962121212121211</v>
      </c>
      <c r="R103">
        <f>+(E103-30)/20</f>
        <v>0.31818181818181834</v>
      </c>
      <c r="S103" s="2">
        <f>IF(R103&lt;0,0,IF(R103&gt;2.375,2.375,R103))</f>
        <v>0.31818181818181834</v>
      </c>
      <c r="T103" s="6">
        <f>+(L103-3)/4</f>
        <v>0.4772727272727273</v>
      </c>
      <c r="U103" s="2">
        <f>IF(T103&lt;0,0,IF(T103&gt;2.375,2.375,T103))</f>
        <v>0.4772727272727273</v>
      </c>
      <c r="V103">
        <f>+J103/5</f>
        <v>0</v>
      </c>
      <c r="W103" s="2">
        <f>IF(V103&lt;0,0,IF(V103&gt;2.375,2.375,V103))</f>
        <v>0</v>
      </c>
      <c r="X103">
        <f>(9.5-K103)/4</f>
        <v>0.10227272727272707</v>
      </c>
      <c r="Y103" s="2">
        <f>IF(X103&lt;0,0,X103)</f>
        <v>0.10227272727272707</v>
      </c>
    </row>
    <row r="104" spans="1:25" ht="12.75">
      <c r="A104" t="s">
        <v>111</v>
      </c>
      <c r="C104">
        <v>32</v>
      </c>
      <c r="D104">
        <v>15</v>
      </c>
      <c r="E104" s="12">
        <f>+D104/C104*100</f>
        <v>46.875</v>
      </c>
      <c r="F104">
        <v>176</v>
      </c>
      <c r="G104">
        <v>1</v>
      </c>
      <c r="H104">
        <v>26</v>
      </c>
      <c r="I104">
        <v>2</v>
      </c>
      <c r="J104" s="8">
        <f>+G104/C104*100</f>
        <v>3.125</v>
      </c>
      <c r="K104" s="12">
        <f>+I104/C104*100</f>
        <v>6.25</v>
      </c>
      <c r="L104" s="12">
        <f>+F104/C104</f>
        <v>5.5</v>
      </c>
      <c r="M104" s="12">
        <f>100*(S104+U104+W104+Y104)/6</f>
        <v>48.4375</v>
      </c>
      <c r="R104">
        <f>+(E104-30)/20</f>
        <v>0.84375</v>
      </c>
      <c r="S104" s="2">
        <f>IF(R104&lt;0,0,IF(R104&gt;2.375,2.375,R104))</f>
        <v>0.84375</v>
      </c>
      <c r="T104" s="6">
        <f>+(L104-3)/4</f>
        <v>0.625</v>
      </c>
      <c r="U104" s="2">
        <f>IF(T104&lt;0,0,IF(T104&gt;2.375,2.375,T104))</f>
        <v>0.625</v>
      </c>
      <c r="V104">
        <f>+J104/5</f>
        <v>0.625</v>
      </c>
      <c r="W104" s="2">
        <f>IF(V104&lt;0,0,IF(V104&gt;2.375,2.375,V104))</f>
        <v>0.625</v>
      </c>
      <c r="X104">
        <f>(9.5-K104)/4</f>
        <v>0.8125</v>
      </c>
      <c r="Y104" s="2">
        <f>IF(X104&lt;0,0,X104)</f>
        <v>0.8125</v>
      </c>
    </row>
    <row r="105" spans="1:25" ht="12.75">
      <c r="A105" t="s">
        <v>128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109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7" spans="1:25" ht="12.75">
      <c r="A107" t="s">
        <v>129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10" spans="1:9" ht="12.75">
      <c r="A110" s="2" t="s">
        <v>67</v>
      </c>
      <c r="C110" s="3" t="s">
        <v>68</v>
      </c>
      <c r="D110" s="3" t="s">
        <v>69</v>
      </c>
      <c r="E110" s="3" t="s">
        <v>70</v>
      </c>
      <c r="F110" s="3" t="s">
        <v>49</v>
      </c>
      <c r="G110" s="3" t="s">
        <v>60</v>
      </c>
      <c r="H110" s="3" t="s">
        <v>51</v>
      </c>
      <c r="I110" s="3" t="s">
        <v>80</v>
      </c>
    </row>
    <row r="111" spans="1:9" ht="12.75">
      <c r="A111" t="s">
        <v>130</v>
      </c>
      <c r="C111">
        <v>3</v>
      </c>
      <c r="D111">
        <v>2</v>
      </c>
      <c r="E111">
        <v>29</v>
      </c>
      <c r="F111" s="12">
        <f>+E111/C111</f>
        <v>9.666666666666666</v>
      </c>
      <c r="G111">
        <v>15</v>
      </c>
      <c r="H111">
        <v>0</v>
      </c>
      <c r="I111">
        <v>0</v>
      </c>
    </row>
    <row r="112" spans="1:6" ht="12.75">
      <c r="A112" t="s">
        <v>131</v>
      </c>
      <c r="F112" s="12" t="e">
        <f>+E112/C112</f>
        <v>#DIV/0!</v>
      </c>
    </row>
    <row r="113" spans="1:6" ht="12.75">
      <c r="A113" t="s">
        <v>118</v>
      </c>
      <c r="F113" s="12" t="e">
        <f>+E113/C113</f>
        <v>#DIV/0!</v>
      </c>
    </row>
    <row r="114" spans="1:6" ht="12.75">
      <c r="A114" t="s">
        <v>132</v>
      </c>
      <c r="F114" s="12" t="e">
        <f>+E114/C114</f>
        <v>#DIV/0!</v>
      </c>
    </row>
    <row r="115" spans="1:6" ht="12.75">
      <c r="A115" t="s">
        <v>112</v>
      </c>
      <c r="F115" s="12" t="e">
        <f>+E115/C115</f>
        <v>#DIV/0!</v>
      </c>
    </row>
    <row r="117" spans="1:8" ht="12.75">
      <c r="A117" s="2" t="s">
        <v>30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51</v>
      </c>
      <c r="H117" s="3" t="s">
        <v>80</v>
      </c>
    </row>
    <row r="118" spans="1:8" ht="12.75">
      <c r="A118" t="s">
        <v>130</v>
      </c>
      <c r="C118">
        <v>5</v>
      </c>
      <c r="D118">
        <v>96</v>
      </c>
      <c r="E118" s="12">
        <f aca="true" t="shared" si="2" ref="E118:E126">+D118/C118</f>
        <v>19.2</v>
      </c>
      <c r="F118">
        <v>22</v>
      </c>
      <c r="G118">
        <v>0</v>
      </c>
      <c r="H118">
        <v>0</v>
      </c>
    </row>
    <row r="119" spans="1:8" ht="12.75">
      <c r="A119" t="s">
        <v>112</v>
      </c>
      <c r="C119">
        <v>1</v>
      </c>
      <c r="D119">
        <v>17</v>
      </c>
      <c r="E119" s="12">
        <f t="shared" si="2"/>
        <v>17</v>
      </c>
      <c r="F119">
        <v>17</v>
      </c>
      <c r="G119">
        <v>0</v>
      </c>
      <c r="H119">
        <v>0</v>
      </c>
    </row>
    <row r="120" spans="1:5" ht="12.75">
      <c r="A120" t="s">
        <v>116</v>
      </c>
      <c r="E120" s="12" t="e">
        <f t="shared" si="2"/>
        <v>#DIV/0!</v>
      </c>
    </row>
    <row r="121" spans="1:5" ht="12.75">
      <c r="A121" t="s">
        <v>124</v>
      </c>
      <c r="E121" s="12" t="e">
        <f t="shared" si="2"/>
        <v>#DIV/0!</v>
      </c>
    </row>
    <row r="122" spans="1:5" ht="12.75">
      <c r="A122" t="s">
        <v>122</v>
      </c>
      <c r="E122" s="12" t="e">
        <f t="shared" si="2"/>
        <v>#DIV/0!</v>
      </c>
    </row>
    <row r="123" spans="1:5" ht="12.75">
      <c r="A123" t="s">
        <v>114</v>
      </c>
      <c r="E123" s="12" t="e">
        <f t="shared" si="2"/>
        <v>#DIV/0!</v>
      </c>
    </row>
    <row r="124" spans="1:5" ht="12.75">
      <c r="A124" t="s">
        <v>126</v>
      </c>
      <c r="E124" s="12" t="e">
        <f t="shared" si="2"/>
        <v>#DIV/0!</v>
      </c>
    </row>
    <row r="125" spans="1:5" ht="12.75">
      <c r="A125" t="s">
        <v>127</v>
      </c>
      <c r="E125" s="12" t="e">
        <f t="shared" si="2"/>
        <v>#DIV/0!</v>
      </c>
    </row>
    <row r="126" spans="1:5" ht="12.75">
      <c r="A126" t="s">
        <v>106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129</v>
      </c>
      <c r="C129">
        <v>6</v>
      </c>
      <c r="D129">
        <v>239</v>
      </c>
      <c r="E129" s="12">
        <f>+D129/C129</f>
        <v>39.833333333333336</v>
      </c>
      <c r="F129">
        <v>48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133</v>
      </c>
      <c r="C132">
        <v>4</v>
      </c>
      <c r="D132">
        <v>2</v>
      </c>
      <c r="E132">
        <v>1</v>
      </c>
      <c r="F132">
        <v>1</v>
      </c>
      <c r="G132">
        <v>2</v>
      </c>
      <c r="H132">
        <v>2</v>
      </c>
      <c r="I132" s="12">
        <f>+H132/G132*100</f>
        <v>100</v>
      </c>
      <c r="J132">
        <v>47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5" ht="12.75">
      <c r="A135" t="s">
        <v>134</v>
      </c>
      <c r="E135" s="12" t="e">
        <f>+D135/C135</f>
        <v>#DIV/0!</v>
      </c>
    </row>
    <row r="136" spans="1:5" ht="12.75">
      <c r="A136" t="s">
        <v>135</v>
      </c>
      <c r="E136" s="12" t="e">
        <f aca="true" t="shared" si="3" ref="E136:E143">+D136/C136</f>
        <v>#DIV/0!</v>
      </c>
    </row>
    <row r="137" spans="1:5" ht="12.75">
      <c r="A137" t="s">
        <v>130</v>
      </c>
      <c r="E137" s="12" t="e">
        <f t="shared" si="3"/>
        <v>#DIV/0!</v>
      </c>
    </row>
    <row r="138" spans="1:5" ht="12.75">
      <c r="A138" t="s">
        <v>131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137</v>
      </c>
      <c r="E140" s="12" t="e">
        <f t="shared" si="3"/>
        <v>#DIV/0!</v>
      </c>
    </row>
    <row r="141" spans="1:5" ht="12.75">
      <c r="A141" t="s">
        <v>138</v>
      </c>
      <c r="E141" s="12" t="e">
        <f t="shared" si="3"/>
        <v>#DIV/0!</v>
      </c>
    </row>
    <row r="142" spans="1:5" ht="12.75">
      <c r="A142" t="s">
        <v>139</v>
      </c>
      <c r="E142" s="12" t="e">
        <f t="shared" si="3"/>
        <v>#DIV/0!</v>
      </c>
    </row>
    <row r="143" spans="1:5" ht="12.75">
      <c r="A143" t="s">
        <v>140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ht="12.75">
      <c r="A146" t="s">
        <v>117</v>
      </c>
    </row>
    <row r="147" ht="12.75">
      <c r="A147" t="s">
        <v>141</v>
      </c>
    </row>
    <row r="148" ht="12.75">
      <c r="A148" t="s">
        <v>142</v>
      </c>
    </row>
    <row r="149" ht="12.75">
      <c r="A149" t="s">
        <v>143</v>
      </c>
    </row>
    <row r="150" ht="12.75">
      <c r="A150" t="s">
        <v>144</v>
      </c>
    </row>
    <row r="151" ht="12.75">
      <c r="A151" t="s">
        <v>145</v>
      </c>
    </row>
    <row r="152" ht="12.75">
      <c r="A152" t="s">
        <v>140</v>
      </c>
    </row>
    <row r="153" ht="12.75">
      <c r="A153" t="s">
        <v>146</v>
      </c>
    </row>
    <row r="154" ht="12.75">
      <c r="A154" t="s">
        <v>138</v>
      </c>
    </row>
    <row r="155" ht="12.75">
      <c r="A155" t="s">
        <v>139</v>
      </c>
    </row>
    <row r="156" ht="12.75">
      <c r="A156" t="s">
        <v>147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16</v>
      </c>
      <c r="H159" t="s">
        <v>93</v>
      </c>
      <c r="M159">
        <v>7</v>
      </c>
    </row>
    <row r="160" spans="1:13" ht="12.75">
      <c r="A160" t="s">
        <v>94</v>
      </c>
      <c r="D160">
        <v>6</v>
      </c>
      <c r="H160" t="s">
        <v>94</v>
      </c>
      <c r="M160">
        <v>0</v>
      </c>
    </row>
    <row r="161" spans="1:13" ht="12.75">
      <c r="A161" t="s">
        <v>95</v>
      </c>
      <c r="D161" s="8">
        <f>D160/D159*100</f>
        <v>37.5</v>
      </c>
      <c r="H161" t="s">
        <v>95</v>
      </c>
      <c r="M161">
        <f>+M160/M159*100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Y161"/>
  <sheetViews>
    <sheetView zoomScalePageLayoutView="0" workbookViewId="0" topLeftCell="A75">
      <selection activeCell="V71" sqref="V71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107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22</v>
      </c>
      <c r="H6" s="1" t="s">
        <v>29</v>
      </c>
      <c r="M6" s="2">
        <f>M7+M8+M9</f>
        <v>24</v>
      </c>
    </row>
    <row r="7" spans="1:13" ht="12.75">
      <c r="A7" s="1" t="s">
        <v>103</v>
      </c>
      <c r="D7" s="2">
        <v>8</v>
      </c>
      <c r="H7" s="1" t="s">
        <v>103</v>
      </c>
      <c r="M7" s="2">
        <v>9</v>
      </c>
    </row>
    <row r="8" spans="1:13" ht="12.75">
      <c r="A8" s="1" t="s">
        <v>105</v>
      </c>
      <c r="D8" s="2">
        <v>12</v>
      </c>
      <c r="H8" s="1" t="s">
        <v>105</v>
      </c>
      <c r="M8" s="2">
        <v>13</v>
      </c>
    </row>
    <row r="9" spans="1:13" ht="12.75">
      <c r="A9" s="1" t="s">
        <v>104</v>
      </c>
      <c r="D9" s="2">
        <v>2</v>
      </c>
      <c r="H9" s="1" t="s">
        <v>104</v>
      </c>
      <c r="M9" s="2">
        <v>2</v>
      </c>
    </row>
    <row r="11" spans="1:23" ht="12.75">
      <c r="A11" t="s">
        <v>1</v>
      </c>
      <c r="D11" s="2">
        <v>24</v>
      </c>
      <c r="H11" t="s">
        <v>1</v>
      </c>
      <c r="M11" s="2">
        <v>40</v>
      </c>
      <c r="V11">
        <f>+D11</f>
        <v>24</v>
      </c>
      <c r="W11">
        <f>+M11</f>
        <v>40</v>
      </c>
    </row>
    <row r="12" spans="1:23" ht="12.75">
      <c r="A12" t="s">
        <v>2</v>
      </c>
      <c r="D12" s="2">
        <v>165</v>
      </c>
      <c r="H12" t="s">
        <v>2</v>
      </c>
      <c r="M12" s="2">
        <v>136</v>
      </c>
      <c r="U12" s="13"/>
      <c r="V12">
        <f>+D16</f>
        <v>12</v>
      </c>
      <c r="W12">
        <f>+M16</f>
        <v>22</v>
      </c>
    </row>
    <row r="13" spans="1:23" ht="12.75">
      <c r="A13" s="1" t="s">
        <v>3</v>
      </c>
      <c r="D13" s="8">
        <f>+D12/D11</f>
        <v>6.875</v>
      </c>
      <c r="H13" s="1" t="s">
        <v>3</v>
      </c>
      <c r="M13" s="8">
        <f>+M12/M11</f>
        <v>3.4</v>
      </c>
      <c r="V13">
        <f>+(D15-D16)/2</f>
        <v>10.5</v>
      </c>
      <c r="W13">
        <f>+(M15-M16)/2</f>
        <v>5</v>
      </c>
    </row>
    <row r="14" spans="22:23" ht="12.75">
      <c r="V14">
        <f>+D38/2</f>
        <v>1.5</v>
      </c>
      <c r="W14">
        <f>+M38/2</f>
        <v>4</v>
      </c>
    </row>
    <row r="15" spans="1:23" ht="12.75">
      <c r="A15" t="s">
        <v>4</v>
      </c>
      <c r="D15" s="2">
        <v>33</v>
      </c>
      <c r="H15" t="s">
        <v>4</v>
      </c>
      <c r="M15" s="2">
        <v>32</v>
      </c>
      <c r="V15">
        <f>+D42/2</f>
        <v>1</v>
      </c>
      <c r="W15">
        <f>+M42/2</f>
        <v>1.5</v>
      </c>
    </row>
    <row r="16" spans="1:23" ht="12.75">
      <c r="A16" t="s">
        <v>5</v>
      </c>
      <c r="D16" s="2">
        <v>12</v>
      </c>
      <c r="H16" t="s">
        <v>5</v>
      </c>
      <c r="M16" s="2">
        <v>22</v>
      </c>
      <c r="V16">
        <f>+D48/2</f>
        <v>1</v>
      </c>
      <c r="W16">
        <f>+M48/2</f>
        <v>2</v>
      </c>
    </row>
    <row r="17" spans="1:13" ht="12.75">
      <c r="A17" t="s">
        <v>6</v>
      </c>
      <c r="D17" s="8">
        <f>+D16/D15*100</f>
        <v>36.36363636363637</v>
      </c>
      <c r="H17" t="s">
        <v>6</v>
      </c>
      <c r="M17" s="8">
        <f>+M16/M15*100</f>
        <v>68.75</v>
      </c>
    </row>
    <row r="18" spans="1:24" ht="12.75">
      <c r="A18" t="s">
        <v>7</v>
      </c>
      <c r="D18" s="2">
        <v>287</v>
      </c>
      <c r="H18" t="s">
        <v>7</v>
      </c>
      <c r="M18" s="2">
        <v>237</v>
      </c>
      <c r="V18">
        <f>SUM(V11:V16)</f>
        <v>50</v>
      </c>
      <c r="W18">
        <f>SUM(W11:W16)</f>
        <v>74.5</v>
      </c>
      <c r="X18">
        <f>+W18+V18</f>
        <v>124.5</v>
      </c>
    </row>
    <row r="19" spans="1:23" ht="12.75">
      <c r="A19" t="s">
        <v>8</v>
      </c>
      <c r="D19" s="2">
        <v>1</v>
      </c>
      <c r="H19" t="s">
        <v>8</v>
      </c>
      <c r="M19" s="2">
        <v>2</v>
      </c>
      <c r="V19">
        <f>+V18/X18</f>
        <v>0.40160642570281124</v>
      </c>
      <c r="W19">
        <f>+W18/X18</f>
        <v>0.5983935742971888</v>
      </c>
    </row>
    <row r="20" spans="1:23" ht="12.75">
      <c r="A20" t="s">
        <v>9</v>
      </c>
      <c r="D20" s="2">
        <v>9</v>
      </c>
      <c r="H20" t="s">
        <v>9</v>
      </c>
      <c r="M20" s="2">
        <v>16</v>
      </c>
      <c r="V20">
        <f>+V19*60</f>
        <v>24.096385542168676</v>
      </c>
      <c r="W20">
        <f>+W19*60</f>
        <v>35.903614457831324</v>
      </c>
    </row>
    <row r="21" spans="1:23" ht="12.75">
      <c r="A21" t="s">
        <v>10</v>
      </c>
      <c r="D21">
        <f>+D18-D20</f>
        <v>278</v>
      </c>
      <c r="H21" t="s">
        <v>10</v>
      </c>
      <c r="M21">
        <f>+M18-M20</f>
        <v>221</v>
      </c>
      <c r="V21">
        <f>+V20-INT(V20)</f>
        <v>0.0963855421686759</v>
      </c>
      <c r="W21">
        <f>+W20-INT(W20)</f>
        <v>0.9036144578313241</v>
      </c>
    </row>
    <row r="22" spans="1:23" ht="12.75">
      <c r="A22" t="s">
        <v>11</v>
      </c>
      <c r="D22" s="7">
        <f>+D21/(D15+D19)</f>
        <v>8.176470588235293</v>
      </c>
      <c r="H22" t="s">
        <v>11</v>
      </c>
      <c r="M22" s="7">
        <f>+M21/(M15+M19)</f>
        <v>6.5</v>
      </c>
      <c r="V22">
        <f>+V21*60</f>
        <v>5.783132530120554</v>
      </c>
      <c r="W22">
        <f>+W21*60</f>
        <v>54.216867469879446</v>
      </c>
    </row>
    <row r="23" spans="1:23" ht="12.75">
      <c r="A23" t="s">
        <v>12</v>
      </c>
      <c r="D23" s="7">
        <f>+D18/D16</f>
        <v>23.916666666666668</v>
      </c>
      <c r="H23" t="s">
        <v>12</v>
      </c>
      <c r="M23" s="7">
        <f>+M18/M16</f>
        <v>10.772727272727273</v>
      </c>
      <c r="U23">
        <v>0</v>
      </c>
      <c r="V23" s="11">
        <f>ROUND(V22,0)</f>
        <v>6</v>
      </c>
      <c r="W23">
        <f>ROUND(W22,0)</f>
        <v>54</v>
      </c>
    </row>
    <row r="24" spans="22:23" ht="12.75">
      <c r="V24">
        <f>INT(V20)</f>
        <v>24</v>
      </c>
      <c r="W24">
        <f>INT(W20)</f>
        <v>35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443</v>
      </c>
      <c r="H26" t="s">
        <v>14</v>
      </c>
      <c r="M26">
        <f>+M21+M12</f>
        <v>357</v>
      </c>
      <c r="V26" s="14" t="str">
        <f>+V24&amp;V25&amp;V23</f>
        <v>24:6</v>
      </c>
      <c r="W26" s="9" t="str">
        <f>+W24&amp;W25&amp;W23</f>
        <v>35:54</v>
      </c>
    </row>
    <row r="27" spans="1:23" ht="12.75">
      <c r="A27" t="s">
        <v>15</v>
      </c>
      <c r="D27" s="7">
        <f>+D12/D26*100</f>
        <v>37.24604966139955</v>
      </c>
      <c r="H27" t="s">
        <v>15</v>
      </c>
      <c r="M27" s="7">
        <f>+M12/M26*100</f>
        <v>38.095238095238095</v>
      </c>
      <c r="V27" s="9" t="str">
        <f>IF(V23&lt;10,+V24&amp;V25&amp;$U$23&amp;V23,+V24&amp;V25&amp;V23)</f>
        <v>24:06</v>
      </c>
      <c r="W27" s="9" t="str">
        <f>IF(W23&lt;10,+W24&amp;W25&amp;$U$23&amp;W23,+W24&amp;W25&amp;W23)</f>
        <v>35:54</v>
      </c>
    </row>
    <row r="28" spans="1:13" ht="12.75">
      <c r="A28" s="1" t="s">
        <v>86</v>
      </c>
      <c r="D28" s="7">
        <f>+D21/D26*100</f>
        <v>62.75395033860045</v>
      </c>
      <c r="H28" s="1" t="s">
        <v>86</v>
      </c>
      <c r="M28" s="7">
        <f>+M21/M26*100</f>
        <v>61.904761904761905</v>
      </c>
    </row>
    <row r="30" spans="1:13" ht="12.75">
      <c r="A30" t="s">
        <v>16</v>
      </c>
      <c r="D30">
        <f>+D11+D15+D19</f>
        <v>58</v>
      </c>
      <c r="H30" t="s">
        <v>16</v>
      </c>
      <c r="M30">
        <f>+M11+M15+M19</f>
        <v>74</v>
      </c>
    </row>
    <row r="31" spans="1:13" ht="12.75">
      <c r="A31" t="s">
        <v>17</v>
      </c>
      <c r="D31" s="8">
        <f>+D26/D30</f>
        <v>7.637931034482759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4.824324324324325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3</v>
      </c>
      <c r="H34" t="s">
        <v>19</v>
      </c>
      <c r="M34" s="2">
        <v>0</v>
      </c>
    </row>
    <row r="35" spans="1:13" ht="12.75">
      <c r="A35" t="s">
        <v>20</v>
      </c>
      <c r="D35" s="2">
        <v>13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3</v>
      </c>
      <c r="H38" t="s">
        <v>22</v>
      </c>
      <c r="M38" s="2">
        <v>8</v>
      </c>
    </row>
    <row r="39" spans="1:13" ht="12.75">
      <c r="A39" t="s">
        <v>23</v>
      </c>
      <c r="D39" s="2">
        <v>112</v>
      </c>
      <c r="H39" t="s">
        <v>23</v>
      </c>
      <c r="M39" s="2">
        <v>340</v>
      </c>
    </row>
    <row r="40" spans="1:13" ht="12.75">
      <c r="A40" t="s">
        <v>24</v>
      </c>
      <c r="D40" s="8">
        <f>+D39/D38</f>
        <v>37.333333333333336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42.5</v>
      </c>
    </row>
    <row r="42" spans="1:13" ht="12.75">
      <c r="A42" t="s">
        <v>25</v>
      </c>
      <c r="D42" s="2">
        <v>2</v>
      </c>
      <c r="H42" t="s">
        <v>25</v>
      </c>
      <c r="M42" s="2">
        <v>3</v>
      </c>
    </row>
    <row r="43" spans="1:13" ht="12.75">
      <c r="A43" t="s">
        <v>26</v>
      </c>
      <c r="D43" s="2">
        <v>66</v>
      </c>
      <c r="H43" t="s">
        <v>26</v>
      </c>
      <c r="M43" s="2">
        <v>30</v>
      </c>
    </row>
    <row r="44" spans="1:13" ht="12.75">
      <c r="A44" t="s">
        <v>27</v>
      </c>
      <c r="D44" s="8">
        <f>+D43/D42</f>
        <v>33</v>
      </c>
      <c r="H44" t="s">
        <v>27</v>
      </c>
      <c r="M44" s="8">
        <f>+M43/M42</f>
        <v>10</v>
      </c>
    </row>
    <row r="45" spans="1:13" ht="12.75">
      <c r="A45" t="s">
        <v>108</v>
      </c>
      <c r="D45" s="2">
        <v>1</v>
      </c>
      <c r="H45" t="s">
        <v>108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2</v>
      </c>
      <c r="H48" t="s">
        <v>30</v>
      </c>
      <c r="M48" s="2">
        <v>4</v>
      </c>
    </row>
    <row r="49" spans="1:13" ht="12.75">
      <c r="A49" t="s">
        <v>26</v>
      </c>
      <c r="D49" s="2">
        <v>45</v>
      </c>
      <c r="H49" t="s">
        <v>26</v>
      </c>
      <c r="M49" s="2">
        <v>66</v>
      </c>
    </row>
    <row r="50" spans="1:13" ht="12.75">
      <c r="A50" t="s">
        <v>27</v>
      </c>
      <c r="D50" s="8">
        <f>+D49/D48</f>
        <v>22.5</v>
      </c>
      <c r="H50" t="s">
        <v>27</v>
      </c>
      <c r="M50" s="8">
        <f>+M49/M48</f>
        <v>16.5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8</v>
      </c>
      <c r="H53" t="s">
        <v>31</v>
      </c>
      <c r="M53" s="2">
        <v>3</v>
      </c>
    </row>
    <row r="54" spans="1:13" ht="12.75">
      <c r="A54" t="s">
        <v>32</v>
      </c>
      <c r="D54" s="2">
        <v>71</v>
      </c>
      <c r="H54" t="s">
        <v>32</v>
      </c>
      <c r="M54" s="2">
        <v>22</v>
      </c>
    </row>
    <row r="56" spans="1:13" ht="12.75">
      <c r="A56" t="s">
        <v>33</v>
      </c>
      <c r="D56" s="2">
        <v>0</v>
      </c>
      <c r="H56" t="s">
        <v>33</v>
      </c>
      <c r="M56" s="2">
        <v>1</v>
      </c>
    </row>
    <row r="57" spans="1:13" ht="12.75">
      <c r="A57" t="s">
        <v>101</v>
      </c>
      <c r="D57" s="2">
        <v>0</v>
      </c>
      <c r="H57" t="s">
        <v>101</v>
      </c>
      <c r="M57" s="2">
        <v>0</v>
      </c>
    </row>
    <row r="59" spans="1:13" ht="12.75">
      <c r="A59" t="s">
        <v>34</v>
      </c>
      <c r="D59" s="2">
        <v>20</v>
      </c>
      <c r="H59" t="s">
        <v>34</v>
      </c>
      <c r="M59" s="2">
        <v>21</v>
      </c>
    </row>
    <row r="60" spans="1:13" ht="12.75">
      <c r="A60" t="s">
        <v>35</v>
      </c>
      <c r="D60" s="2">
        <v>2</v>
      </c>
      <c r="H60" t="s">
        <v>35</v>
      </c>
      <c r="M60" s="2">
        <v>3</v>
      </c>
    </row>
    <row r="61" spans="1:13" ht="12.75">
      <c r="A61" t="s">
        <v>36</v>
      </c>
      <c r="D61" s="2">
        <v>2</v>
      </c>
      <c r="H61" t="s">
        <v>36</v>
      </c>
      <c r="M61" s="2">
        <v>2</v>
      </c>
    </row>
    <row r="62" spans="1:13" ht="12.75">
      <c r="A62" t="s">
        <v>37</v>
      </c>
      <c r="D62" s="2">
        <v>0</v>
      </c>
      <c r="H62" t="s">
        <v>37</v>
      </c>
      <c r="M62" s="2">
        <v>1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2</v>
      </c>
      <c r="H64" t="s">
        <v>39</v>
      </c>
      <c r="M64" s="2">
        <v>3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2</v>
      </c>
      <c r="H66" t="s">
        <v>41</v>
      </c>
      <c r="M66" s="2">
        <v>0</v>
      </c>
    </row>
    <row r="67" spans="1:13" ht="12.75">
      <c r="A67" t="s">
        <v>42</v>
      </c>
      <c r="D67" s="2">
        <v>3</v>
      </c>
      <c r="H67" t="s">
        <v>42</v>
      </c>
      <c r="M67" s="2">
        <v>0</v>
      </c>
    </row>
    <row r="68" spans="1:13" ht="12.75">
      <c r="A68" t="s">
        <v>43</v>
      </c>
      <c r="D68" s="8">
        <f>+D66/D67*100</f>
        <v>66.66666666666666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v>0</v>
      </c>
    </row>
    <row r="69" spans="1:13" ht="12.75">
      <c r="A69" t="s">
        <v>89</v>
      </c>
      <c r="D69" s="10" t="str">
        <f>IF(V23&lt;10,V27,V26)</f>
        <v>24:06</v>
      </c>
      <c r="E69" s="8"/>
      <c r="F69" s="8"/>
      <c r="H69" t="s">
        <v>89</v>
      </c>
      <c r="M69" s="10" t="str">
        <f>IF(W23&lt;10,W27,W26)</f>
        <v>35:54</v>
      </c>
    </row>
    <row r="70" spans="1:13" ht="12.75">
      <c r="A70" t="s">
        <v>102</v>
      </c>
      <c r="D70" s="23">
        <f>D161</f>
        <v>46.15384615384615</v>
      </c>
      <c r="E70" s="8"/>
      <c r="F70" s="8"/>
      <c r="H70" t="s">
        <v>102</v>
      </c>
      <c r="M70" s="23">
        <f>M161</f>
        <v>46.666666666666664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7</v>
      </c>
      <c r="D74">
        <v>92</v>
      </c>
      <c r="E74" s="12">
        <f aca="true" t="shared" si="0" ref="E74:E83">+D74/C74</f>
        <v>13.142857142857142</v>
      </c>
      <c r="F74">
        <v>49</v>
      </c>
      <c r="G74">
        <v>1</v>
      </c>
      <c r="H74">
        <v>0</v>
      </c>
    </row>
    <row r="75" spans="1:8" ht="12.75">
      <c r="A75" t="s">
        <v>110</v>
      </c>
      <c r="C75">
        <v>11</v>
      </c>
      <c r="D75">
        <v>51</v>
      </c>
      <c r="E75" s="12">
        <f t="shared" si="0"/>
        <v>4.636363636363637</v>
      </c>
      <c r="F75">
        <v>17</v>
      </c>
      <c r="G75">
        <v>1</v>
      </c>
      <c r="H75">
        <v>0</v>
      </c>
    </row>
    <row r="76" spans="1:8" ht="12.75">
      <c r="A76" t="s">
        <v>111</v>
      </c>
      <c r="C76">
        <v>3</v>
      </c>
      <c r="D76">
        <v>19</v>
      </c>
      <c r="E76" s="12">
        <f t="shared" si="0"/>
        <v>6.333333333333333</v>
      </c>
      <c r="F76">
        <v>15</v>
      </c>
      <c r="G76">
        <v>0</v>
      </c>
      <c r="H76">
        <v>0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8" ht="12.75">
      <c r="A79" t="s">
        <v>114</v>
      </c>
      <c r="C79">
        <v>3</v>
      </c>
      <c r="D79">
        <v>3</v>
      </c>
      <c r="E79" s="12">
        <f t="shared" si="0"/>
        <v>1</v>
      </c>
      <c r="F79">
        <v>1</v>
      </c>
      <c r="G79">
        <v>0</v>
      </c>
      <c r="H79">
        <v>0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ht="12.75">
      <c r="E84" s="8"/>
    </row>
    <row r="85" spans="1:8" ht="12.75">
      <c r="A85" s="2" t="s">
        <v>52</v>
      </c>
      <c r="C85" s="3" t="s">
        <v>53</v>
      </c>
      <c r="D85" s="3" t="s">
        <v>48</v>
      </c>
      <c r="E85" s="15" t="s">
        <v>49</v>
      </c>
      <c r="F85" s="3" t="s">
        <v>50</v>
      </c>
      <c r="G85" s="3" t="s">
        <v>51</v>
      </c>
      <c r="H85" s="3" t="s">
        <v>80</v>
      </c>
    </row>
    <row r="86" spans="1:8" ht="12.75">
      <c r="A86" t="s">
        <v>109</v>
      </c>
      <c r="C86">
        <v>1</v>
      </c>
      <c r="D86">
        <v>19</v>
      </c>
      <c r="E86" s="12">
        <f aca="true" t="shared" si="1" ref="E86:E99">+D86/C86</f>
        <v>19</v>
      </c>
      <c r="F86">
        <v>19</v>
      </c>
      <c r="G86">
        <v>0</v>
      </c>
      <c r="H86">
        <v>0</v>
      </c>
    </row>
    <row r="87" spans="1:8" ht="12.75">
      <c r="A87" t="s">
        <v>118</v>
      </c>
      <c r="C87">
        <v>4</v>
      </c>
      <c r="D87">
        <v>104</v>
      </c>
      <c r="E87" s="12">
        <f t="shared" si="1"/>
        <v>26</v>
      </c>
      <c r="F87">
        <v>32</v>
      </c>
      <c r="G87">
        <v>0</v>
      </c>
      <c r="H87">
        <v>0</v>
      </c>
    </row>
    <row r="88" spans="1:8" ht="12.75">
      <c r="A88" t="s">
        <v>119</v>
      </c>
      <c r="C88">
        <v>3</v>
      </c>
      <c r="D88">
        <v>88</v>
      </c>
      <c r="E88" s="12">
        <f t="shared" si="1"/>
        <v>29.333333333333332</v>
      </c>
      <c r="F88">
        <v>31</v>
      </c>
      <c r="G88">
        <v>0</v>
      </c>
      <c r="H88">
        <v>0</v>
      </c>
    </row>
    <row r="89" spans="1:8" ht="12.75">
      <c r="A89" t="s">
        <v>120</v>
      </c>
      <c r="C89">
        <v>2</v>
      </c>
      <c r="D89">
        <v>33</v>
      </c>
      <c r="E89" s="12">
        <f t="shared" si="1"/>
        <v>16.5</v>
      </c>
      <c r="F89">
        <v>23</v>
      </c>
      <c r="G89">
        <v>0</v>
      </c>
      <c r="H89">
        <v>0</v>
      </c>
    </row>
    <row r="90" spans="1:5" ht="12.75">
      <c r="A90" t="s">
        <v>121</v>
      </c>
      <c r="E90" s="12" t="e">
        <f t="shared" si="1"/>
        <v>#DIV/0!</v>
      </c>
    </row>
    <row r="91" spans="1:8" ht="12.75">
      <c r="A91" t="s">
        <v>110</v>
      </c>
      <c r="C91">
        <v>1</v>
      </c>
      <c r="D91">
        <v>17</v>
      </c>
      <c r="E91" s="12">
        <f t="shared" si="1"/>
        <v>17</v>
      </c>
      <c r="F91">
        <v>17</v>
      </c>
      <c r="G91">
        <v>0</v>
      </c>
      <c r="H91">
        <v>0</v>
      </c>
    </row>
    <row r="92" spans="1:5" ht="12.75">
      <c r="A92" t="s">
        <v>122</v>
      </c>
      <c r="E92" s="12" t="e">
        <f t="shared" si="1"/>
        <v>#DIV/0!</v>
      </c>
    </row>
    <row r="93" spans="1:5" ht="12.75">
      <c r="A93" t="s">
        <v>123</v>
      </c>
      <c r="E93" s="12" t="e">
        <f t="shared" si="1"/>
        <v>#DIV/0!</v>
      </c>
    </row>
    <row r="94" spans="1:5" ht="12.75">
      <c r="A94" t="s">
        <v>114</v>
      </c>
      <c r="E94" s="12" t="e">
        <f t="shared" si="1"/>
        <v>#DIV/0!</v>
      </c>
    </row>
    <row r="95" spans="1:8" ht="12.75">
      <c r="A95" t="s">
        <v>124</v>
      </c>
      <c r="C95">
        <v>1</v>
      </c>
      <c r="D95">
        <v>26</v>
      </c>
      <c r="E95" s="12">
        <f t="shared" si="1"/>
        <v>26</v>
      </c>
      <c r="F95">
        <v>26</v>
      </c>
      <c r="G95">
        <v>0</v>
      </c>
      <c r="H95">
        <v>0</v>
      </c>
    </row>
    <row r="96" spans="1:5" ht="12.75">
      <c r="A96" t="s">
        <v>125</v>
      </c>
      <c r="E96" s="12" t="e">
        <f t="shared" si="1"/>
        <v>#DIV/0!</v>
      </c>
    </row>
    <row r="97" spans="1:5" ht="12.75">
      <c r="A97" t="s">
        <v>112</v>
      </c>
      <c r="E97" s="12" t="e">
        <f t="shared" si="1"/>
        <v>#DIV/0!</v>
      </c>
    </row>
    <row r="98" spans="1:5" ht="12.75">
      <c r="A98" t="s">
        <v>126</v>
      </c>
      <c r="E98" s="12" t="e">
        <f t="shared" si="1"/>
        <v>#DIV/0!</v>
      </c>
    </row>
    <row r="99" spans="1:5" ht="12.75">
      <c r="A99" t="s">
        <v>127</v>
      </c>
      <c r="E99" s="12" t="e">
        <f t="shared" si="1"/>
        <v>#DIV/0!</v>
      </c>
    </row>
    <row r="100" ht="12.75">
      <c r="E100" s="8"/>
    </row>
    <row r="101" spans="1:13" ht="12.75">
      <c r="A101" s="2"/>
      <c r="B101" s="2"/>
      <c r="C101" s="3"/>
      <c r="D101" s="3"/>
      <c r="E101" s="15" t="s">
        <v>57</v>
      </c>
      <c r="F101" s="3" t="s">
        <v>58</v>
      </c>
      <c r="G101" s="3"/>
      <c r="H101" s="3"/>
      <c r="I101" s="3" t="s">
        <v>61</v>
      </c>
      <c r="J101" s="3" t="s">
        <v>63</v>
      </c>
      <c r="K101" s="3" t="s">
        <v>57</v>
      </c>
      <c r="L101" s="3" t="s">
        <v>49</v>
      </c>
      <c r="M101" s="3"/>
    </row>
    <row r="102" spans="1:14" ht="12.75">
      <c r="A102" s="2" t="s">
        <v>54</v>
      </c>
      <c r="B102" s="2"/>
      <c r="C102" s="3" t="s">
        <v>55</v>
      </c>
      <c r="D102" s="3" t="s">
        <v>56</v>
      </c>
      <c r="E102" s="15" t="s">
        <v>56</v>
      </c>
      <c r="F102" s="3" t="s">
        <v>59</v>
      </c>
      <c r="G102" s="3" t="s">
        <v>51</v>
      </c>
      <c r="H102" s="3" t="s">
        <v>60</v>
      </c>
      <c r="I102" s="5" t="s">
        <v>62</v>
      </c>
      <c r="J102" s="3" t="s">
        <v>51</v>
      </c>
      <c r="K102" s="3" t="s">
        <v>64</v>
      </c>
      <c r="L102" s="3" t="s">
        <v>65</v>
      </c>
      <c r="M102" s="3" t="s">
        <v>66</v>
      </c>
      <c r="N102" s="3" t="s">
        <v>80</v>
      </c>
    </row>
    <row r="103" spans="1:25" ht="12.75">
      <c r="A103" t="s">
        <v>115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111</v>
      </c>
      <c r="C104">
        <v>33</v>
      </c>
      <c r="D104">
        <v>12</v>
      </c>
      <c r="E104" s="12">
        <f>+D104/C104*100</f>
        <v>36.36363636363637</v>
      </c>
      <c r="F104">
        <v>287</v>
      </c>
      <c r="G104">
        <v>0</v>
      </c>
      <c r="H104">
        <v>32</v>
      </c>
      <c r="I104">
        <v>3</v>
      </c>
      <c r="J104" s="8">
        <f>+G104/C104*100</f>
        <v>0</v>
      </c>
      <c r="K104" s="12">
        <f>+I104/C104*100</f>
        <v>9.090909090909092</v>
      </c>
      <c r="L104" s="12">
        <f>+F104/C104</f>
        <v>8.696969696969697</v>
      </c>
      <c r="M104" s="12">
        <f>100*(S104+U104+W104+Y104)/6</f>
        <v>30.744949494949495</v>
      </c>
      <c r="R104">
        <f>+(E104-30)/20</f>
        <v>0.31818181818181834</v>
      </c>
      <c r="S104" s="2">
        <f>IF(R104&lt;0,0,IF(R104&gt;2.375,2.375,R104))</f>
        <v>0.31818181818181834</v>
      </c>
      <c r="T104" s="6">
        <f>+(L104-3)/4</f>
        <v>1.4242424242424243</v>
      </c>
      <c r="U104" s="2">
        <f>IF(T104&lt;0,0,IF(T104&gt;2.375,2.375,T104))</f>
        <v>1.4242424242424243</v>
      </c>
      <c r="V104">
        <f>+J104/5</f>
        <v>0</v>
      </c>
      <c r="W104" s="2">
        <f>IF(V104&lt;0,0,IF(V104&gt;2.375,2.375,V104))</f>
        <v>0</v>
      </c>
      <c r="X104">
        <f>(9.5-K104)/4</f>
        <v>0.10227272727272707</v>
      </c>
      <c r="Y104" s="2">
        <f>IF(X104&lt;0,0,X104)</f>
        <v>0.10227272727272707</v>
      </c>
    </row>
    <row r="105" spans="1:25" ht="12.75">
      <c r="A105" t="s">
        <v>128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109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7" spans="1:25" ht="12.75">
      <c r="A107" t="s">
        <v>129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10" spans="1:9" ht="12.75">
      <c r="A110" s="2" t="s">
        <v>67</v>
      </c>
      <c r="C110" s="3" t="s">
        <v>68</v>
      </c>
      <c r="D110" s="3" t="s">
        <v>69</v>
      </c>
      <c r="E110" s="3" t="s">
        <v>70</v>
      </c>
      <c r="F110" s="3" t="s">
        <v>49</v>
      </c>
      <c r="G110" s="3" t="s">
        <v>60</v>
      </c>
      <c r="H110" s="3" t="s">
        <v>51</v>
      </c>
      <c r="I110" s="3" t="s">
        <v>80</v>
      </c>
    </row>
    <row r="111" spans="1:9" ht="12.75">
      <c r="A111" t="s">
        <v>130</v>
      </c>
      <c r="C111">
        <v>2</v>
      </c>
      <c r="D111">
        <v>1</v>
      </c>
      <c r="E111">
        <v>66</v>
      </c>
      <c r="F111" s="12">
        <f>+E111/C111</f>
        <v>33</v>
      </c>
      <c r="G111">
        <v>43</v>
      </c>
      <c r="H111">
        <v>0</v>
      </c>
      <c r="I111">
        <v>0</v>
      </c>
    </row>
    <row r="112" spans="1:6" ht="12.75">
      <c r="A112" t="s">
        <v>131</v>
      </c>
      <c r="F112" s="12">
        <v>0</v>
      </c>
    </row>
    <row r="113" spans="1:6" ht="12.75">
      <c r="A113" t="s">
        <v>118</v>
      </c>
      <c r="F113" s="12" t="e">
        <f>+E113/C113</f>
        <v>#DIV/0!</v>
      </c>
    </row>
    <row r="114" spans="1:6" ht="12.75">
      <c r="A114" t="s">
        <v>132</v>
      </c>
      <c r="F114" s="12" t="e">
        <f>+E114/C114</f>
        <v>#DIV/0!</v>
      </c>
    </row>
    <row r="115" spans="1:6" ht="12.75">
      <c r="A115" t="s">
        <v>112</v>
      </c>
      <c r="F115" s="12" t="e">
        <f>+E115/C115</f>
        <v>#DIV/0!</v>
      </c>
    </row>
    <row r="117" spans="1:8" ht="12.75">
      <c r="A117" s="2" t="s">
        <v>30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51</v>
      </c>
      <c r="H117" s="3" t="s">
        <v>80</v>
      </c>
    </row>
    <row r="118" spans="1:5" ht="12.75">
      <c r="A118" t="s">
        <v>130</v>
      </c>
      <c r="E118" s="12" t="e">
        <f aca="true" t="shared" si="2" ref="E118:E126">+D118/C118</f>
        <v>#DIV/0!</v>
      </c>
    </row>
    <row r="119" spans="1:8" ht="12.75">
      <c r="A119" t="s">
        <v>112</v>
      </c>
      <c r="C119">
        <v>2</v>
      </c>
      <c r="D119">
        <v>45</v>
      </c>
      <c r="E119" s="12">
        <f t="shared" si="2"/>
        <v>22.5</v>
      </c>
      <c r="F119">
        <v>28</v>
      </c>
      <c r="G119">
        <v>0</v>
      </c>
      <c r="H119">
        <v>0</v>
      </c>
    </row>
    <row r="120" spans="1:5" ht="12.75">
      <c r="A120" t="s">
        <v>116</v>
      </c>
      <c r="E120" s="12" t="e">
        <f t="shared" si="2"/>
        <v>#DIV/0!</v>
      </c>
    </row>
    <row r="121" spans="1:5" ht="12.75">
      <c r="A121" t="s">
        <v>124</v>
      </c>
      <c r="E121" s="12" t="e">
        <f t="shared" si="2"/>
        <v>#DIV/0!</v>
      </c>
    </row>
    <row r="122" spans="1:5" ht="12.75">
      <c r="A122" t="s">
        <v>122</v>
      </c>
      <c r="E122" s="12" t="e">
        <f t="shared" si="2"/>
        <v>#DIV/0!</v>
      </c>
    </row>
    <row r="123" spans="1:5" ht="12.75">
      <c r="A123" t="s">
        <v>114</v>
      </c>
      <c r="E123" s="12" t="e">
        <f t="shared" si="2"/>
        <v>#DIV/0!</v>
      </c>
    </row>
    <row r="124" spans="1:5" ht="12.75">
      <c r="A124" t="s">
        <v>126</v>
      </c>
      <c r="E124" s="12" t="e">
        <f t="shared" si="2"/>
        <v>#DIV/0!</v>
      </c>
    </row>
    <row r="125" spans="1:5" ht="12.75">
      <c r="A125" t="s">
        <v>127</v>
      </c>
      <c r="E125" s="12" t="e">
        <f t="shared" si="2"/>
        <v>#DIV/0!</v>
      </c>
    </row>
    <row r="126" spans="1:5" ht="12.75">
      <c r="A126" t="s">
        <v>106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129</v>
      </c>
      <c r="C129">
        <v>3</v>
      </c>
      <c r="D129">
        <v>112</v>
      </c>
      <c r="E129" s="12">
        <f>+D129/C129</f>
        <v>37.333333333333336</v>
      </c>
      <c r="F129">
        <v>48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133</v>
      </c>
      <c r="C132">
        <v>5</v>
      </c>
      <c r="D132">
        <v>1</v>
      </c>
      <c r="E132">
        <v>2</v>
      </c>
      <c r="F132">
        <v>2</v>
      </c>
      <c r="G132">
        <v>3</v>
      </c>
      <c r="H132">
        <v>2</v>
      </c>
      <c r="I132" s="12">
        <f>+H132/G132*100</f>
        <v>66.66666666666666</v>
      </c>
      <c r="J132">
        <v>47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5" ht="12.75">
      <c r="A135" t="s">
        <v>134</v>
      </c>
      <c r="E135" s="12" t="e">
        <f>+D135/C135</f>
        <v>#DIV/0!</v>
      </c>
    </row>
    <row r="136" spans="1:5" ht="12.75">
      <c r="A136" t="s">
        <v>135</v>
      </c>
      <c r="E136" s="12" t="e">
        <f aca="true" t="shared" si="3" ref="E136:E143">+D136/C136</f>
        <v>#DIV/0!</v>
      </c>
    </row>
    <row r="137" spans="1:5" ht="12.75">
      <c r="A137" t="s">
        <v>130</v>
      </c>
      <c r="E137" s="12" t="e">
        <f t="shared" si="3"/>
        <v>#DIV/0!</v>
      </c>
    </row>
    <row r="138" spans="1:5" ht="12.75">
      <c r="A138" t="s">
        <v>131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137</v>
      </c>
      <c r="E140" s="12" t="e">
        <f t="shared" si="3"/>
        <v>#DIV/0!</v>
      </c>
    </row>
    <row r="141" spans="1:5" ht="12.75">
      <c r="A141" t="s">
        <v>138</v>
      </c>
      <c r="E141" s="12" t="e">
        <f t="shared" si="3"/>
        <v>#DIV/0!</v>
      </c>
    </row>
    <row r="142" spans="1:5" ht="12.75">
      <c r="A142" t="s">
        <v>139</v>
      </c>
      <c r="E142" s="12" t="e">
        <f t="shared" si="3"/>
        <v>#DIV/0!</v>
      </c>
    </row>
    <row r="143" spans="1:5" ht="12.75">
      <c r="A143" t="s">
        <v>140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spans="1:3" ht="12.75">
      <c r="A146" t="s">
        <v>117</v>
      </c>
      <c r="C146">
        <v>1</v>
      </c>
    </row>
    <row r="147" spans="1:3" ht="12.75">
      <c r="A147" t="s">
        <v>141</v>
      </c>
      <c r="C147">
        <v>0.5</v>
      </c>
    </row>
    <row r="148" ht="12.75">
      <c r="A148" t="s">
        <v>142</v>
      </c>
    </row>
    <row r="149" ht="12.75">
      <c r="A149" t="s">
        <v>143</v>
      </c>
    </row>
    <row r="150" spans="1:3" ht="12.75">
      <c r="A150" t="s">
        <v>144</v>
      </c>
      <c r="C150">
        <v>0.5</v>
      </c>
    </row>
    <row r="151" ht="12.75">
      <c r="A151" t="s">
        <v>145</v>
      </c>
    </row>
    <row r="152" ht="12.75">
      <c r="A152" t="s">
        <v>140</v>
      </c>
    </row>
    <row r="153" ht="12.75">
      <c r="A153" t="s">
        <v>146</v>
      </c>
    </row>
    <row r="154" ht="12.75">
      <c r="A154" t="s">
        <v>138</v>
      </c>
    </row>
    <row r="155" ht="12.75">
      <c r="A155" t="s">
        <v>139</v>
      </c>
    </row>
    <row r="156" ht="12.75">
      <c r="A156" t="s">
        <v>147</v>
      </c>
    </row>
    <row r="158" spans="3:14" ht="12.75">
      <c r="C158" s="2"/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13</v>
      </c>
      <c r="H159" t="s">
        <v>93</v>
      </c>
      <c r="M159">
        <v>15</v>
      </c>
    </row>
    <row r="160" spans="1:13" ht="12.75">
      <c r="A160" t="s">
        <v>94</v>
      </c>
      <c r="D160">
        <v>6</v>
      </c>
      <c r="H160" t="s">
        <v>94</v>
      </c>
      <c r="M160">
        <v>7</v>
      </c>
    </row>
    <row r="161" spans="1:13" ht="12.75">
      <c r="A161" t="s">
        <v>95</v>
      </c>
      <c r="D161">
        <f>D160/D159*100</f>
        <v>46.15384615384615</v>
      </c>
      <c r="H161" t="s">
        <v>95</v>
      </c>
      <c r="M161">
        <f>+M160/M159*100</f>
        <v>46.666666666666664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Y161"/>
  <sheetViews>
    <sheetView zoomScalePageLayoutView="0" workbookViewId="0" topLeftCell="A79">
      <selection activeCell="M161" sqref="M161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107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23</v>
      </c>
      <c r="H6" s="1" t="s">
        <v>29</v>
      </c>
      <c r="M6" s="2">
        <f>M7+M8+M9</f>
        <v>28</v>
      </c>
    </row>
    <row r="7" spans="1:13" ht="12.75">
      <c r="A7" s="1" t="s">
        <v>103</v>
      </c>
      <c r="D7" s="2">
        <v>4</v>
      </c>
      <c r="H7" s="1" t="s">
        <v>103</v>
      </c>
      <c r="M7" s="2">
        <v>10</v>
      </c>
    </row>
    <row r="8" spans="1:13" ht="12.75">
      <c r="A8" s="1" t="s">
        <v>105</v>
      </c>
      <c r="D8" s="2">
        <v>17</v>
      </c>
      <c r="H8" s="1" t="s">
        <v>105</v>
      </c>
      <c r="M8" s="2">
        <v>17</v>
      </c>
    </row>
    <row r="9" spans="1:13" ht="12.75">
      <c r="A9" s="1" t="s">
        <v>104</v>
      </c>
      <c r="D9" s="2">
        <v>2</v>
      </c>
      <c r="H9" s="1" t="s">
        <v>104</v>
      </c>
      <c r="M9" s="2">
        <v>1</v>
      </c>
    </row>
    <row r="11" spans="1:23" ht="12.75">
      <c r="A11" t="s">
        <v>1</v>
      </c>
      <c r="D11" s="2">
        <v>22</v>
      </c>
      <c r="H11" t="s">
        <v>1</v>
      </c>
      <c r="M11" s="2">
        <v>35</v>
      </c>
      <c r="V11">
        <f>+D11</f>
        <v>22</v>
      </c>
      <c r="W11">
        <f>+M11</f>
        <v>35</v>
      </c>
    </row>
    <row r="12" spans="1:23" ht="12.75">
      <c r="A12" t="s">
        <v>2</v>
      </c>
      <c r="D12" s="2">
        <v>146</v>
      </c>
      <c r="H12" t="s">
        <v>2</v>
      </c>
      <c r="M12" s="2">
        <v>193</v>
      </c>
      <c r="U12" s="13"/>
      <c r="V12">
        <f>+D16</f>
        <v>22</v>
      </c>
      <c r="W12">
        <f>+M16</f>
        <v>27</v>
      </c>
    </row>
    <row r="13" spans="1:23" ht="12.75">
      <c r="A13" s="1" t="s">
        <v>3</v>
      </c>
      <c r="D13" s="8">
        <f>+D12/D11</f>
        <v>6.636363636363637</v>
      </c>
      <c r="H13" s="1" t="s">
        <v>3</v>
      </c>
      <c r="M13" s="8">
        <f>+M12/M11</f>
        <v>5.514285714285714</v>
      </c>
      <c r="V13">
        <f>+(D15-D16)/2</f>
        <v>9</v>
      </c>
      <c r="W13">
        <f>+(M15-M16)/2</f>
        <v>4</v>
      </c>
    </row>
    <row r="14" spans="22:23" ht="12.75">
      <c r="V14">
        <f>+D38/2</f>
        <v>2</v>
      </c>
      <c r="W14">
        <f>+M38/2</f>
        <v>2.5</v>
      </c>
    </row>
    <row r="15" spans="1:23" ht="12.75">
      <c r="A15" t="s">
        <v>4</v>
      </c>
      <c r="D15" s="2">
        <v>40</v>
      </c>
      <c r="H15" t="s">
        <v>4</v>
      </c>
      <c r="M15" s="2">
        <v>35</v>
      </c>
      <c r="V15">
        <f>+D42/2</f>
        <v>1</v>
      </c>
      <c r="W15">
        <f>+M42/2</f>
        <v>1</v>
      </c>
    </row>
    <row r="16" spans="1:23" ht="12.75">
      <c r="A16" t="s">
        <v>5</v>
      </c>
      <c r="D16" s="2">
        <v>22</v>
      </c>
      <c r="H16" t="s">
        <v>5</v>
      </c>
      <c r="M16" s="2">
        <v>27</v>
      </c>
      <c r="V16">
        <f>+D48/2</f>
        <v>2</v>
      </c>
      <c r="W16">
        <f>+M48/2</f>
        <v>1.5</v>
      </c>
    </row>
    <row r="17" spans="1:13" ht="12.75">
      <c r="A17" t="s">
        <v>6</v>
      </c>
      <c r="D17" s="8">
        <f>+D16/D15*100</f>
        <v>55.00000000000001</v>
      </c>
      <c r="H17" t="s">
        <v>6</v>
      </c>
      <c r="M17" s="8">
        <f>+M16/M15*100</f>
        <v>77.14285714285715</v>
      </c>
    </row>
    <row r="18" spans="1:24" ht="12.75">
      <c r="A18" t="s">
        <v>7</v>
      </c>
      <c r="D18" s="2">
        <v>370</v>
      </c>
      <c r="H18" t="s">
        <v>7</v>
      </c>
      <c r="M18" s="2">
        <v>275</v>
      </c>
      <c r="V18">
        <f>SUM(V11:V16)</f>
        <v>58</v>
      </c>
      <c r="W18">
        <f>SUM(W11:W16)</f>
        <v>71</v>
      </c>
      <c r="X18">
        <f>+W18+V18</f>
        <v>129</v>
      </c>
    </row>
    <row r="19" spans="1:23" ht="12.75">
      <c r="A19" t="s">
        <v>8</v>
      </c>
      <c r="D19" s="2">
        <v>3</v>
      </c>
      <c r="H19" t="s">
        <v>8</v>
      </c>
      <c r="M19" s="2">
        <v>0</v>
      </c>
      <c r="V19">
        <f>+V18/X18</f>
        <v>0.4496124031007752</v>
      </c>
      <c r="W19">
        <f>+W18/X18</f>
        <v>0.5503875968992248</v>
      </c>
    </row>
    <row r="20" spans="1:23" ht="12.75">
      <c r="A20" t="s">
        <v>9</v>
      </c>
      <c r="D20" s="2">
        <v>20</v>
      </c>
      <c r="H20" t="s">
        <v>9</v>
      </c>
      <c r="M20" s="2">
        <v>0</v>
      </c>
      <c r="V20">
        <f>+V19*60</f>
        <v>26.976744186046513</v>
      </c>
      <c r="W20">
        <f>+W19*60</f>
        <v>33.02325581395349</v>
      </c>
    </row>
    <row r="21" spans="1:23" ht="12.75">
      <c r="A21" t="s">
        <v>10</v>
      </c>
      <c r="D21">
        <f>+D18-D20</f>
        <v>350</v>
      </c>
      <c r="H21" t="s">
        <v>10</v>
      </c>
      <c r="M21">
        <f>+M18-M20</f>
        <v>275</v>
      </c>
      <c r="V21">
        <f>+V20-INT(V20)</f>
        <v>0.9767441860465134</v>
      </c>
      <c r="W21">
        <f>+W20-INT(W20)</f>
        <v>0.02325581395349019</v>
      </c>
    </row>
    <row r="22" spans="1:23" ht="12.75">
      <c r="A22" t="s">
        <v>11</v>
      </c>
      <c r="D22" s="7">
        <f>+D21/(D15+D19)</f>
        <v>8.13953488372093</v>
      </c>
      <c r="H22" t="s">
        <v>11</v>
      </c>
      <c r="M22" s="7">
        <f>+M21/(M15+M19)</f>
        <v>7.857142857142857</v>
      </c>
      <c r="V22">
        <f>+V21*60</f>
        <v>58.6046511627908</v>
      </c>
      <c r="W22">
        <f>+W21*60</f>
        <v>1.3953488372094114</v>
      </c>
    </row>
    <row r="23" spans="1:23" ht="12.75">
      <c r="A23" t="s">
        <v>12</v>
      </c>
      <c r="D23" s="7">
        <f>+D18/D16</f>
        <v>16.818181818181817</v>
      </c>
      <c r="H23" t="s">
        <v>12</v>
      </c>
      <c r="M23" s="7">
        <f>+M18/M16</f>
        <v>10.185185185185185</v>
      </c>
      <c r="U23">
        <v>0</v>
      </c>
      <c r="V23" s="11">
        <f>ROUND(V22,0)</f>
        <v>59</v>
      </c>
      <c r="W23">
        <f>ROUND(W22,0)</f>
        <v>1</v>
      </c>
    </row>
    <row r="24" spans="22:23" ht="12.75">
      <c r="V24">
        <f>INT(V20)</f>
        <v>26</v>
      </c>
      <c r="W24">
        <f>INT(W20)</f>
        <v>33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496</v>
      </c>
      <c r="H26" t="s">
        <v>14</v>
      </c>
      <c r="M26">
        <f>+M21+M12</f>
        <v>468</v>
      </c>
      <c r="V26" s="14" t="str">
        <f>+V24&amp;V25&amp;V23</f>
        <v>26:59</v>
      </c>
      <c r="W26" s="9" t="str">
        <f>+W24&amp;W25&amp;W23</f>
        <v>33:1</v>
      </c>
    </row>
    <row r="27" spans="1:23" ht="12.75">
      <c r="A27" t="s">
        <v>15</v>
      </c>
      <c r="D27" s="7">
        <f>+D12/D26*100</f>
        <v>29.435483870967744</v>
      </c>
      <c r="H27" t="s">
        <v>15</v>
      </c>
      <c r="M27" s="7">
        <f>+M12/M26*100</f>
        <v>41.23931623931624</v>
      </c>
      <c r="V27" s="9" t="str">
        <f>IF(V23&lt;10,+V24&amp;V25&amp;$U$23&amp;V23,+V24&amp;V25&amp;V23)</f>
        <v>26:59</v>
      </c>
      <c r="W27" s="9" t="str">
        <f>IF(W23&lt;10,+W24&amp;W25&amp;$U$23&amp;W23,+W24&amp;W25&amp;W23)</f>
        <v>33:01</v>
      </c>
    </row>
    <row r="28" spans="1:13" ht="12.75">
      <c r="A28" s="1" t="s">
        <v>86</v>
      </c>
      <c r="D28" s="7">
        <f>+D21/D26*100</f>
        <v>70.56451612903226</v>
      </c>
      <c r="H28" s="1" t="s">
        <v>86</v>
      </c>
      <c r="M28" s="7">
        <f>+M21/M26*100</f>
        <v>58.76068376068376</v>
      </c>
    </row>
    <row r="30" spans="1:13" ht="12.75">
      <c r="A30" t="s">
        <v>16</v>
      </c>
      <c r="D30">
        <f>+D11+D15+D19</f>
        <v>65</v>
      </c>
      <c r="H30" t="s">
        <v>16</v>
      </c>
      <c r="M30">
        <f>+M11+M15+M19</f>
        <v>70</v>
      </c>
    </row>
    <row r="31" spans="1:13" ht="12.75">
      <c r="A31" t="s">
        <v>17</v>
      </c>
      <c r="D31" s="8">
        <f>+D26/D30</f>
        <v>7.630769230769231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6.685714285714286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0</v>
      </c>
      <c r="H34" t="s">
        <v>19</v>
      </c>
      <c r="M34" s="2">
        <v>0</v>
      </c>
    </row>
    <row r="35" spans="1:13" ht="12.75">
      <c r="A35" t="s">
        <v>20</v>
      </c>
      <c r="D35" s="2">
        <v>0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4</v>
      </c>
      <c r="H38" t="s">
        <v>22</v>
      </c>
      <c r="M38" s="2">
        <v>5</v>
      </c>
    </row>
    <row r="39" spans="1:13" ht="12.75">
      <c r="A39" t="s">
        <v>23</v>
      </c>
      <c r="D39" s="2">
        <v>145</v>
      </c>
      <c r="H39" t="s">
        <v>23</v>
      </c>
      <c r="M39" s="2">
        <v>242</v>
      </c>
    </row>
    <row r="40" spans="1:13" ht="12.75">
      <c r="A40" t="s">
        <v>24</v>
      </c>
      <c r="D40" s="8">
        <f>+D39/D38</f>
        <v>36.25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48.4</v>
      </c>
    </row>
    <row r="42" spans="1:13" ht="12.75">
      <c r="A42" t="s">
        <v>25</v>
      </c>
      <c r="D42" s="2">
        <v>2</v>
      </c>
      <c r="H42" t="s">
        <v>25</v>
      </c>
      <c r="M42" s="2">
        <v>2</v>
      </c>
    </row>
    <row r="43" spans="1:13" ht="12.75">
      <c r="A43" t="s">
        <v>26</v>
      </c>
      <c r="D43" s="2">
        <v>22</v>
      </c>
      <c r="H43" t="s">
        <v>26</v>
      </c>
      <c r="M43" s="2">
        <v>20</v>
      </c>
    </row>
    <row r="44" spans="1:13" ht="12.75">
      <c r="A44" t="s">
        <v>27</v>
      </c>
      <c r="D44" s="8">
        <f>+D43/D42</f>
        <v>11</v>
      </c>
      <c r="H44" t="s">
        <v>27</v>
      </c>
      <c r="M44" s="8">
        <f>+M43/M42</f>
        <v>10</v>
      </c>
    </row>
    <row r="45" spans="1:13" ht="12.75">
      <c r="A45" t="s">
        <v>108</v>
      </c>
      <c r="D45" s="2">
        <v>1</v>
      </c>
      <c r="H45" t="s">
        <v>108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4</v>
      </c>
      <c r="H48" t="s">
        <v>30</v>
      </c>
      <c r="M48" s="2">
        <v>3</v>
      </c>
    </row>
    <row r="49" spans="1:13" ht="12.75">
      <c r="A49" t="s">
        <v>26</v>
      </c>
      <c r="D49" s="2">
        <v>108</v>
      </c>
      <c r="H49" t="s">
        <v>26</v>
      </c>
      <c r="M49" s="2">
        <v>54</v>
      </c>
    </row>
    <row r="50" spans="1:13" ht="12.75">
      <c r="A50" t="s">
        <v>27</v>
      </c>
      <c r="D50" s="8">
        <f>+D49/D48</f>
        <v>27</v>
      </c>
      <c r="H50" t="s">
        <v>27</v>
      </c>
      <c r="M50" s="8">
        <f>+M49/M48</f>
        <v>18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8</v>
      </c>
      <c r="H53" t="s">
        <v>31</v>
      </c>
      <c r="M53" s="2">
        <v>3</v>
      </c>
    </row>
    <row r="54" spans="1:13" ht="12.75">
      <c r="A54" t="s">
        <v>32</v>
      </c>
      <c r="D54" s="2">
        <v>60</v>
      </c>
      <c r="H54" t="s">
        <v>32</v>
      </c>
      <c r="M54" s="2">
        <v>40</v>
      </c>
    </row>
    <row r="56" spans="1:13" ht="12.75">
      <c r="A56" t="s">
        <v>33</v>
      </c>
      <c r="D56" s="2">
        <v>1</v>
      </c>
      <c r="H56" t="s">
        <v>33</v>
      </c>
      <c r="M56" s="2">
        <v>2</v>
      </c>
    </row>
    <row r="57" spans="1:13" ht="12.75">
      <c r="A57" t="s">
        <v>101</v>
      </c>
      <c r="D57" s="2">
        <v>0</v>
      </c>
      <c r="H57" t="s">
        <v>101</v>
      </c>
      <c r="M57" s="2">
        <v>0</v>
      </c>
    </row>
    <row r="59" spans="1:13" ht="12.75">
      <c r="A59" t="s">
        <v>34</v>
      </c>
      <c r="D59" s="2">
        <v>19</v>
      </c>
      <c r="H59" t="s">
        <v>34</v>
      </c>
      <c r="M59" s="2">
        <v>31</v>
      </c>
    </row>
    <row r="60" spans="1:13" ht="12.75">
      <c r="A60" t="s">
        <v>35</v>
      </c>
      <c r="D60" s="2">
        <v>1</v>
      </c>
      <c r="H60" t="s">
        <v>35</v>
      </c>
      <c r="M60" s="2">
        <v>4</v>
      </c>
    </row>
    <row r="61" spans="1:13" ht="12.75">
      <c r="A61" t="s">
        <v>36</v>
      </c>
      <c r="D61" s="2">
        <v>0</v>
      </c>
      <c r="H61" t="s">
        <v>36</v>
      </c>
      <c r="M61" s="2">
        <v>1</v>
      </c>
    </row>
    <row r="62" spans="1:13" ht="12.75">
      <c r="A62" t="s">
        <v>37</v>
      </c>
      <c r="D62" s="2">
        <v>1</v>
      </c>
      <c r="H62" t="s">
        <v>37</v>
      </c>
      <c r="M62" s="2">
        <v>3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1</v>
      </c>
      <c r="H64" t="s">
        <v>39</v>
      </c>
      <c r="M64" s="2">
        <v>4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4</v>
      </c>
      <c r="H66" t="s">
        <v>41</v>
      </c>
      <c r="M66" s="2">
        <v>1</v>
      </c>
    </row>
    <row r="67" spans="1:13" ht="12.75">
      <c r="A67" t="s">
        <v>42</v>
      </c>
      <c r="D67" s="2">
        <v>4</v>
      </c>
      <c r="H67" t="s">
        <v>42</v>
      </c>
      <c r="M67" s="2">
        <v>2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50</v>
      </c>
    </row>
    <row r="69" spans="1:13" ht="12.75">
      <c r="A69" t="s">
        <v>92</v>
      </c>
      <c r="D69" s="10">
        <f>59.59-33.01</f>
        <v>26.580000000000005</v>
      </c>
      <c r="E69" s="8"/>
      <c r="F69" s="8"/>
      <c r="H69" t="s">
        <v>92</v>
      </c>
      <c r="M69" s="10" t="str">
        <f>IF(W23&lt;10,W27,W26)</f>
        <v>33:01</v>
      </c>
    </row>
    <row r="70" spans="1:13" ht="12.75">
      <c r="A70" t="s">
        <v>102</v>
      </c>
      <c r="D70" s="23">
        <f>D161</f>
        <v>30.76923076923077</v>
      </c>
      <c r="E70" s="8"/>
      <c r="F70" s="8"/>
      <c r="H70" t="s">
        <v>102</v>
      </c>
      <c r="M70" s="23">
        <f>M161</f>
        <v>50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6</v>
      </c>
      <c r="D74">
        <v>23</v>
      </c>
      <c r="E74" s="12">
        <f aca="true" t="shared" si="0" ref="E74:E83">+D74/C74</f>
        <v>3.8333333333333335</v>
      </c>
      <c r="F74">
        <v>9</v>
      </c>
      <c r="G74">
        <v>0</v>
      </c>
      <c r="H74">
        <v>0</v>
      </c>
    </row>
    <row r="75" spans="1:8" ht="12.75">
      <c r="A75" t="s">
        <v>110</v>
      </c>
      <c r="C75">
        <v>11</v>
      </c>
      <c r="D75">
        <v>72</v>
      </c>
      <c r="E75" s="12">
        <f t="shared" si="0"/>
        <v>6.545454545454546</v>
      </c>
      <c r="F75">
        <v>18</v>
      </c>
      <c r="G75">
        <v>0</v>
      </c>
      <c r="H75">
        <v>1</v>
      </c>
    </row>
    <row r="76" spans="1:8" ht="12.75">
      <c r="A76" t="s">
        <v>111</v>
      </c>
      <c r="C76">
        <v>3</v>
      </c>
      <c r="D76">
        <v>46</v>
      </c>
      <c r="E76" s="12">
        <f t="shared" si="0"/>
        <v>15.333333333333334</v>
      </c>
      <c r="F76">
        <v>17</v>
      </c>
      <c r="G76">
        <v>0</v>
      </c>
      <c r="H76">
        <v>0</v>
      </c>
    </row>
    <row r="77" spans="1:5" ht="12.75">
      <c r="A77" t="s">
        <v>112</v>
      </c>
      <c r="E77" s="12" t="e">
        <f t="shared" si="0"/>
        <v>#DIV/0!</v>
      </c>
    </row>
    <row r="78" spans="1:8" ht="12.75">
      <c r="A78" t="s">
        <v>113</v>
      </c>
      <c r="C78">
        <v>1</v>
      </c>
      <c r="D78">
        <v>0</v>
      </c>
      <c r="E78" s="12">
        <f t="shared" si="0"/>
        <v>0</v>
      </c>
      <c r="F78">
        <v>0</v>
      </c>
      <c r="G78">
        <v>0</v>
      </c>
      <c r="H78">
        <v>0</v>
      </c>
    </row>
    <row r="79" spans="1:8" ht="12.75">
      <c r="A79" t="s">
        <v>114</v>
      </c>
      <c r="C79">
        <v>1</v>
      </c>
      <c r="D79">
        <v>5</v>
      </c>
      <c r="E79" s="12">
        <f t="shared" si="0"/>
        <v>5</v>
      </c>
      <c r="F79">
        <v>5</v>
      </c>
      <c r="G79">
        <v>0</v>
      </c>
      <c r="H79">
        <v>0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ht="12.75">
      <c r="E84" s="8"/>
    </row>
    <row r="85" spans="1:8" ht="12.75">
      <c r="A85" s="2" t="s">
        <v>52</v>
      </c>
      <c r="C85" s="3" t="s">
        <v>53</v>
      </c>
      <c r="D85" s="3" t="s">
        <v>48</v>
      </c>
      <c r="E85" s="15" t="s">
        <v>49</v>
      </c>
      <c r="F85" s="3" t="s">
        <v>50</v>
      </c>
      <c r="G85" s="3" t="s">
        <v>51</v>
      </c>
      <c r="H85" s="3" t="s">
        <v>80</v>
      </c>
    </row>
    <row r="86" spans="1:8" ht="12.75">
      <c r="A86" t="s">
        <v>109</v>
      </c>
      <c r="C86">
        <v>6</v>
      </c>
      <c r="D86">
        <v>113</v>
      </c>
      <c r="E86" s="12">
        <f aca="true" t="shared" si="1" ref="E86:E99">+D86/C86</f>
        <v>18.833333333333332</v>
      </c>
      <c r="F86">
        <v>49</v>
      </c>
      <c r="G86">
        <v>0</v>
      </c>
      <c r="H86">
        <v>0</v>
      </c>
    </row>
    <row r="87" spans="1:8" ht="12.75">
      <c r="A87" t="s">
        <v>118</v>
      </c>
      <c r="C87">
        <v>3</v>
      </c>
      <c r="D87">
        <v>44</v>
      </c>
      <c r="E87" s="12">
        <f t="shared" si="1"/>
        <v>14.666666666666666</v>
      </c>
      <c r="F87">
        <v>22</v>
      </c>
      <c r="G87">
        <v>0</v>
      </c>
      <c r="H87">
        <v>0</v>
      </c>
    </row>
    <row r="88" spans="1:8" ht="12.75">
      <c r="A88" t="s">
        <v>119</v>
      </c>
      <c r="C88">
        <v>2</v>
      </c>
      <c r="D88">
        <v>23</v>
      </c>
      <c r="E88" s="12">
        <f t="shared" si="1"/>
        <v>11.5</v>
      </c>
      <c r="F88">
        <v>12</v>
      </c>
      <c r="G88">
        <v>1</v>
      </c>
      <c r="H88">
        <v>0</v>
      </c>
    </row>
    <row r="89" spans="1:8" ht="12.75">
      <c r="A89" t="s">
        <v>120</v>
      </c>
      <c r="C89">
        <v>4</v>
      </c>
      <c r="D89">
        <v>41</v>
      </c>
      <c r="E89" s="12">
        <f t="shared" si="1"/>
        <v>10.25</v>
      </c>
      <c r="F89">
        <v>25</v>
      </c>
      <c r="G89">
        <v>0</v>
      </c>
      <c r="H89">
        <v>0</v>
      </c>
    </row>
    <row r="90" spans="1:8" ht="12.75">
      <c r="A90" t="s">
        <v>121</v>
      </c>
      <c r="C90">
        <v>2</v>
      </c>
      <c r="D90">
        <v>66</v>
      </c>
      <c r="E90" s="12">
        <f t="shared" si="1"/>
        <v>33</v>
      </c>
      <c r="F90">
        <v>37</v>
      </c>
      <c r="G90">
        <v>0</v>
      </c>
      <c r="H90">
        <v>0</v>
      </c>
    </row>
    <row r="91" spans="1:8" ht="12.75">
      <c r="A91" t="s">
        <v>110</v>
      </c>
      <c r="C91">
        <v>1</v>
      </c>
      <c r="D91">
        <v>19</v>
      </c>
      <c r="E91" s="12">
        <f t="shared" si="1"/>
        <v>19</v>
      </c>
      <c r="F91">
        <v>19</v>
      </c>
      <c r="G91">
        <v>0</v>
      </c>
      <c r="H91">
        <v>0</v>
      </c>
    </row>
    <row r="92" spans="1:8" ht="12.75">
      <c r="A92" t="s">
        <v>122</v>
      </c>
      <c r="C92">
        <v>3</v>
      </c>
      <c r="D92">
        <v>61</v>
      </c>
      <c r="E92" s="12">
        <f t="shared" si="1"/>
        <v>20.333333333333332</v>
      </c>
      <c r="F92">
        <v>28</v>
      </c>
      <c r="G92">
        <v>0</v>
      </c>
      <c r="H92">
        <v>0</v>
      </c>
    </row>
    <row r="93" spans="1:5" ht="12.75">
      <c r="A93" t="s">
        <v>123</v>
      </c>
      <c r="E93" s="12" t="e">
        <f t="shared" si="1"/>
        <v>#DIV/0!</v>
      </c>
    </row>
    <row r="94" spans="1:5" ht="12.75">
      <c r="A94" t="s">
        <v>114</v>
      </c>
      <c r="E94" s="12" t="e">
        <f t="shared" si="1"/>
        <v>#DIV/0!</v>
      </c>
    </row>
    <row r="95" spans="1:5" ht="12.75">
      <c r="A95" t="s">
        <v>124</v>
      </c>
      <c r="E95" s="12" t="e">
        <f t="shared" si="1"/>
        <v>#DIV/0!</v>
      </c>
    </row>
    <row r="96" spans="1:5" ht="12.75">
      <c r="A96" t="s">
        <v>125</v>
      </c>
      <c r="E96" s="12" t="e">
        <f t="shared" si="1"/>
        <v>#DIV/0!</v>
      </c>
    </row>
    <row r="97" spans="1:8" ht="12.75">
      <c r="A97" t="s">
        <v>112</v>
      </c>
      <c r="C97">
        <v>1</v>
      </c>
      <c r="D97">
        <v>3</v>
      </c>
      <c r="E97" s="12">
        <f t="shared" si="1"/>
        <v>3</v>
      </c>
      <c r="F97">
        <v>3</v>
      </c>
      <c r="G97">
        <v>0</v>
      </c>
      <c r="H97">
        <v>0</v>
      </c>
    </row>
    <row r="98" spans="1:5" ht="12.75">
      <c r="A98" t="s">
        <v>126</v>
      </c>
      <c r="E98" s="12" t="e">
        <f t="shared" si="1"/>
        <v>#DIV/0!</v>
      </c>
    </row>
    <row r="99" spans="1:5" ht="12.75">
      <c r="A99" t="s">
        <v>127</v>
      </c>
      <c r="E99" s="12" t="e">
        <f t="shared" si="1"/>
        <v>#DIV/0!</v>
      </c>
    </row>
    <row r="100" ht="12.75">
      <c r="E100" s="8"/>
    </row>
    <row r="101" spans="1:13" ht="12.75">
      <c r="A101" s="2"/>
      <c r="B101" s="2"/>
      <c r="C101" s="3"/>
      <c r="D101" s="3"/>
      <c r="E101" s="15" t="s">
        <v>57</v>
      </c>
      <c r="F101" s="3" t="s">
        <v>58</v>
      </c>
      <c r="G101" s="3"/>
      <c r="H101" s="3"/>
      <c r="I101" s="3" t="s">
        <v>61</v>
      </c>
      <c r="J101" s="3" t="s">
        <v>63</v>
      </c>
      <c r="K101" s="3" t="s">
        <v>57</v>
      </c>
      <c r="L101" s="3" t="s">
        <v>49</v>
      </c>
      <c r="M101" s="3"/>
    </row>
    <row r="102" spans="1:14" ht="12.75">
      <c r="A102" s="2" t="s">
        <v>54</v>
      </c>
      <c r="B102" s="2"/>
      <c r="C102" s="3" t="s">
        <v>55</v>
      </c>
      <c r="D102" s="3" t="s">
        <v>56</v>
      </c>
      <c r="E102" s="15" t="s">
        <v>56</v>
      </c>
      <c r="F102" s="3" t="s">
        <v>59</v>
      </c>
      <c r="G102" s="3" t="s">
        <v>51</v>
      </c>
      <c r="H102" s="3" t="s">
        <v>60</v>
      </c>
      <c r="I102" s="5" t="s">
        <v>62</v>
      </c>
      <c r="J102" s="3" t="s">
        <v>51</v>
      </c>
      <c r="K102" s="3" t="s">
        <v>64</v>
      </c>
      <c r="L102" s="3" t="s">
        <v>65</v>
      </c>
      <c r="M102" s="3" t="s">
        <v>66</v>
      </c>
      <c r="N102" s="3" t="s">
        <v>80</v>
      </c>
    </row>
    <row r="103" spans="1:25" ht="12.75">
      <c r="A103" t="s">
        <v>115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111</v>
      </c>
      <c r="C104">
        <v>40</v>
      </c>
      <c r="D104">
        <v>22</v>
      </c>
      <c r="E104" s="12">
        <f>+D104/C104*100</f>
        <v>55.00000000000001</v>
      </c>
      <c r="F104">
        <v>370</v>
      </c>
      <c r="G104">
        <v>1</v>
      </c>
      <c r="H104">
        <v>49</v>
      </c>
      <c r="I104">
        <v>0</v>
      </c>
      <c r="J104" s="8">
        <f>+G104/C104*100</f>
        <v>2.5</v>
      </c>
      <c r="K104" s="12">
        <f>+I104/C104*100</f>
        <v>0</v>
      </c>
      <c r="L104" s="12">
        <f>+F104/C104</f>
        <v>9.25</v>
      </c>
      <c r="M104" s="12">
        <f>100*(S104+U104+W104+Y104)/6</f>
        <v>94.79166666666667</v>
      </c>
      <c r="R104">
        <f>+(E104-30)/20</f>
        <v>1.2500000000000004</v>
      </c>
      <c r="S104" s="2">
        <f>IF(R104&lt;0,0,IF(R104&gt;2.375,2.375,R104))</f>
        <v>1.2500000000000004</v>
      </c>
      <c r="T104" s="6">
        <f>+(L104-3)/4</f>
        <v>1.5625</v>
      </c>
      <c r="U104" s="2">
        <f>IF(T104&lt;0,0,IF(T104&gt;2.375,2.375,T104))</f>
        <v>1.5625</v>
      </c>
      <c r="V104">
        <f>+J104/5</f>
        <v>0.5</v>
      </c>
      <c r="W104" s="2">
        <f>IF(V104&lt;0,0,IF(V104&gt;2.375,2.375,V104))</f>
        <v>0.5</v>
      </c>
      <c r="X104">
        <f>(9.5-K104)/4</f>
        <v>2.375</v>
      </c>
      <c r="Y104" s="2">
        <f>IF(X104&lt;0,0,X104)</f>
        <v>2.375</v>
      </c>
    </row>
    <row r="105" spans="1:25" ht="12.75">
      <c r="A105" t="s">
        <v>128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109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7" spans="1:25" ht="12.75">
      <c r="A107" t="s">
        <v>129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10" spans="1:9" ht="12.75">
      <c r="A110" s="2" t="s">
        <v>67</v>
      </c>
      <c r="C110" s="3" t="s">
        <v>68</v>
      </c>
      <c r="D110" s="3" t="s">
        <v>69</v>
      </c>
      <c r="E110" s="3" t="s">
        <v>70</v>
      </c>
      <c r="F110" s="3" t="s">
        <v>49</v>
      </c>
      <c r="G110" s="3" t="s">
        <v>60</v>
      </c>
      <c r="H110" s="3" t="s">
        <v>51</v>
      </c>
      <c r="I110" s="3" t="s">
        <v>80</v>
      </c>
    </row>
    <row r="111" spans="1:9" ht="12.75">
      <c r="A111" t="s">
        <v>130</v>
      </c>
      <c r="C111">
        <v>2</v>
      </c>
      <c r="D111">
        <v>1</v>
      </c>
      <c r="E111">
        <v>22</v>
      </c>
      <c r="F111" s="12">
        <f>+E111/C111</f>
        <v>11</v>
      </c>
      <c r="G111">
        <v>22</v>
      </c>
      <c r="H111">
        <v>0</v>
      </c>
      <c r="I111">
        <v>0</v>
      </c>
    </row>
    <row r="112" spans="1:6" ht="12.75">
      <c r="A112" t="s">
        <v>131</v>
      </c>
      <c r="F112" s="12" t="e">
        <f>+E112/C112</f>
        <v>#DIV/0!</v>
      </c>
    </row>
    <row r="113" spans="1:6" ht="12.75">
      <c r="A113" t="s">
        <v>118</v>
      </c>
      <c r="F113" s="12" t="e">
        <f>+E113/C113</f>
        <v>#DIV/0!</v>
      </c>
    </row>
    <row r="114" spans="1:6" ht="12.75">
      <c r="A114" t="s">
        <v>132</v>
      </c>
      <c r="F114" s="12" t="e">
        <f>+E114/C114</f>
        <v>#DIV/0!</v>
      </c>
    </row>
    <row r="115" spans="1:6" ht="12.75">
      <c r="A115" t="s">
        <v>112</v>
      </c>
      <c r="F115" s="12" t="e">
        <f>+E115/C115</f>
        <v>#DIV/0!</v>
      </c>
    </row>
    <row r="117" spans="1:8" ht="12.75">
      <c r="A117" s="2" t="s">
        <v>30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51</v>
      </c>
      <c r="H117" s="3" t="s">
        <v>80</v>
      </c>
    </row>
    <row r="118" spans="1:8" ht="12.75">
      <c r="A118" t="s">
        <v>130</v>
      </c>
      <c r="C118">
        <v>3</v>
      </c>
      <c r="D118">
        <v>99</v>
      </c>
      <c r="E118" s="12">
        <f aca="true" t="shared" si="2" ref="E118:E126">+D118/C118</f>
        <v>33</v>
      </c>
      <c r="F118">
        <v>41</v>
      </c>
      <c r="G118">
        <v>0</v>
      </c>
      <c r="H118">
        <v>0</v>
      </c>
    </row>
    <row r="119" spans="1:8" ht="12.75">
      <c r="A119" t="s">
        <v>112</v>
      </c>
      <c r="C119">
        <v>1</v>
      </c>
      <c r="D119">
        <v>9</v>
      </c>
      <c r="E119" s="12">
        <f t="shared" si="2"/>
        <v>9</v>
      </c>
      <c r="F119">
        <v>9</v>
      </c>
      <c r="G119">
        <v>0</v>
      </c>
      <c r="H119">
        <v>0</v>
      </c>
    </row>
    <row r="120" spans="1:5" ht="12.75">
      <c r="A120" t="s">
        <v>116</v>
      </c>
      <c r="E120" s="12" t="e">
        <f t="shared" si="2"/>
        <v>#DIV/0!</v>
      </c>
    </row>
    <row r="121" spans="1:5" ht="12.75">
      <c r="A121" t="s">
        <v>124</v>
      </c>
      <c r="E121" s="12" t="e">
        <f t="shared" si="2"/>
        <v>#DIV/0!</v>
      </c>
    </row>
    <row r="122" spans="1:5" ht="12.75">
      <c r="A122" t="s">
        <v>122</v>
      </c>
      <c r="E122" s="12" t="e">
        <f t="shared" si="2"/>
        <v>#DIV/0!</v>
      </c>
    </row>
    <row r="123" spans="1:5" ht="12.75">
      <c r="A123" t="s">
        <v>114</v>
      </c>
      <c r="E123" s="12" t="e">
        <f t="shared" si="2"/>
        <v>#DIV/0!</v>
      </c>
    </row>
    <row r="124" spans="1:5" ht="12.75">
      <c r="A124" t="s">
        <v>126</v>
      </c>
      <c r="E124" s="12" t="e">
        <f t="shared" si="2"/>
        <v>#DIV/0!</v>
      </c>
    </row>
    <row r="125" spans="1:5" ht="12.75">
      <c r="A125" t="s">
        <v>127</v>
      </c>
      <c r="E125" s="12" t="e">
        <f t="shared" si="2"/>
        <v>#DIV/0!</v>
      </c>
    </row>
    <row r="126" spans="1:5" ht="12.75">
      <c r="A126" t="s">
        <v>106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129</v>
      </c>
      <c r="C129">
        <v>4</v>
      </c>
      <c r="D129">
        <v>145</v>
      </c>
      <c r="E129" s="12">
        <f>+D129/C129</f>
        <v>36.25</v>
      </c>
      <c r="F129">
        <v>42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133</v>
      </c>
      <c r="C132">
        <v>6</v>
      </c>
      <c r="D132">
        <v>3</v>
      </c>
      <c r="E132">
        <v>1</v>
      </c>
      <c r="F132">
        <v>1</v>
      </c>
      <c r="G132">
        <v>4</v>
      </c>
      <c r="H132">
        <v>4</v>
      </c>
      <c r="I132" s="12">
        <f>+H132/G132*100</f>
        <v>100</v>
      </c>
      <c r="J132">
        <v>42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5" ht="12.75">
      <c r="A135" t="s">
        <v>134</v>
      </c>
      <c r="E135" s="12" t="e">
        <f>+D135/C135</f>
        <v>#DIV/0!</v>
      </c>
    </row>
    <row r="136" spans="1:5" ht="12.75">
      <c r="A136" t="s">
        <v>135</v>
      </c>
      <c r="E136" s="12" t="e">
        <f aca="true" t="shared" si="3" ref="E136:E143">+D136/C136</f>
        <v>#DIV/0!</v>
      </c>
    </row>
    <row r="137" spans="1:5" ht="12.75">
      <c r="A137" t="s">
        <v>130</v>
      </c>
      <c r="E137" s="12" t="e">
        <f t="shared" si="3"/>
        <v>#DIV/0!</v>
      </c>
    </row>
    <row r="138" spans="1:5" ht="12.75">
      <c r="A138" t="s">
        <v>131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137</v>
      </c>
      <c r="E140" s="12" t="e">
        <f t="shared" si="3"/>
        <v>#DIV/0!</v>
      </c>
    </row>
    <row r="141" spans="1:5" ht="12.75">
      <c r="A141" t="s">
        <v>138</v>
      </c>
      <c r="E141" s="12" t="e">
        <f t="shared" si="3"/>
        <v>#DIV/0!</v>
      </c>
    </row>
    <row r="142" spans="1:5" ht="12.75">
      <c r="A142" t="s">
        <v>139</v>
      </c>
      <c r="E142" s="12" t="e">
        <f t="shared" si="3"/>
        <v>#DIV/0!</v>
      </c>
    </row>
    <row r="143" spans="1:5" ht="12.75">
      <c r="A143" t="s">
        <v>140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ht="12.75">
      <c r="A146" t="s">
        <v>117</v>
      </c>
    </row>
    <row r="147" ht="12.75">
      <c r="A147" t="s">
        <v>141</v>
      </c>
    </row>
    <row r="148" ht="12.75">
      <c r="A148" t="s">
        <v>142</v>
      </c>
    </row>
    <row r="149" ht="12.75">
      <c r="A149" t="s">
        <v>143</v>
      </c>
    </row>
    <row r="150" ht="12.75">
      <c r="A150" t="s">
        <v>144</v>
      </c>
    </row>
    <row r="151" ht="12.75">
      <c r="A151" t="s">
        <v>145</v>
      </c>
    </row>
    <row r="152" ht="12.75">
      <c r="A152" t="s">
        <v>140</v>
      </c>
    </row>
    <row r="153" ht="12.75">
      <c r="A153" t="s">
        <v>146</v>
      </c>
    </row>
    <row r="154" ht="12.75">
      <c r="A154" t="s">
        <v>138</v>
      </c>
    </row>
    <row r="155" ht="12.75">
      <c r="A155" t="s">
        <v>139</v>
      </c>
    </row>
    <row r="156" ht="12.75">
      <c r="A156" t="s">
        <v>147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13</v>
      </c>
      <c r="H159" t="s">
        <v>93</v>
      </c>
      <c r="M159">
        <v>16</v>
      </c>
    </row>
    <row r="160" spans="1:13" ht="12.75">
      <c r="A160" t="s">
        <v>94</v>
      </c>
      <c r="D160">
        <v>4</v>
      </c>
      <c r="H160" t="s">
        <v>94</v>
      </c>
      <c r="M160">
        <v>8</v>
      </c>
    </row>
    <row r="161" spans="1:13" ht="12.75">
      <c r="A161" t="s">
        <v>95</v>
      </c>
      <c r="D161" s="8">
        <f>D160/D159*100</f>
        <v>30.76923076923077</v>
      </c>
      <c r="H161" t="s">
        <v>95</v>
      </c>
      <c r="M161" s="8">
        <f>+M160/M159*100</f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Y161"/>
  <sheetViews>
    <sheetView zoomScalePageLayoutView="0" workbookViewId="0" topLeftCell="A60">
      <selection activeCell="U66" sqref="U66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107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17</v>
      </c>
      <c r="H6" s="1" t="s">
        <v>29</v>
      </c>
      <c r="M6" s="2">
        <f>M7+M8+M9</f>
        <v>30</v>
      </c>
    </row>
    <row r="7" spans="1:13" ht="12.75">
      <c r="A7" s="1" t="s">
        <v>103</v>
      </c>
      <c r="D7" s="2">
        <v>4</v>
      </c>
      <c r="H7" s="1" t="s">
        <v>103</v>
      </c>
      <c r="M7" s="2">
        <v>10</v>
      </c>
    </row>
    <row r="8" spans="1:13" ht="12.75">
      <c r="A8" s="1" t="s">
        <v>105</v>
      </c>
      <c r="D8" s="2">
        <v>13</v>
      </c>
      <c r="H8" s="1" t="s">
        <v>105</v>
      </c>
      <c r="M8" s="2">
        <v>16</v>
      </c>
    </row>
    <row r="9" spans="1:13" ht="12.75">
      <c r="A9" s="1" t="s">
        <v>104</v>
      </c>
      <c r="D9" s="2">
        <v>0</v>
      </c>
      <c r="H9" s="1" t="s">
        <v>104</v>
      </c>
      <c r="M9" s="2">
        <v>4</v>
      </c>
    </row>
    <row r="11" spans="1:13" ht="12.75">
      <c r="A11" t="s">
        <v>1</v>
      </c>
      <c r="D11" s="2">
        <v>21</v>
      </c>
      <c r="H11" t="s">
        <v>1</v>
      </c>
      <c r="M11" s="2">
        <v>28</v>
      </c>
    </row>
    <row r="12" spans="1:13" ht="12.75">
      <c r="A12" t="s">
        <v>2</v>
      </c>
      <c r="D12" s="2">
        <v>75</v>
      </c>
      <c r="H12" t="s">
        <v>2</v>
      </c>
      <c r="M12" s="2">
        <v>143</v>
      </c>
    </row>
    <row r="13" spans="1:13" ht="12.75">
      <c r="A13" s="1" t="s">
        <v>3</v>
      </c>
      <c r="D13" s="8">
        <f>+D12/D11</f>
        <v>3.5714285714285716</v>
      </c>
      <c r="H13" s="1" t="s">
        <v>3</v>
      </c>
      <c r="M13" s="8">
        <f>+M12/M11</f>
        <v>5.107142857142857</v>
      </c>
    </row>
    <row r="15" spans="1:13" ht="12.75">
      <c r="A15" t="s">
        <v>4</v>
      </c>
      <c r="D15" s="2">
        <v>43</v>
      </c>
      <c r="H15" t="s">
        <v>4</v>
      </c>
      <c r="M15" s="2">
        <v>37</v>
      </c>
    </row>
    <row r="16" spans="1:13" ht="12.75">
      <c r="A16" t="s">
        <v>5</v>
      </c>
      <c r="D16" s="2">
        <v>21</v>
      </c>
      <c r="H16" t="s">
        <v>5</v>
      </c>
      <c r="M16" s="2">
        <v>26</v>
      </c>
    </row>
    <row r="17" spans="1:13" ht="12.75">
      <c r="A17" t="s">
        <v>6</v>
      </c>
      <c r="D17" s="8">
        <f>+D16/D15*100</f>
        <v>48.837209302325576</v>
      </c>
      <c r="H17" t="s">
        <v>6</v>
      </c>
      <c r="M17" s="8">
        <f>+M16/M15*100</f>
        <v>70.27027027027027</v>
      </c>
    </row>
    <row r="18" spans="1:13" ht="12.75">
      <c r="A18" t="s">
        <v>7</v>
      </c>
      <c r="D18" s="2">
        <v>259</v>
      </c>
      <c r="H18" t="s">
        <v>7</v>
      </c>
      <c r="M18" s="2">
        <v>342</v>
      </c>
    </row>
    <row r="19" spans="1:13" ht="12.75">
      <c r="A19" t="s">
        <v>8</v>
      </c>
      <c r="D19" s="2">
        <v>4</v>
      </c>
      <c r="H19" t="s">
        <v>8</v>
      </c>
      <c r="M19" s="2">
        <v>2</v>
      </c>
    </row>
    <row r="20" spans="1:13" ht="12.75">
      <c r="A20" t="s">
        <v>9</v>
      </c>
      <c r="D20" s="2">
        <v>30</v>
      </c>
      <c r="H20" t="s">
        <v>9</v>
      </c>
      <c r="M20" s="2">
        <v>22</v>
      </c>
    </row>
    <row r="21" spans="1:13" ht="12.75">
      <c r="A21" t="s">
        <v>10</v>
      </c>
      <c r="D21">
        <f>+D18-D20</f>
        <v>229</v>
      </c>
      <c r="H21" t="s">
        <v>10</v>
      </c>
      <c r="M21">
        <f>+M18-M20</f>
        <v>320</v>
      </c>
    </row>
    <row r="22" spans="1:13" ht="12.75">
      <c r="A22" t="s">
        <v>11</v>
      </c>
      <c r="D22" s="7">
        <f>+D21/(D15+D19)</f>
        <v>4.872340425531915</v>
      </c>
      <c r="H22" t="s">
        <v>11</v>
      </c>
      <c r="M22" s="7">
        <f>+M21/(M15+M19)</f>
        <v>8.205128205128204</v>
      </c>
    </row>
    <row r="23" spans="1:13" ht="12.75">
      <c r="A23" t="s">
        <v>12</v>
      </c>
      <c r="D23" s="7">
        <f>+D18/D16</f>
        <v>12.333333333333334</v>
      </c>
      <c r="H23" t="s">
        <v>12</v>
      </c>
      <c r="M23" s="7">
        <f>+M18/M16</f>
        <v>13.153846153846153</v>
      </c>
    </row>
    <row r="25" spans="1:8" ht="12.75">
      <c r="A25" t="s">
        <v>13</v>
      </c>
      <c r="H25" t="s">
        <v>13</v>
      </c>
    </row>
    <row r="26" spans="1:13" ht="12.75">
      <c r="A26" t="s">
        <v>14</v>
      </c>
      <c r="D26">
        <f>+D21+D12</f>
        <v>304</v>
      </c>
      <c r="H26" t="s">
        <v>14</v>
      </c>
      <c r="M26">
        <f>+M21+M12</f>
        <v>463</v>
      </c>
    </row>
    <row r="27" spans="1:13" ht="12.75">
      <c r="A27" t="s">
        <v>15</v>
      </c>
      <c r="D27" s="7">
        <f>+D12/D26*100</f>
        <v>24.671052631578945</v>
      </c>
      <c r="H27" t="s">
        <v>15</v>
      </c>
      <c r="M27" s="7">
        <f>+M12/M26*100</f>
        <v>30.885529157667385</v>
      </c>
    </row>
    <row r="28" spans="1:13" ht="12.75">
      <c r="A28" s="1" t="s">
        <v>86</v>
      </c>
      <c r="D28" s="7">
        <f>+D21/D26*100</f>
        <v>75.32894736842105</v>
      </c>
      <c r="H28" s="1" t="s">
        <v>86</v>
      </c>
      <c r="M28" s="7">
        <f>+M21/M26*100</f>
        <v>69.11447084233261</v>
      </c>
    </row>
    <row r="30" spans="1:13" ht="12.75">
      <c r="A30" t="s">
        <v>16</v>
      </c>
      <c r="D30">
        <f>+D11+D15+D19</f>
        <v>68</v>
      </c>
      <c r="H30" t="s">
        <v>16</v>
      </c>
      <c r="M30">
        <f>+M11+M15+M19</f>
        <v>67</v>
      </c>
    </row>
    <row r="31" spans="1:13" ht="12.75">
      <c r="A31" t="s">
        <v>17</v>
      </c>
      <c r="D31" s="8">
        <f>+D26/D30</f>
        <v>4.470588235294118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6.91044776119403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1</v>
      </c>
      <c r="H34" t="s">
        <v>19</v>
      </c>
      <c r="M34" s="2">
        <v>0</v>
      </c>
    </row>
    <row r="35" spans="1:13" ht="12.75">
      <c r="A35" t="s">
        <v>20</v>
      </c>
      <c r="D35" s="2">
        <v>0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5</v>
      </c>
      <c r="H38" t="s">
        <v>22</v>
      </c>
      <c r="M38" s="2">
        <v>4</v>
      </c>
    </row>
    <row r="39" spans="1:13" ht="12.75">
      <c r="A39" t="s">
        <v>23</v>
      </c>
      <c r="D39" s="2">
        <v>210</v>
      </c>
      <c r="H39" t="s">
        <v>23</v>
      </c>
      <c r="M39" s="2">
        <v>153</v>
      </c>
    </row>
    <row r="40" spans="1:13" ht="12.75">
      <c r="A40" t="s">
        <v>24</v>
      </c>
      <c r="D40" s="8">
        <f>+D39/D38</f>
        <v>42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38.25</v>
      </c>
    </row>
    <row r="42" spans="1:13" ht="12.75">
      <c r="A42" t="s">
        <v>25</v>
      </c>
      <c r="D42" s="2">
        <v>3</v>
      </c>
      <c r="H42" t="s">
        <v>25</v>
      </c>
      <c r="M42" s="2">
        <v>2</v>
      </c>
    </row>
    <row r="43" spans="1:13" ht="12.75">
      <c r="A43" t="s">
        <v>26</v>
      </c>
      <c r="D43" s="2">
        <v>11</v>
      </c>
      <c r="H43" t="s">
        <v>26</v>
      </c>
      <c r="M43" s="2">
        <v>2</v>
      </c>
    </row>
    <row r="44" spans="1:13" ht="12.75">
      <c r="A44" t="s">
        <v>27</v>
      </c>
      <c r="D44" s="8">
        <f>+D43/D42</f>
        <v>3.6666666666666665</v>
      </c>
      <c r="H44" t="s">
        <v>27</v>
      </c>
      <c r="M44" s="8">
        <f>+M43/M42</f>
        <v>1</v>
      </c>
    </row>
    <row r="45" spans="1:13" ht="12.75">
      <c r="A45" t="s">
        <v>108</v>
      </c>
      <c r="D45" s="2">
        <v>0</v>
      </c>
      <c r="H45" t="s">
        <v>108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2</v>
      </c>
      <c r="H48" t="s">
        <v>30</v>
      </c>
      <c r="M48" s="2">
        <v>5</v>
      </c>
    </row>
    <row r="49" spans="1:13" ht="12.75">
      <c r="A49" t="s">
        <v>26</v>
      </c>
      <c r="D49" s="2">
        <v>42</v>
      </c>
      <c r="H49" t="s">
        <v>26</v>
      </c>
      <c r="M49" s="2">
        <v>85</v>
      </c>
    </row>
    <row r="50" spans="1:13" ht="12.75">
      <c r="A50" t="s">
        <v>27</v>
      </c>
      <c r="D50" s="8">
        <f>+D49/D48</f>
        <v>21</v>
      </c>
      <c r="H50" t="s">
        <v>27</v>
      </c>
      <c r="M50" s="8">
        <f>+M49/M48</f>
        <v>17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11</v>
      </c>
      <c r="H53" t="s">
        <v>31</v>
      </c>
      <c r="M53" s="2">
        <v>5</v>
      </c>
    </row>
    <row r="54" spans="1:13" ht="12.75">
      <c r="A54" t="s">
        <v>32</v>
      </c>
      <c r="D54" s="2">
        <v>90</v>
      </c>
      <c r="H54" t="s">
        <v>32</v>
      </c>
      <c r="M54" s="2">
        <v>40</v>
      </c>
    </row>
    <row r="56" spans="1:13" ht="12.75">
      <c r="A56" t="s">
        <v>33</v>
      </c>
      <c r="D56" s="2">
        <v>2</v>
      </c>
      <c r="H56" t="s">
        <v>33</v>
      </c>
      <c r="M56" s="2">
        <v>3</v>
      </c>
    </row>
    <row r="57" spans="1:13" ht="12.75">
      <c r="A57" t="s">
        <v>101</v>
      </c>
      <c r="D57" s="2">
        <v>1</v>
      </c>
      <c r="H57" t="s">
        <v>101</v>
      </c>
      <c r="M57" s="2">
        <v>2</v>
      </c>
    </row>
    <row r="59" spans="1:13" ht="12.75">
      <c r="A59" t="s">
        <v>34</v>
      </c>
      <c r="D59" s="2">
        <v>16</v>
      </c>
      <c r="H59" t="s">
        <v>34</v>
      </c>
      <c r="M59" s="2">
        <v>22</v>
      </c>
    </row>
    <row r="60" spans="1:13" ht="12.75">
      <c r="A60" t="s">
        <v>35</v>
      </c>
      <c r="D60" s="2">
        <v>1</v>
      </c>
      <c r="H60" t="s">
        <v>35</v>
      </c>
      <c r="M60" s="2">
        <v>2</v>
      </c>
    </row>
    <row r="61" spans="1:13" ht="12.75">
      <c r="A61" t="s">
        <v>36</v>
      </c>
      <c r="D61" s="2">
        <v>0</v>
      </c>
      <c r="H61" t="s">
        <v>36</v>
      </c>
      <c r="M61" s="2">
        <v>0</v>
      </c>
    </row>
    <row r="62" spans="1:13" ht="12.75">
      <c r="A62" t="s">
        <v>37</v>
      </c>
      <c r="D62" s="2">
        <v>1</v>
      </c>
      <c r="H62" t="s">
        <v>37</v>
      </c>
      <c r="M62" s="2">
        <v>2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1</v>
      </c>
      <c r="H64" t="s">
        <v>39</v>
      </c>
      <c r="M64" s="2">
        <v>1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3</v>
      </c>
      <c r="H66" t="s">
        <v>41</v>
      </c>
      <c r="M66" s="2">
        <v>3</v>
      </c>
    </row>
    <row r="67" spans="1:13" ht="12.75">
      <c r="A67" t="s">
        <v>42</v>
      </c>
      <c r="D67" s="2">
        <v>3</v>
      </c>
      <c r="H67" t="s">
        <v>42</v>
      </c>
      <c r="M67" s="2">
        <v>3</v>
      </c>
    </row>
    <row r="68" spans="1:13" ht="12.75">
      <c r="A68" t="s">
        <v>43</v>
      </c>
      <c r="D68" s="7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8">
        <f>+M66/M67*100</f>
        <v>100</v>
      </c>
    </row>
    <row r="69" spans="1:13" ht="12.75">
      <c r="A69" t="s">
        <v>92</v>
      </c>
      <c r="D69" s="10">
        <v>28.18</v>
      </c>
      <c r="E69" s="8"/>
      <c r="F69" s="8"/>
      <c r="H69" t="s">
        <v>91</v>
      </c>
      <c r="M69" s="10">
        <v>31.42</v>
      </c>
    </row>
    <row r="70" spans="1:13" ht="12.75">
      <c r="A70" t="s">
        <v>102</v>
      </c>
      <c r="D70" s="23">
        <f>D161</f>
        <v>33.33333333333333</v>
      </c>
      <c r="E70" s="8"/>
      <c r="F70" s="8"/>
      <c r="H70" t="s">
        <v>102</v>
      </c>
      <c r="M70" s="23">
        <f>M161</f>
        <v>33.33333333333333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6</v>
      </c>
      <c r="D74">
        <v>13</v>
      </c>
      <c r="E74" s="12">
        <f aca="true" t="shared" si="0" ref="E74:E83">+D74/C74</f>
        <v>2.1666666666666665</v>
      </c>
      <c r="F74">
        <v>5</v>
      </c>
      <c r="G74">
        <v>0</v>
      </c>
      <c r="H74">
        <v>0</v>
      </c>
    </row>
    <row r="75" spans="1:8" ht="12.75">
      <c r="A75" t="s">
        <v>110</v>
      </c>
      <c r="C75">
        <v>11</v>
      </c>
      <c r="D75">
        <v>50</v>
      </c>
      <c r="E75" s="12">
        <f t="shared" si="0"/>
        <v>4.545454545454546</v>
      </c>
      <c r="F75">
        <v>16</v>
      </c>
      <c r="G75">
        <v>0</v>
      </c>
      <c r="H75">
        <v>1</v>
      </c>
    </row>
    <row r="76" spans="1:8" ht="12.75">
      <c r="A76" t="s">
        <v>111</v>
      </c>
      <c r="C76">
        <v>3</v>
      </c>
      <c r="D76">
        <v>11</v>
      </c>
      <c r="E76" s="12">
        <f t="shared" si="0"/>
        <v>3.6666666666666665</v>
      </c>
      <c r="F76">
        <v>6</v>
      </c>
      <c r="G76">
        <v>0</v>
      </c>
      <c r="H76">
        <v>0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8" ht="12.75">
      <c r="A79" t="s">
        <v>114</v>
      </c>
      <c r="C79">
        <v>1</v>
      </c>
      <c r="D79">
        <v>1</v>
      </c>
      <c r="E79" s="12">
        <f t="shared" si="0"/>
        <v>1</v>
      </c>
      <c r="F79">
        <v>1</v>
      </c>
      <c r="G79">
        <v>0</v>
      </c>
      <c r="H79">
        <v>0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ht="12.75">
      <c r="E84" s="8"/>
    </row>
    <row r="85" spans="1:8" ht="12.75">
      <c r="A85" s="2" t="s">
        <v>52</v>
      </c>
      <c r="C85" s="3" t="s">
        <v>53</v>
      </c>
      <c r="D85" s="3" t="s">
        <v>48</v>
      </c>
      <c r="E85" s="15" t="s">
        <v>49</v>
      </c>
      <c r="F85" s="3" t="s">
        <v>50</v>
      </c>
      <c r="G85" s="3" t="s">
        <v>51</v>
      </c>
      <c r="H85" s="3" t="s">
        <v>80</v>
      </c>
    </row>
    <row r="86" spans="1:8" ht="12.75">
      <c r="A86" t="s">
        <v>109</v>
      </c>
      <c r="C86">
        <v>5</v>
      </c>
      <c r="D86">
        <v>63</v>
      </c>
      <c r="E86" s="12">
        <f aca="true" t="shared" si="1" ref="E86:E99">+D86/C86</f>
        <v>12.6</v>
      </c>
      <c r="F86">
        <v>22</v>
      </c>
      <c r="G86">
        <v>0</v>
      </c>
      <c r="H86">
        <v>0</v>
      </c>
    </row>
    <row r="87" spans="1:8" ht="12.75">
      <c r="A87" t="s">
        <v>118</v>
      </c>
      <c r="C87">
        <v>2</v>
      </c>
      <c r="D87">
        <v>15</v>
      </c>
      <c r="E87" s="12">
        <f t="shared" si="1"/>
        <v>7.5</v>
      </c>
      <c r="F87">
        <v>11</v>
      </c>
      <c r="G87">
        <v>1</v>
      </c>
      <c r="H87">
        <v>0</v>
      </c>
    </row>
    <row r="88" spans="1:8" ht="12.75">
      <c r="A88" t="s">
        <v>119</v>
      </c>
      <c r="C88">
        <v>1</v>
      </c>
      <c r="D88">
        <v>26</v>
      </c>
      <c r="E88" s="12">
        <f t="shared" si="1"/>
        <v>26</v>
      </c>
      <c r="F88">
        <v>26</v>
      </c>
      <c r="G88">
        <v>0</v>
      </c>
      <c r="H88">
        <v>0</v>
      </c>
    </row>
    <row r="89" spans="1:8" ht="12.75">
      <c r="A89" t="s">
        <v>120</v>
      </c>
      <c r="C89">
        <v>4</v>
      </c>
      <c r="D89">
        <v>50</v>
      </c>
      <c r="E89" s="12">
        <f t="shared" si="1"/>
        <v>12.5</v>
      </c>
      <c r="F89">
        <v>20</v>
      </c>
      <c r="G89">
        <v>0</v>
      </c>
      <c r="H89">
        <v>0</v>
      </c>
    </row>
    <row r="90" spans="1:8" ht="12.75">
      <c r="A90" t="s">
        <v>121</v>
      </c>
      <c r="C90">
        <v>2</v>
      </c>
      <c r="D90">
        <v>49</v>
      </c>
      <c r="E90" s="12">
        <f t="shared" si="1"/>
        <v>24.5</v>
      </c>
      <c r="F90">
        <v>27</v>
      </c>
      <c r="G90">
        <v>0</v>
      </c>
      <c r="H90">
        <v>0</v>
      </c>
    </row>
    <row r="91" spans="1:8" ht="12.75">
      <c r="A91" t="s">
        <v>110</v>
      </c>
      <c r="C91">
        <v>4</v>
      </c>
      <c r="D91">
        <v>34</v>
      </c>
      <c r="E91" s="12">
        <f t="shared" si="1"/>
        <v>8.5</v>
      </c>
      <c r="F91">
        <v>13</v>
      </c>
      <c r="G91">
        <v>0</v>
      </c>
      <c r="H91">
        <v>0</v>
      </c>
    </row>
    <row r="92" spans="1:5" ht="12.75">
      <c r="A92" t="s">
        <v>122</v>
      </c>
      <c r="E92" s="12" t="e">
        <f t="shared" si="1"/>
        <v>#DIV/0!</v>
      </c>
    </row>
    <row r="93" spans="1:8" ht="12.75">
      <c r="A93" t="s">
        <v>123</v>
      </c>
      <c r="C93">
        <v>3</v>
      </c>
      <c r="D93">
        <v>22</v>
      </c>
      <c r="E93" s="12">
        <f t="shared" si="1"/>
        <v>7.333333333333333</v>
      </c>
      <c r="F93">
        <v>15</v>
      </c>
      <c r="G93">
        <v>0</v>
      </c>
      <c r="H93">
        <v>0</v>
      </c>
    </row>
    <row r="94" spans="1:5" ht="12.75">
      <c r="A94" t="s">
        <v>114</v>
      </c>
      <c r="E94" s="12" t="e">
        <f t="shared" si="1"/>
        <v>#DIV/0!</v>
      </c>
    </row>
    <row r="95" spans="1:5" ht="12.75">
      <c r="A95" t="s">
        <v>124</v>
      </c>
      <c r="E95" s="12" t="e">
        <f t="shared" si="1"/>
        <v>#DIV/0!</v>
      </c>
    </row>
    <row r="96" spans="1:5" ht="12.75">
      <c r="A96" t="s">
        <v>125</v>
      </c>
      <c r="E96" s="12" t="e">
        <f t="shared" si="1"/>
        <v>#DIV/0!</v>
      </c>
    </row>
    <row r="97" spans="1:5" ht="12.75">
      <c r="A97" t="s">
        <v>112</v>
      </c>
      <c r="E97" s="12" t="e">
        <f t="shared" si="1"/>
        <v>#DIV/0!</v>
      </c>
    </row>
    <row r="98" spans="1:5" ht="12.75">
      <c r="A98" t="s">
        <v>126</v>
      </c>
      <c r="E98" s="12" t="e">
        <f t="shared" si="1"/>
        <v>#DIV/0!</v>
      </c>
    </row>
    <row r="99" spans="1:5" ht="12.75">
      <c r="A99" t="s">
        <v>127</v>
      </c>
      <c r="E99" s="12" t="e">
        <f t="shared" si="1"/>
        <v>#DIV/0!</v>
      </c>
    </row>
    <row r="100" ht="12.75">
      <c r="E100" s="8"/>
    </row>
    <row r="101" spans="1:13" ht="12.75">
      <c r="A101" s="2"/>
      <c r="B101" s="2"/>
      <c r="C101" s="3"/>
      <c r="D101" s="3"/>
      <c r="E101" s="15" t="s">
        <v>57</v>
      </c>
      <c r="F101" s="3" t="s">
        <v>58</v>
      </c>
      <c r="G101" s="3"/>
      <c r="H101" s="3"/>
      <c r="I101" s="3" t="s">
        <v>61</v>
      </c>
      <c r="J101" s="3" t="s">
        <v>63</v>
      </c>
      <c r="K101" s="3" t="s">
        <v>57</v>
      </c>
      <c r="L101" s="3" t="s">
        <v>49</v>
      </c>
      <c r="M101" s="3"/>
    </row>
    <row r="102" spans="1:14" ht="12.75">
      <c r="A102" s="2" t="s">
        <v>54</v>
      </c>
      <c r="B102" s="2"/>
      <c r="C102" s="3" t="s">
        <v>55</v>
      </c>
      <c r="D102" s="3" t="s">
        <v>56</v>
      </c>
      <c r="E102" s="15" t="s">
        <v>56</v>
      </c>
      <c r="F102" s="3" t="s">
        <v>59</v>
      </c>
      <c r="G102" s="3" t="s">
        <v>51</v>
      </c>
      <c r="H102" s="3" t="s">
        <v>60</v>
      </c>
      <c r="I102" s="5" t="s">
        <v>62</v>
      </c>
      <c r="J102" s="3" t="s">
        <v>51</v>
      </c>
      <c r="K102" s="3" t="s">
        <v>64</v>
      </c>
      <c r="L102" s="3" t="s">
        <v>65</v>
      </c>
      <c r="M102" s="3" t="s">
        <v>66</v>
      </c>
      <c r="N102" s="3" t="s">
        <v>80</v>
      </c>
    </row>
    <row r="103" spans="1:25" ht="12.75">
      <c r="A103" t="s">
        <v>115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111</v>
      </c>
      <c r="C104">
        <v>42</v>
      </c>
      <c r="D104">
        <v>21</v>
      </c>
      <c r="E104" s="12">
        <f>+D104/C104*100</f>
        <v>50</v>
      </c>
      <c r="F104">
        <v>259</v>
      </c>
      <c r="G104">
        <v>1</v>
      </c>
      <c r="H104">
        <v>26</v>
      </c>
      <c r="I104">
        <v>1</v>
      </c>
      <c r="J104" s="8">
        <f>+G104/C104*100</f>
        <v>2.380952380952381</v>
      </c>
      <c r="K104" s="12">
        <f>+I104/C104*100</f>
        <v>2.380952380952381</v>
      </c>
      <c r="L104" s="12">
        <f>+F104/C104</f>
        <v>6.166666666666667</v>
      </c>
      <c r="M104" s="12">
        <f>100*(S104+U104+W104+Y104)/6</f>
        <v>67.46031746031746</v>
      </c>
      <c r="R104">
        <f>+(E104-30)/20</f>
        <v>1</v>
      </c>
      <c r="S104" s="2">
        <f>IF(R104&lt;0,0,IF(R104&gt;2.375,2.375,R104))</f>
        <v>1</v>
      </c>
      <c r="T104" s="6">
        <f>+(L104-3)/4</f>
        <v>0.7916666666666667</v>
      </c>
      <c r="U104" s="2">
        <f>IF(T104&lt;0,0,IF(T104&gt;2.375,2.375,T104))</f>
        <v>0.7916666666666667</v>
      </c>
      <c r="V104">
        <f>+J104/5</f>
        <v>0.47619047619047616</v>
      </c>
      <c r="W104" s="2">
        <f>IF(V104&lt;0,0,IF(V104&gt;2.375,2.375,V104))</f>
        <v>0.47619047619047616</v>
      </c>
      <c r="X104">
        <f>(9.5-K104)/4</f>
        <v>1.7797619047619047</v>
      </c>
      <c r="Y104" s="2">
        <f>IF(X104&lt;0,0,X104)</f>
        <v>1.7797619047619047</v>
      </c>
    </row>
    <row r="105" spans="1:25" ht="12.75">
      <c r="A105" t="s">
        <v>128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109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7" spans="1:25" ht="12.75">
      <c r="A107" t="s">
        <v>129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10" spans="1:9" ht="12.75">
      <c r="A110" s="2" t="s">
        <v>67</v>
      </c>
      <c r="C110" s="3" t="s">
        <v>68</v>
      </c>
      <c r="D110" s="3" t="s">
        <v>69</v>
      </c>
      <c r="E110" s="3" t="s">
        <v>70</v>
      </c>
      <c r="F110" s="3" t="s">
        <v>49</v>
      </c>
      <c r="G110" s="3" t="s">
        <v>60</v>
      </c>
      <c r="H110" s="3" t="s">
        <v>51</v>
      </c>
      <c r="I110" s="3" t="s">
        <v>80</v>
      </c>
    </row>
    <row r="111" spans="1:9" ht="12.75">
      <c r="A111" t="s">
        <v>130</v>
      </c>
      <c r="C111">
        <v>1</v>
      </c>
      <c r="D111">
        <v>0</v>
      </c>
      <c r="E111">
        <v>0</v>
      </c>
      <c r="F111" s="12">
        <f>+E111/C111</f>
        <v>0</v>
      </c>
      <c r="G111">
        <v>0</v>
      </c>
      <c r="H111">
        <v>0</v>
      </c>
      <c r="I111">
        <v>0</v>
      </c>
    </row>
    <row r="112" spans="1:9" ht="12.75">
      <c r="A112" t="s">
        <v>131</v>
      </c>
      <c r="C112">
        <v>2</v>
      </c>
      <c r="D112">
        <v>0</v>
      </c>
      <c r="E112">
        <v>11</v>
      </c>
      <c r="F112" s="12">
        <f>+E112/C112</f>
        <v>5.5</v>
      </c>
      <c r="G112">
        <v>10</v>
      </c>
      <c r="H112">
        <v>0</v>
      </c>
      <c r="I112">
        <v>0</v>
      </c>
    </row>
    <row r="113" spans="1:6" ht="12.75">
      <c r="A113" t="s">
        <v>118</v>
      </c>
      <c r="F113" s="12" t="e">
        <f>+E113/C113</f>
        <v>#DIV/0!</v>
      </c>
    </row>
    <row r="114" spans="1:6" ht="12.75">
      <c r="A114" t="s">
        <v>132</v>
      </c>
      <c r="F114" s="12" t="e">
        <f>+E114/C114</f>
        <v>#DIV/0!</v>
      </c>
    </row>
    <row r="115" spans="1:6" ht="12.75">
      <c r="A115" t="s">
        <v>112</v>
      </c>
      <c r="F115" s="12" t="e">
        <f>+E115/C115</f>
        <v>#DIV/0!</v>
      </c>
    </row>
    <row r="117" spans="1:8" ht="12.75">
      <c r="A117" s="2" t="s">
        <v>30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51</v>
      </c>
      <c r="H117" s="3" t="s">
        <v>80</v>
      </c>
    </row>
    <row r="118" spans="1:5" ht="12.75">
      <c r="A118" t="s">
        <v>130</v>
      </c>
      <c r="E118" s="12" t="e">
        <f aca="true" t="shared" si="2" ref="E118:E126">+D118/C118</f>
        <v>#DIV/0!</v>
      </c>
    </row>
    <row r="119" spans="1:8" ht="12.75">
      <c r="A119" t="s">
        <v>112</v>
      </c>
      <c r="C119">
        <v>1</v>
      </c>
      <c r="D119">
        <v>25</v>
      </c>
      <c r="E119" s="12">
        <f t="shared" si="2"/>
        <v>25</v>
      </c>
      <c r="F119">
        <v>25</v>
      </c>
      <c r="G119">
        <v>0</v>
      </c>
      <c r="H119">
        <v>0</v>
      </c>
    </row>
    <row r="120" spans="1:8" ht="12.75">
      <c r="A120" t="s">
        <v>116</v>
      </c>
      <c r="C120">
        <v>1</v>
      </c>
      <c r="D120">
        <v>17</v>
      </c>
      <c r="E120" s="12">
        <f t="shared" si="2"/>
        <v>17</v>
      </c>
      <c r="F120">
        <v>17</v>
      </c>
      <c r="G120">
        <v>0</v>
      </c>
      <c r="H120">
        <v>0</v>
      </c>
    </row>
    <row r="121" spans="1:5" ht="12.75">
      <c r="A121" t="s">
        <v>124</v>
      </c>
      <c r="E121" s="12" t="e">
        <f t="shared" si="2"/>
        <v>#DIV/0!</v>
      </c>
    </row>
    <row r="122" spans="1:5" ht="12.75">
      <c r="A122" t="s">
        <v>122</v>
      </c>
      <c r="E122" s="12" t="e">
        <f t="shared" si="2"/>
        <v>#DIV/0!</v>
      </c>
    </row>
    <row r="123" spans="1:5" ht="12.75">
      <c r="A123" t="s">
        <v>114</v>
      </c>
      <c r="E123" s="12" t="e">
        <f t="shared" si="2"/>
        <v>#DIV/0!</v>
      </c>
    </row>
    <row r="124" spans="1:5" ht="12.75">
      <c r="A124" t="s">
        <v>126</v>
      </c>
      <c r="E124" s="12" t="e">
        <f t="shared" si="2"/>
        <v>#DIV/0!</v>
      </c>
    </row>
    <row r="125" spans="1:5" ht="12.75">
      <c r="A125" t="s">
        <v>127</v>
      </c>
      <c r="E125" s="12" t="e">
        <f t="shared" si="2"/>
        <v>#DIV/0!</v>
      </c>
    </row>
    <row r="126" spans="1:5" ht="12.75">
      <c r="A126" t="s">
        <v>106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129</v>
      </c>
      <c r="C129">
        <v>5</v>
      </c>
      <c r="D129">
        <v>210</v>
      </c>
      <c r="E129" s="12">
        <f>+D129/C129</f>
        <v>42</v>
      </c>
      <c r="F129">
        <v>54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133</v>
      </c>
      <c r="C132">
        <v>5</v>
      </c>
      <c r="D132">
        <v>0</v>
      </c>
      <c r="E132">
        <v>1</v>
      </c>
      <c r="F132">
        <v>1</v>
      </c>
      <c r="G132">
        <v>3</v>
      </c>
      <c r="H132">
        <v>3</v>
      </c>
      <c r="I132" s="12">
        <f>+H132/G132*100</f>
        <v>100</v>
      </c>
      <c r="J132">
        <v>45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5" ht="12.75">
      <c r="A135" t="s">
        <v>134</v>
      </c>
      <c r="E135" s="12" t="e">
        <f>+D135/C135</f>
        <v>#DIV/0!</v>
      </c>
    </row>
    <row r="136" spans="1:5" ht="12.75">
      <c r="A136" t="s">
        <v>135</v>
      </c>
      <c r="E136" s="12" t="e">
        <f aca="true" t="shared" si="3" ref="E136:E143">+D136/C136</f>
        <v>#DIV/0!</v>
      </c>
    </row>
    <row r="137" spans="1:5" ht="12.75">
      <c r="A137" t="s">
        <v>130</v>
      </c>
      <c r="E137" s="12" t="e">
        <f t="shared" si="3"/>
        <v>#DIV/0!</v>
      </c>
    </row>
    <row r="138" spans="1:5" ht="12.75">
      <c r="A138" t="s">
        <v>131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137</v>
      </c>
      <c r="E140" s="12" t="e">
        <f t="shared" si="3"/>
        <v>#DIV/0!</v>
      </c>
    </row>
    <row r="141" spans="1:5" ht="12.75">
      <c r="A141" t="s">
        <v>138</v>
      </c>
      <c r="E141" s="12" t="e">
        <f t="shared" si="3"/>
        <v>#DIV/0!</v>
      </c>
    </row>
    <row r="142" spans="1:5" ht="12.75">
      <c r="A142" t="s">
        <v>139</v>
      </c>
      <c r="E142" s="12" t="e">
        <f t="shared" si="3"/>
        <v>#DIV/0!</v>
      </c>
    </row>
    <row r="143" spans="1:5" ht="12.75">
      <c r="A143" t="s">
        <v>140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spans="1:3" ht="12.75">
      <c r="A146" t="s">
        <v>117</v>
      </c>
      <c r="C146">
        <v>0.5</v>
      </c>
    </row>
    <row r="147" spans="1:3" ht="12.75">
      <c r="A147" t="s">
        <v>141</v>
      </c>
      <c r="C147">
        <v>0.5</v>
      </c>
    </row>
    <row r="148" spans="1:3" ht="12.75">
      <c r="A148" t="s">
        <v>142</v>
      </c>
      <c r="C148">
        <v>0.5</v>
      </c>
    </row>
    <row r="149" ht="12.75">
      <c r="A149" t="s">
        <v>143</v>
      </c>
    </row>
    <row r="150" ht="12.75">
      <c r="A150" t="s">
        <v>144</v>
      </c>
    </row>
    <row r="151" ht="12.75">
      <c r="A151" t="s">
        <v>145</v>
      </c>
    </row>
    <row r="152" ht="12.75">
      <c r="A152" t="s">
        <v>140</v>
      </c>
    </row>
    <row r="153" ht="12.75">
      <c r="A153" t="s">
        <v>146</v>
      </c>
    </row>
    <row r="154" ht="12.75">
      <c r="A154" t="s">
        <v>138</v>
      </c>
    </row>
    <row r="155" spans="1:3" ht="12.75">
      <c r="A155" t="s">
        <v>139</v>
      </c>
      <c r="C155">
        <v>0.5</v>
      </c>
    </row>
    <row r="156" ht="12.75">
      <c r="A156" t="s">
        <v>147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18</v>
      </c>
      <c r="H159" t="s">
        <v>93</v>
      </c>
      <c r="M159">
        <v>9</v>
      </c>
    </row>
    <row r="160" spans="1:13" ht="12.75">
      <c r="A160" t="s">
        <v>94</v>
      </c>
      <c r="D160">
        <v>6</v>
      </c>
      <c r="H160" t="s">
        <v>94</v>
      </c>
      <c r="M160">
        <v>3</v>
      </c>
    </row>
    <row r="161" spans="1:13" ht="12.75">
      <c r="A161" t="s">
        <v>95</v>
      </c>
      <c r="D161">
        <f>D160/D159*100</f>
        <v>33.33333333333333</v>
      </c>
      <c r="H161" t="s">
        <v>95</v>
      </c>
      <c r="M161">
        <f>+M160/M159*100</f>
        <v>33.33333333333333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Y161"/>
  <sheetViews>
    <sheetView zoomScalePageLayoutView="0" workbookViewId="0" topLeftCell="A60">
      <selection activeCell="A73" sqref="A73:M149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107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18</v>
      </c>
      <c r="H6" s="1" t="s">
        <v>29</v>
      </c>
      <c r="M6" s="2">
        <f>M7+M8+M9</f>
        <v>28</v>
      </c>
    </row>
    <row r="7" spans="1:13" ht="12.75">
      <c r="A7" s="1" t="s">
        <v>103</v>
      </c>
      <c r="D7" s="2">
        <v>4</v>
      </c>
      <c r="H7" s="1" t="s">
        <v>103</v>
      </c>
      <c r="M7" s="2">
        <v>12</v>
      </c>
    </row>
    <row r="8" spans="1:13" ht="12.75">
      <c r="A8" s="1" t="s">
        <v>105</v>
      </c>
      <c r="D8" s="2">
        <v>7</v>
      </c>
      <c r="H8" s="1" t="s">
        <v>105</v>
      </c>
      <c r="M8" s="2">
        <v>14</v>
      </c>
    </row>
    <row r="9" spans="1:13" ht="12.75">
      <c r="A9" s="1" t="s">
        <v>104</v>
      </c>
      <c r="D9" s="2">
        <v>7</v>
      </c>
      <c r="H9" s="1" t="s">
        <v>104</v>
      </c>
      <c r="M9" s="2">
        <v>2</v>
      </c>
    </row>
    <row r="11" spans="1:13" ht="12.75">
      <c r="A11" t="s">
        <v>1</v>
      </c>
      <c r="D11" s="2">
        <v>20</v>
      </c>
      <c r="H11" t="s">
        <v>1</v>
      </c>
      <c r="M11" s="2">
        <v>28</v>
      </c>
    </row>
    <row r="12" spans="1:13" ht="12.75">
      <c r="A12" t="s">
        <v>2</v>
      </c>
      <c r="D12" s="2">
        <v>108</v>
      </c>
      <c r="H12" t="s">
        <v>2</v>
      </c>
      <c r="M12" s="2">
        <v>210</v>
      </c>
    </row>
    <row r="13" spans="1:13" ht="12.75">
      <c r="A13" s="1" t="s">
        <v>3</v>
      </c>
      <c r="D13" s="8">
        <f>+D12/D11</f>
        <v>5.4</v>
      </c>
      <c r="H13" s="1" t="s">
        <v>3</v>
      </c>
      <c r="M13" s="8">
        <f>+M12/M11</f>
        <v>7.5</v>
      </c>
    </row>
    <row r="15" spans="1:13" ht="12.75">
      <c r="A15" t="s">
        <v>4</v>
      </c>
      <c r="D15" s="2">
        <v>31</v>
      </c>
      <c r="H15" t="s">
        <v>4</v>
      </c>
      <c r="M15" s="2">
        <v>32</v>
      </c>
    </row>
    <row r="16" spans="1:13" ht="12.75">
      <c r="A16" t="s">
        <v>5</v>
      </c>
      <c r="D16" s="2">
        <v>13</v>
      </c>
      <c r="H16" t="s">
        <v>5</v>
      </c>
      <c r="M16" s="2">
        <v>20</v>
      </c>
    </row>
    <row r="17" spans="1:13" ht="12.75">
      <c r="A17" t="s">
        <v>6</v>
      </c>
      <c r="D17" s="8">
        <f>+D16/D15*100</f>
        <v>41.935483870967744</v>
      </c>
      <c r="H17" t="s">
        <v>6</v>
      </c>
      <c r="M17" s="8">
        <f>+M16/M15*100</f>
        <v>62.5</v>
      </c>
    </row>
    <row r="18" spans="1:13" ht="12.75">
      <c r="A18" t="s">
        <v>7</v>
      </c>
      <c r="D18" s="2">
        <v>171</v>
      </c>
      <c r="H18" t="s">
        <v>7</v>
      </c>
      <c r="M18" s="2">
        <v>260</v>
      </c>
    </row>
    <row r="19" spans="1:13" ht="12.75">
      <c r="A19" t="s">
        <v>8</v>
      </c>
      <c r="D19" s="2">
        <v>0</v>
      </c>
      <c r="H19" t="s">
        <v>8</v>
      </c>
      <c r="M19" s="2">
        <v>1</v>
      </c>
    </row>
    <row r="20" spans="1:13" ht="12.75">
      <c r="A20" t="s">
        <v>9</v>
      </c>
      <c r="D20" s="2">
        <v>0</v>
      </c>
      <c r="H20" t="s">
        <v>9</v>
      </c>
      <c r="M20" s="2">
        <v>2</v>
      </c>
    </row>
    <row r="21" spans="1:13" ht="12.75">
      <c r="A21" t="s">
        <v>10</v>
      </c>
      <c r="D21">
        <f>+D18-D20</f>
        <v>171</v>
      </c>
      <c r="H21" t="s">
        <v>10</v>
      </c>
      <c r="M21">
        <f>+M18-M20</f>
        <v>258</v>
      </c>
    </row>
    <row r="22" spans="1:13" ht="12.75">
      <c r="A22" t="s">
        <v>11</v>
      </c>
      <c r="D22" s="7">
        <f>+D21/(D15+D19)</f>
        <v>5.516129032258065</v>
      </c>
      <c r="H22" t="s">
        <v>11</v>
      </c>
      <c r="M22" s="7">
        <f>+M21/(M15+M19)</f>
        <v>7.818181818181818</v>
      </c>
    </row>
    <row r="23" spans="1:13" ht="12.75">
      <c r="A23" t="s">
        <v>12</v>
      </c>
      <c r="D23" s="7">
        <f>+D18/D16</f>
        <v>13.153846153846153</v>
      </c>
      <c r="H23" t="s">
        <v>12</v>
      </c>
      <c r="M23" s="7">
        <f>+M18/M16</f>
        <v>13</v>
      </c>
    </row>
    <row r="25" spans="1:8" ht="12.75">
      <c r="A25" t="s">
        <v>13</v>
      </c>
      <c r="H25" t="s">
        <v>13</v>
      </c>
    </row>
    <row r="26" spans="1:13" ht="12.75">
      <c r="A26" t="s">
        <v>14</v>
      </c>
      <c r="D26">
        <f>+D21+D12</f>
        <v>279</v>
      </c>
      <c r="H26" t="s">
        <v>14</v>
      </c>
      <c r="M26">
        <f>+M21+M12</f>
        <v>468</v>
      </c>
    </row>
    <row r="27" spans="1:13" ht="12.75">
      <c r="A27" t="s">
        <v>15</v>
      </c>
      <c r="D27" s="7">
        <f>+D12/D26*100</f>
        <v>38.70967741935484</v>
      </c>
      <c r="H27" t="s">
        <v>15</v>
      </c>
      <c r="M27" s="7">
        <f>+M12/M26*100</f>
        <v>44.871794871794876</v>
      </c>
    </row>
    <row r="28" spans="1:13" ht="12.75">
      <c r="A28" s="1" t="s">
        <v>86</v>
      </c>
      <c r="D28" s="7">
        <f>+D21/D26*100</f>
        <v>61.29032258064516</v>
      </c>
      <c r="H28" s="1" t="s">
        <v>86</v>
      </c>
      <c r="M28" s="7">
        <f>+M21/M26*100</f>
        <v>55.12820512820513</v>
      </c>
    </row>
    <row r="30" spans="1:13" ht="12.75">
      <c r="A30" t="s">
        <v>16</v>
      </c>
      <c r="D30">
        <f>+D11+D15+D19</f>
        <v>51</v>
      </c>
      <c r="H30" t="s">
        <v>16</v>
      </c>
      <c r="M30">
        <f>+M11+M15+M19</f>
        <v>61</v>
      </c>
    </row>
    <row r="31" spans="1:13" ht="12.75">
      <c r="A31" t="s">
        <v>17</v>
      </c>
      <c r="D31" s="8">
        <f>+D26/D30</f>
        <v>5.470588235294118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7.672131147540983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3</v>
      </c>
      <c r="H34" t="s">
        <v>19</v>
      </c>
      <c r="M34" s="2">
        <v>1</v>
      </c>
    </row>
    <row r="35" spans="1:13" ht="12.75">
      <c r="A35" t="s">
        <v>20</v>
      </c>
      <c r="D35" s="2">
        <v>13</v>
      </c>
      <c r="H35" t="s">
        <v>20</v>
      </c>
      <c r="M35" s="2">
        <v>13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5</v>
      </c>
      <c r="H38" t="s">
        <v>22</v>
      </c>
      <c r="M38" s="2">
        <v>3</v>
      </c>
    </row>
    <row r="39" spans="1:13" ht="12.75">
      <c r="A39" t="s">
        <v>23</v>
      </c>
      <c r="D39" s="2">
        <v>174</v>
      </c>
      <c r="H39" t="s">
        <v>23</v>
      </c>
      <c r="M39" s="2">
        <v>93</v>
      </c>
    </row>
    <row r="40" spans="1:13" ht="12.75">
      <c r="A40" t="s">
        <v>24</v>
      </c>
      <c r="D40" s="8">
        <f>+D39/D38</f>
        <v>34.8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31</v>
      </c>
    </row>
    <row r="42" spans="1:13" ht="12.75">
      <c r="A42" t="s">
        <v>25</v>
      </c>
      <c r="D42" s="2">
        <v>1</v>
      </c>
      <c r="H42" t="s">
        <v>25</v>
      </c>
      <c r="M42" s="2">
        <v>2</v>
      </c>
    </row>
    <row r="43" spans="1:13" ht="12.75">
      <c r="A43" t="s">
        <v>26</v>
      </c>
      <c r="D43" s="2">
        <v>-2</v>
      </c>
      <c r="H43" t="s">
        <v>26</v>
      </c>
      <c r="M43" s="2">
        <v>17</v>
      </c>
    </row>
    <row r="44" spans="1:13" ht="12.75">
      <c r="A44" t="s">
        <v>27</v>
      </c>
      <c r="D44" s="8">
        <v>0</v>
      </c>
      <c r="H44" t="s">
        <v>27</v>
      </c>
      <c r="M44" s="8">
        <f>+M43/M42</f>
        <v>8.5</v>
      </c>
    </row>
    <row r="45" spans="1:13" ht="12.75">
      <c r="A45" t="s">
        <v>108</v>
      </c>
      <c r="D45" s="2">
        <v>1</v>
      </c>
      <c r="H45" t="s">
        <v>108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6</v>
      </c>
      <c r="H48" t="s">
        <v>30</v>
      </c>
      <c r="M48" s="2">
        <v>3</v>
      </c>
    </row>
    <row r="49" spans="1:13" ht="12.75">
      <c r="A49" t="s">
        <v>26</v>
      </c>
      <c r="D49" s="2">
        <v>143</v>
      </c>
      <c r="H49" t="s">
        <v>26</v>
      </c>
      <c r="M49" s="2">
        <v>55</v>
      </c>
    </row>
    <row r="50" spans="1:13" ht="12.75">
      <c r="A50" t="s">
        <v>27</v>
      </c>
      <c r="D50" s="8">
        <f>+D49/D48</f>
        <v>23.833333333333332</v>
      </c>
      <c r="H50" t="s">
        <v>27</v>
      </c>
      <c r="M50" s="8">
        <f>+M49/M48</f>
        <v>18.333333333333332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5</v>
      </c>
      <c r="H53" t="s">
        <v>31</v>
      </c>
      <c r="M53" s="2">
        <v>5</v>
      </c>
    </row>
    <row r="54" spans="1:13" ht="12.75">
      <c r="A54" t="s">
        <v>32</v>
      </c>
      <c r="D54" s="2">
        <v>40</v>
      </c>
      <c r="H54" t="s">
        <v>32</v>
      </c>
      <c r="M54" s="2">
        <v>40</v>
      </c>
    </row>
    <row r="56" spans="1:13" ht="12.75">
      <c r="A56" t="s">
        <v>33</v>
      </c>
      <c r="D56" s="2">
        <v>2</v>
      </c>
      <c r="H56" t="s">
        <v>33</v>
      </c>
      <c r="M56" s="2">
        <v>2</v>
      </c>
    </row>
    <row r="57" spans="1:13" ht="12.75">
      <c r="A57" t="s">
        <v>101</v>
      </c>
      <c r="D57" s="2">
        <v>1</v>
      </c>
      <c r="H57" t="s">
        <v>101</v>
      </c>
      <c r="M57" s="2">
        <v>0</v>
      </c>
    </row>
    <row r="59" spans="1:13" ht="12.75">
      <c r="A59" t="s">
        <v>34</v>
      </c>
      <c r="D59" s="2">
        <v>13</v>
      </c>
      <c r="H59" t="s">
        <v>34</v>
      </c>
      <c r="M59" s="2">
        <v>38</v>
      </c>
    </row>
    <row r="60" spans="1:13" ht="12.75">
      <c r="A60" t="s">
        <v>35</v>
      </c>
      <c r="D60" s="2">
        <v>1</v>
      </c>
      <c r="H60" t="s">
        <v>35</v>
      </c>
      <c r="M60" s="2">
        <v>5</v>
      </c>
    </row>
    <row r="61" spans="1:13" ht="12.75">
      <c r="A61" t="s">
        <v>36</v>
      </c>
      <c r="D61" s="2">
        <v>1</v>
      </c>
      <c r="H61" t="s">
        <v>36</v>
      </c>
      <c r="M61" s="2">
        <v>3</v>
      </c>
    </row>
    <row r="62" spans="1:13" ht="12.75">
      <c r="A62" t="s">
        <v>37</v>
      </c>
      <c r="D62" s="2">
        <v>0</v>
      </c>
      <c r="H62" t="s">
        <v>37</v>
      </c>
      <c r="M62" s="2">
        <v>2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1</v>
      </c>
      <c r="H64" t="s">
        <v>39</v>
      </c>
      <c r="M64" s="2">
        <v>5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2</v>
      </c>
      <c r="H66" t="s">
        <v>41</v>
      </c>
      <c r="M66" s="2">
        <v>1</v>
      </c>
    </row>
    <row r="67" spans="1:13" ht="12.75">
      <c r="A67" t="s">
        <v>42</v>
      </c>
      <c r="D67" s="2">
        <v>2</v>
      </c>
      <c r="H67" t="s">
        <v>42</v>
      </c>
      <c r="M67" s="2">
        <v>2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50</v>
      </c>
    </row>
    <row r="69" spans="1:13" ht="12.75">
      <c r="A69" t="s">
        <v>92</v>
      </c>
      <c r="D69" s="27">
        <v>27.1</v>
      </c>
      <c r="E69" s="8"/>
      <c r="F69" s="8"/>
      <c r="H69" t="s">
        <v>91</v>
      </c>
      <c r="M69" s="27">
        <v>32.5</v>
      </c>
    </row>
    <row r="70" spans="1:13" ht="12.75">
      <c r="A70" t="s">
        <v>102</v>
      </c>
      <c r="D70" s="23">
        <f>D161</f>
        <v>30</v>
      </c>
      <c r="E70" s="8"/>
      <c r="F70" s="8"/>
      <c r="H70" t="s">
        <v>102</v>
      </c>
      <c r="M70" s="23">
        <f>M161</f>
        <v>53.333333333333336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6</v>
      </c>
      <c r="D74">
        <v>14</v>
      </c>
      <c r="E74" s="12">
        <f aca="true" t="shared" si="0" ref="E74:E83">+D74/C74</f>
        <v>2.3333333333333335</v>
      </c>
      <c r="F74">
        <v>5</v>
      </c>
      <c r="G74">
        <v>0</v>
      </c>
      <c r="H74">
        <v>0</v>
      </c>
    </row>
    <row r="75" spans="1:8" ht="12.75">
      <c r="A75" t="s">
        <v>110</v>
      </c>
      <c r="C75">
        <v>9</v>
      </c>
      <c r="D75">
        <v>57</v>
      </c>
      <c r="E75" s="12">
        <f t="shared" si="0"/>
        <v>6.333333333333333</v>
      </c>
      <c r="F75">
        <v>21</v>
      </c>
      <c r="G75">
        <v>1</v>
      </c>
      <c r="H75">
        <v>0</v>
      </c>
    </row>
    <row r="76" spans="1:8" ht="12.75">
      <c r="A76" t="s">
        <v>111</v>
      </c>
      <c r="C76">
        <v>4</v>
      </c>
      <c r="D76">
        <v>36</v>
      </c>
      <c r="E76" s="12">
        <f t="shared" si="0"/>
        <v>9</v>
      </c>
      <c r="F76">
        <v>13</v>
      </c>
      <c r="G76">
        <v>0</v>
      </c>
      <c r="H76">
        <v>0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8" ht="12.75">
      <c r="A79" t="s">
        <v>114</v>
      </c>
      <c r="C79">
        <v>1</v>
      </c>
      <c r="D79">
        <v>1</v>
      </c>
      <c r="E79" s="12">
        <f t="shared" si="0"/>
        <v>1</v>
      </c>
      <c r="F79">
        <v>1</v>
      </c>
      <c r="G79">
        <v>0</v>
      </c>
      <c r="H79">
        <v>0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ht="12.75">
      <c r="E84" s="8"/>
    </row>
    <row r="85" spans="1:8" ht="12.75">
      <c r="A85" s="2" t="s">
        <v>52</v>
      </c>
      <c r="C85" s="3" t="s">
        <v>53</v>
      </c>
      <c r="D85" s="3" t="s">
        <v>48</v>
      </c>
      <c r="E85" s="15" t="s">
        <v>49</v>
      </c>
      <c r="F85" s="3" t="s">
        <v>50</v>
      </c>
      <c r="G85" s="3" t="s">
        <v>51</v>
      </c>
      <c r="H85" s="3" t="s">
        <v>80</v>
      </c>
    </row>
    <row r="86" spans="1:8" ht="12.75">
      <c r="A86" t="s">
        <v>109</v>
      </c>
      <c r="C86">
        <v>2</v>
      </c>
      <c r="D86">
        <v>20</v>
      </c>
      <c r="E86" s="12">
        <f aca="true" t="shared" si="1" ref="E86:E99">+D86/C86</f>
        <v>10</v>
      </c>
      <c r="F86">
        <v>16</v>
      </c>
      <c r="G86">
        <v>0</v>
      </c>
      <c r="H86">
        <v>0</v>
      </c>
    </row>
    <row r="87" spans="1:8" ht="12.75">
      <c r="A87" t="s">
        <v>118</v>
      </c>
      <c r="C87">
        <v>1</v>
      </c>
      <c r="D87">
        <v>31</v>
      </c>
      <c r="E87" s="12">
        <f t="shared" si="1"/>
        <v>31</v>
      </c>
      <c r="F87">
        <v>31</v>
      </c>
      <c r="G87">
        <v>0</v>
      </c>
      <c r="H87">
        <v>0</v>
      </c>
    </row>
    <row r="88" spans="1:8" ht="12.75">
      <c r="A88" t="s">
        <v>119</v>
      </c>
      <c r="C88">
        <v>1</v>
      </c>
      <c r="D88">
        <v>38</v>
      </c>
      <c r="E88" s="12">
        <f t="shared" si="1"/>
        <v>38</v>
      </c>
      <c r="F88">
        <v>38</v>
      </c>
      <c r="G88">
        <v>0</v>
      </c>
      <c r="H88">
        <v>0</v>
      </c>
    </row>
    <row r="89" spans="1:8" ht="12.75">
      <c r="A89" t="s">
        <v>120</v>
      </c>
      <c r="C89">
        <v>4</v>
      </c>
      <c r="D89">
        <v>24</v>
      </c>
      <c r="E89" s="12">
        <f t="shared" si="1"/>
        <v>6</v>
      </c>
      <c r="F89">
        <v>11</v>
      </c>
      <c r="G89">
        <v>0</v>
      </c>
      <c r="H89">
        <v>0</v>
      </c>
    </row>
    <row r="90" spans="1:8" ht="12.75">
      <c r="A90" t="s">
        <v>121</v>
      </c>
      <c r="C90">
        <v>1</v>
      </c>
      <c r="D90">
        <v>24</v>
      </c>
      <c r="E90" s="12">
        <f t="shared" si="1"/>
        <v>24</v>
      </c>
      <c r="F90">
        <v>24</v>
      </c>
      <c r="G90">
        <v>0</v>
      </c>
      <c r="H90">
        <v>0</v>
      </c>
    </row>
    <row r="91" spans="1:8" ht="12.75">
      <c r="A91" t="s">
        <v>110</v>
      </c>
      <c r="C91">
        <v>1</v>
      </c>
      <c r="D91">
        <v>12</v>
      </c>
      <c r="E91" s="12">
        <f t="shared" si="1"/>
        <v>12</v>
      </c>
      <c r="F91">
        <v>12</v>
      </c>
      <c r="G91">
        <v>0</v>
      </c>
      <c r="H91">
        <v>0</v>
      </c>
    </row>
    <row r="92" spans="1:5" ht="12.75">
      <c r="A92" t="s">
        <v>122</v>
      </c>
      <c r="E92" s="12" t="e">
        <f t="shared" si="1"/>
        <v>#DIV/0!</v>
      </c>
    </row>
    <row r="93" spans="1:8" ht="12.75">
      <c r="A93" t="s">
        <v>123</v>
      </c>
      <c r="C93">
        <v>1</v>
      </c>
      <c r="D93">
        <v>3</v>
      </c>
      <c r="E93" s="12">
        <f t="shared" si="1"/>
        <v>3</v>
      </c>
      <c r="F93">
        <v>3</v>
      </c>
      <c r="G93">
        <v>0</v>
      </c>
      <c r="H93">
        <v>0</v>
      </c>
    </row>
    <row r="94" spans="1:8" ht="12.75">
      <c r="A94" t="s">
        <v>114</v>
      </c>
      <c r="C94">
        <v>2</v>
      </c>
      <c r="D94">
        <v>19</v>
      </c>
      <c r="E94" s="12">
        <f t="shared" si="1"/>
        <v>9.5</v>
      </c>
      <c r="F94">
        <v>12</v>
      </c>
      <c r="G94">
        <v>0</v>
      </c>
      <c r="H94">
        <v>0</v>
      </c>
    </row>
    <row r="95" spans="1:5" ht="12.75">
      <c r="A95" t="s">
        <v>124</v>
      </c>
      <c r="E95" s="12" t="e">
        <f t="shared" si="1"/>
        <v>#DIV/0!</v>
      </c>
    </row>
    <row r="96" spans="1:5" ht="12.75">
      <c r="A96" t="s">
        <v>125</v>
      </c>
      <c r="E96" s="12" t="e">
        <f t="shared" si="1"/>
        <v>#DIV/0!</v>
      </c>
    </row>
    <row r="97" spans="1:5" ht="12.75">
      <c r="A97" t="s">
        <v>112</v>
      </c>
      <c r="E97" s="12" t="e">
        <f t="shared" si="1"/>
        <v>#DIV/0!</v>
      </c>
    </row>
    <row r="98" spans="1:5" ht="12.75">
      <c r="A98" t="s">
        <v>126</v>
      </c>
      <c r="E98" s="12" t="e">
        <f t="shared" si="1"/>
        <v>#DIV/0!</v>
      </c>
    </row>
    <row r="99" spans="1:5" ht="12.75">
      <c r="A99" t="s">
        <v>127</v>
      </c>
      <c r="E99" s="12" t="e">
        <f t="shared" si="1"/>
        <v>#DIV/0!</v>
      </c>
    </row>
    <row r="100" ht="12.75">
      <c r="E100" s="8"/>
    </row>
    <row r="101" spans="1:13" ht="12.75">
      <c r="A101" s="2"/>
      <c r="B101" s="2"/>
      <c r="C101" s="3"/>
      <c r="D101" s="3"/>
      <c r="E101" s="15" t="s">
        <v>57</v>
      </c>
      <c r="F101" s="3" t="s">
        <v>58</v>
      </c>
      <c r="G101" s="3"/>
      <c r="H101" s="3"/>
      <c r="I101" s="3" t="s">
        <v>61</v>
      </c>
      <c r="J101" s="3" t="s">
        <v>63</v>
      </c>
      <c r="K101" s="3" t="s">
        <v>57</v>
      </c>
      <c r="L101" s="3" t="s">
        <v>49</v>
      </c>
      <c r="M101" s="3"/>
    </row>
    <row r="102" spans="1:14" ht="12.75">
      <c r="A102" s="2" t="s">
        <v>54</v>
      </c>
      <c r="B102" s="2"/>
      <c r="C102" s="3" t="s">
        <v>55</v>
      </c>
      <c r="D102" s="3" t="s">
        <v>56</v>
      </c>
      <c r="E102" s="15" t="s">
        <v>56</v>
      </c>
      <c r="F102" s="3" t="s">
        <v>59</v>
      </c>
      <c r="G102" s="3" t="s">
        <v>51</v>
      </c>
      <c r="H102" s="3" t="s">
        <v>60</v>
      </c>
      <c r="I102" s="5" t="s">
        <v>62</v>
      </c>
      <c r="J102" s="3" t="s">
        <v>51</v>
      </c>
      <c r="K102" s="3" t="s">
        <v>64</v>
      </c>
      <c r="L102" s="3" t="s">
        <v>65</v>
      </c>
      <c r="M102" s="3" t="s">
        <v>66</v>
      </c>
      <c r="N102" s="3" t="s">
        <v>80</v>
      </c>
    </row>
    <row r="103" spans="1:25" ht="12.75">
      <c r="A103" t="s">
        <v>115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111</v>
      </c>
      <c r="C104">
        <v>31</v>
      </c>
      <c r="D104">
        <v>13</v>
      </c>
      <c r="E104" s="12">
        <f>+D104/C104*100</f>
        <v>41.935483870967744</v>
      </c>
      <c r="F104">
        <v>171</v>
      </c>
      <c r="G104">
        <v>0</v>
      </c>
      <c r="H104">
        <v>38</v>
      </c>
      <c r="I104">
        <v>3</v>
      </c>
      <c r="J104" s="8">
        <f>+G104/C104*100</f>
        <v>0</v>
      </c>
      <c r="K104" s="12">
        <f>+I104/C104*100</f>
        <v>9.67741935483871</v>
      </c>
      <c r="L104" s="12">
        <f>+F104/C104</f>
        <v>5.516129032258065</v>
      </c>
      <c r="M104" s="12">
        <f>100*(S104+U104+W104+Y104)/6</f>
        <v>20.430107526881724</v>
      </c>
      <c r="R104">
        <f>+(E104-30)/20</f>
        <v>0.5967741935483872</v>
      </c>
      <c r="S104" s="2">
        <f>IF(R104&lt;0,0,IF(R104&gt;2.375,2.375,R104))</f>
        <v>0.5967741935483872</v>
      </c>
      <c r="T104" s="6">
        <f>+(L104-3)/4</f>
        <v>0.6290322580645162</v>
      </c>
      <c r="U104" s="2">
        <f>IF(T104&lt;0,0,IF(T104&gt;2.375,2.375,T104))</f>
        <v>0.6290322580645162</v>
      </c>
      <c r="V104">
        <f>+J104/5</f>
        <v>0</v>
      </c>
      <c r="W104" s="2">
        <f>IF(V104&lt;0,0,IF(V104&gt;2.375,2.375,V104))</f>
        <v>0</v>
      </c>
      <c r="X104">
        <f>(9.5-K104)/4</f>
        <v>-0.04435483870967749</v>
      </c>
      <c r="Y104" s="2">
        <f>IF(X104&lt;0,0,X104)</f>
        <v>0</v>
      </c>
    </row>
    <row r="105" spans="1:25" ht="12.75">
      <c r="A105" t="s">
        <v>128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109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7" spans="1:25" ht="12.75">
      <c r="A107" t="s">
        <v>129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10" spans="1:9" ht="12.75">
      <c r="A110" s="2" t="s">
        <v>67</v>
      </c>
      <c r="C110" s="3" t="s">
        <v>68</v>
      </c>
      <c r="D110" s="3" t="s">
        <v>69</v>
      </c>
      <c r="E110" s="3" t="s">
        <v>70</v>
      </c>
      <c r="F110" s="3" t="s">
        <v>49</v>
      </c>
      <c r="G110" s="3" t="s">
        <v>60</v>
      </c>
      <c r="H110" s="3" t="s">
        <v>51</v>
      </c>
      <c r="I110" s="3" t="s">
        <v>80</v>
      </c>
    </row>
    <row r="111" spans="1:9" ht="12.75">
      <c r="A111" t="s">
        <v>130</v>
      </c>
      <c r="C111">
        <v>0</v>
      </c>
      <c r="D111">
        <v>1</v>
      </c>
      <c r="E111">
        <v>0</v>
      </c>
      <c r="F111" s="12">
        <v>0</v>
      </c>
      <c r="G111">
        <v>0</v>
      </c>
      <c r="H111">
        <v>0</v>
      </c>
      <c r="I111">
        <v>0</v>
      </c>
    </row>
    <row r="112" spans="1:9" ht="12.75">
      <c r="A112" t="s">
        <v>131</v>
      </c>
      <c r="C112">
        <v>1</v>
      </c>
      <c r="D112">
        <v>0</v>
      </c>
      <c r="E112">
        <v>-2</v>
      </c>
      <c r="F112" s="12">
        <f>+E112/C112</f>
        <v>-2</v>
      </c>
      <c r="G112">
        <v>-2</v>
      </c>
      <c r="H112">
        <v>0</v>
      </c>
      <c r="I112">
        <v>0</v>
      </c>
    </row>
    <row r="113" spans="1:6" ht="12.75">
      <c r="A113" t="s">
        <v>118</v>
      </c>
      <c r="F113" s="12" t="e">
        <f>+E113/C113</f>
        <v>#DIV/0!</v>
      </c>
    </row>
    <row r="114" spans="1:6" ht="12.75">
      <c r="A114" t="s">
        <v>132</v>
      </c>
      <c r="F114" s="12" t="e">
        <f>+E114/C114</f>
        <v>#DIV/0!</v>
      </c>
    </row>
    <row r="115" spans="1:6" ht="12.75">
      <c r="A115" t="s">
        <v>112</v>
      </c>
      <c r="F115" s="12" t="e">
        <f>+E115/C115</f>
        <v>#DIV/0!</v>
      </c>
    </row>
    <row r="117" spans="1:8" ht="12.75">
      <c r="A117" s="2" t="s">
        <v>30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51</v>
      </c>
      <c r="H117" s="3" t="s">
        <v>80</v>
      </c>
    </row>
    <row r="118" spans="1:8" ht="12.75">
      <c r="A118" t="s">
        <v>130</v>
      </c>
      <c r="C118">
        <v>5</v>
      </c>
      <c r="D118">
        <v>119</v>
      </c>
      <c r="E118" s="12">
        <f aca="true" t="shared" si="2" ref="E118:E126">+D118/C118</f>
        <v>23.8</v>
      </c>
      <c r="F118">
        <v>33</v>
      </c>
      <c r="G118">
        <v>0</v>
      </c>
      <c r="H118">
        <v>1</v>
      </c>
    </row>
    <row r="119" spans="1:8" ht="12.75">
      <c r="A119" t="s">
        <v>112</v>
      </c>
      <c r="C119">
        <v>1</v>
      </c>
      <c r="D119">
        <v>24</v>
      </c>
      <c r="E119" s="12">
        <f t="shared" si="2"/>
        <v>24</v>
      </c>
      <c r="F119">
        <v>24</v>
      </c>
      <c r="G119">
        <v>0</v>
      </c>
      <c r="H119">
        <v>0</v>
      </c>
    </row>
    <row r="120" spans="1:5" ht="12.75">
      <c r="A120" t="s">
        <v>116</v>
      </c>
      <c r="E120" s="12" t="e">
        <f t="shared" si="2"/>
        <v>#DIV/0!</v>
      </c>
    </row>
    <row r="121" spans="1:5" ht="12.75">
      <c r="A121" t="s">
        <v>124</v>
      </c>
      <c r="E121" s="12" t="e">
        <f t="shared" si="2"/>
        <v>#DIV/0!</v>
      </c>
    </row>
    <row r="122" spans="1:5" ht="12.75">
      <c r="A122" t="s">
        <v>122</v>
      </c>
      <c r="E122" s="12" t="e">
        <f t="shared" si="2"/>
        <v>#DIV/0!</v>
      </c>
    </row>
    <row r="123" spans="1:5" ht="12.75">
      <c r="A123" t="s">
        <v>114</v>
      </c>
      <c r="E123" s="12" t="e">
        <f t="shared" si="2"/>
        <v>#DIV/0!</v>
      </c>
    </row>
    <row r="124" spans="1:5" ht="12.75">
      <c r="A124" t="s">
        <v>126</v>
      </c>
      <c r="E124" s="12" t="e">
        <f t="shared" si="2"/>
        <v>#DIV/0!</v>
      </c>
    </row>
    <row r="125" spans="1:5" ht="12.75">
      <c r="A125" t="s">
        <v>127</v>
      </c>
      <c r="E125" s="12" t="e">
        <f t="shared" si="2"/>
        <v>#DIV/0!</v>
      </c>
    </row>
    <row r="126" spans="1:5" ht="12.75">
      <c r="A126" t="s">
        <v>106</v>
      </c>
      <c r="E126" s="12" t="e">
        <f t="shared" si="2"/>
        <v>#DIV/0!</v>
      </c>
    </row>
    <row r="128" spans="1:8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  <c r="H128" s="3" t="s">
        <v>80</v>
      </c>
    </row>
    <row r="129" spans="1:8" ht="12.75">
      <c r="A129" t="s">
        <v>129</v>
      </c>
      <c r="C129">
        <v>5</v>
      </c>
      <c r="D129">
        <v>174</v>
      </c>
      <c r="E129" s="12">
        <f>+D129/C129</f>
        <v>34.8</v>
      </c>
      <c r="F129">
        <v>44</v>
      </c>
      <c r="G129">
        <v>0</v>
      </c>
      <c r="H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133</v>
      </c>
      <c r="C132">
        <v>4</v>
      </c>
      <c r="D132">
        <v>1</v>
      </c>
      <c r="E132">
        <v>1</v>
      </c>
      <c r="F132">
        <v>1</v>
      </c>
      <c r="G132">
        <v>2</v>
      </c>
      <c r="H132">
        <v>2</v>
      </c>
      <c r="I132" s="12">
        <f>+H132/G132*100</f>
        <v>100</v>
      </c>
      <c r="J132">
        <v>50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8" ht="12.75">
      <c r="A135" t="s">
        <v>134</v>
      </c>
      <c r="C135">
        <v>1</v>
      </c>
      <c r="D135">
        <v>13</v>
      </c>
      <c r="E135" s="12">
        <f aca="true" t="shared" si="3" ref="E135:E143">+D135/C135</f>
        <v>13</v>
      </c>
      <c r="F135">
        <v>13</v>
      </c>
      <c r="G135">
        <v>0</v>
      </c>
      <c r="H135">
        <v>0</v>
      </c>
    </row>
    <row r="136" spans="1:5" ht="12.75">
      <c r="A136" t="s">
        <v>135</v>
      </c>
      <c r="E136" s="12" t="e">
        <f t="shared" si="3"/>
        <v>#DIV/0!</v>
      </c>
    </row>
    <row r="137" spans="1:5" ht="12.75">
      <c r="A137" t="s">
        <v>130</v>
      </c>
      <c r="E137" s="12" t="e">
        <f t="shared" si="3"/>
        <v>#DIV/0!</v>
      </c>
    </row>
    <row r="138" spans="1:5" ht="12.75">
      <c r="A138" t="s">
        <v>131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137</v>
      </c>
      <c r="E140" s="12" t="e">
        <f t="shared" si="3"/>
        <v>#DIV/0!</v>
      </c>
    </row>
    <row r="141" spans="1:5" ht="12.75">
      <c r="A141" t="s">
        <v>138</v>
      </c>
      <c r="E141" s="12" t="e">
        <f t="shared" si="3"/>
        <v>#DIV/0!</v>
      </c>
    </row>
    <row r="142" spans="1:5" ht="12.75">
      <c r="A142" t="s">
        <v>139</v>
      </c>
      <c r="E142" s="12" t="e">
        <f t="shared" si="3"/>
        <v>#DIV/0!</v>
      </c>
    </row>
    <row r="143" spans="1:5" ht="12.75">
      <c r="A143" t="s">
        <v>140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spans="1:3" ht="12.75">
      <c r="A146" t="s">
        <v>117</v>
      </c>
      <c r="C146">
        <v>0.5</v>
      </c>
    </row>
    <row r="147" ht="12.75">
      <c r="A147" t="s">
        <v>141</v>
      </c>
    </row>
    <row r="148" ht="12.75">
      <c r="A148" t="s">
        <v>142</v>
      </c>
    </row>
    <row r="149" spans="1:3" ht="12.75">
      <c r="A149" t="s">
        <v>143</v>
      </c>
      <c r="C149">
        <v>0.5</v>
      </c>
    </row>
    <row r="150" ht="12.75">
      <c r="A150" t="s">
        <v>144</v>
      </c>
    </row>
    <row r="151" ht="12.75">
      <c r="A151" t="s">
        <v>145</v>
      </c>
    </row>
    <row r="152" ht="12.75">
      <c r="A152" t="s">
        <v>140</v>
      </c>
    </row>
    <row r="153" ht="12.75">
      <c r="A153" t="s">
        <v>146</v>
      </c>
    </row>
    <row r="154" ht="12.75">
      <c r="A154" t="s">
        <v>138</v>
      </c>
    </row>
    <row r="155" ht="12.75">
      <c r="A155" t="s">
        <v>139</v>
      </c>
    </row>
    <row r="156" ht="12.75">
      <c r="A156" t="s">
        <v>147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10</v>
      </c>
      <c r="H159" t="s">
        <v>93</v>
      </c>
      <c r="M159">
        <v>15</v>
      </c>
    </row>
    <row r="160" spans="1:13" ht="12.75">
      <c r="A160" t="s">
        <v>94</v>
      </c>
      <c r="D160">
        <v>3</v>
      </c>
      <c r="H160" t="s">
        <v>94</v>
      </c>
      <c r="M160">
        <v>8</v>
      </c>
    </row>
    <row r="161" spans="1:13" ht="12.75">
      <c r="A161" t="s">
        <v>95</v>
      </c>
      <c r="D161" s="8">
        <f>D160/D159*100</f>
        <v>30</v>
      </c>
      <c r="H161" t="s">
        <v>95</v>
      </c>
      <c r="M161">
        <f>+M160/M159*100</f>
        <v>53.333333333333336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Y161"/>
  <sheetViews>
    <sheetView zoomScalePageLayoutView="0" workbookViewId="0" topLeftCell="A60">
      <selection activeCell="A73" sqref="A73:M146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107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13</v>
      </c>
      <c r="H6" s="1" t="s">
        <v>29</v>
      </c>
      <c r="M6" s="2">
        <f>M7+M8+M9</f>
        <v>27</v>
      </c>
    </row>
    <row r="7" spans="1:13" ht="12.75">
      <c r="A7" s="1" t="s">
        <v>103</v>
      </c>
      <c r="D7" s="2">
        <v>4</v>
      </c>
      <c r="H7" s="1" t="s">
        <v>103</v>
      </c>
      <c r="M7" s="2">
        <v>12</v>
      </c>
    </row>
    <row r="8" spans="1:13" ht="12.75">
      <c r="A8" s="1" t="s">
        <v>105</v>
      </c>
      <c r="D8" s="2">
        <v>8</v>
      </c>
      <c r="H8" s="1" t="s">
        <v>105</v>
      </c>
      <c r="M8" s="2">
        <v>12</v>
      </c>
    </row>
    <row r="9" spans="1:13" ht="12.75">
      <c r="A9" s="1" t="s">
        <v>104</v>
      </c>
      <c r="D9" s="2">
        <v>1</v>
      </c>
      <c r="H9" s="1" t="s">
        <v>104</v>
      </c>
      <c r="M9" s="2">
        <v>3</v>
      </c>
    </row>
    <row r="11" spans="1:13" ht="12.75">
      <c r="A11" t="s">
        <v>1</v>
      </c>
      <c r="D11" s="2">
        <v>20</v>
      </c>
      <c r="H11" t="s">
        <v>1</v>
      </c>
      <c r="M11" s="2">
        <v>38</v>
      </c>
    </row>
    <row r="12" spans="1:13" ht="12.75">
      <c r="A12" t="s">
        <v>2</v>
      </c>
      <c r="D12" s="2">
        <v>41</v>
      </c>
      <c r="H12" t="s">
        <v>2</v>
      </c>
      <c r="M12" s="2">
        <v>154</v>
      </c>
    </row>
    <row r="13" spans="1:13" ht="12.75">
      <c r="A13" s="1" t="s">
        <v>3</v>
      </c>
      <c r="D13" s="8">
        <f>+D12/D11</f>
        <v>2.05</v>
      </c>
      <c r="H13" s="1" t="s">
        <v>3</v>
      </c>
      <c r="M13" s="8">
        <f>+M12/M11</f>
        <v>4.052631578947368</v>
      </c>
    </row>
    <row r="15" spans="1:13" ht="12.75">
      <c r="A15" t="s">
        <v>4</v>
      </c>
      <c r="D15" s="2">
        <v>32</v>
      </c>
      <c r="H15" t="s">
        <v>4</v>
      </c>
      <c r="M15" s="2">
        <v>41</v>
      </c>
    </row>
    <row r="16" spans="1:13" ht="12.75">
      <c r="A16" t="s">
        <v>5</v>
      </c>
      <c r="D16" s="2">
        <v>11</v>
      </c>
      <c r="H16" t="s">
        <v>5</v>
      </c>
      <c r="M16" s="2">
        <v>22</v>
      </c>
    </row>
    <row r="17" spans="1:13" ht="12.75">
      <c r="A17" t="s">
        <v>6</v>
      </c>
      <c r="D17" s="8">
        <f>+D16/D15*100</f>
        <v>34.375</v>
      </c>
      <c r="H17" t="s">
        <v>6</v>
      </c>
      <c r="M17" s="8">
        <f>+M16/M15*100</f>
        <v>53.65853658536586</v>
      </c>
    </row>
    <row r="18" spans="1:13" ht="12.75">
      <c r="A18" t="s">
        <v>7</v>
      </c>
      <c r="D18" s="2">
        <v>171</v>
      </c>
      <c r="H18" t="s">
        <v>7</v>
      </c>
      <c r="M18" s="2">
        <v>215</v>
      </c>
    </row>
    <row r="19" spans="1:13" ht="12.75">
      <c r="A19" t="s">
        <v>8</v>
      </c>
      <c r="D19" s="2">
        <v>6</v>
      </c>
      <c r="H19" t="s">
        <v>8</v>
      </c>
      <c r="M19" s="2">
        <v>1</v>
      </c>
    </row>
    <row r="20" spans="1:13" ht="12.75">
      <c r="A20" t="s">
        <v>9</v>
      </c>
      <c r="D20" s="2">
        <v>64</v>
      </c>
      <c r="H20" t="s">
        <v>9</v>
      </c>
      <c r="M20" s="2">
        <v>8</v>
      </c>
    </row>
    <row r="21" spans="1:13" ht="12.75">
      <c r="A21" t="s">
        <v>10</v>
      </c>
      <c r="D21">
        <f>+D18-D20</f>
        <v>107</v>
      </c>
      <c r="H21" t="s">
        <v>10</v>
      </c>
      <c r="M21">
        <f>+M18-M20</f>
        <v>207</v>
      </c>
    </row>
    <row r="22" spans="1:13" ht="12.75">
      <c r="A22" t="s">
        <v>11</v>
      </c>
      <c r="D22" s="7">
        <f>+D21/(D15+D19)</f>
        <v>2.8157894736842106</v>
      </c>
      <c r="H22" t="s">
        <v>11</v>
      </c>
      <c r="M22" s="7">
        <f>+M21/(M15+M19)</f>
        <v>4.928571428571429</v>
      </c>
    </row>
    <row r="23" spans="1:13" ht="12.75">
      <c r="A23" t="s">
        <v>12</v>
      </c>
      <c r="D23" s="7">
        <f>+D18/D16</f>
        <v>15.545454545454545</v>
      </c>
      <c r="H23" t="s">
        <v>12</v>
      </c>
      <c r="M23" s="7">
        <f>+M18/M16</f>
        <v>9.772727272727273</v>
      </c>
    </row>
    <row r="25" spans="1:8" ht="12.75">
      <c r="A25" t="s">
        <v>13</v>
      </c>
      <c r="H25" t="s">
        <v>13</v>
      </c>
    </row>
    <row r="26" spans="1:13" ht="12.75">
      <c r="A26" t="s">
        <v>14</v>
      </c>
      <c r="D26">
        <f>+D21+D12</f>
        <v>148</v>
      </c>
      <c r="H26" t="s">
        <v>14</v>
      </c>
      <c r="M26">
        <f>+M21+M12</f>
        <v>361</v>
      </c>
    </row>
    <row r="27" spans="1:13" ht="12.75">
      <c r="A27" t="s">
        <v>15</v>
      </c>
      <c r="D27" s="7">
        <f>+D12/D26*100</f>
        <v>27.7027027027027</v>
      </c>
      <c r="H27" t="s">
        <v>15</v>
      </c>
      <c r="M27" s="7">
        <f>+M12/M26*100</f>
        <v>42.65927977839335</v>
      </c>
    </row>
    <row r="28" spans="1:13" ht="12.75">
      <c r="A28" s="1" t="s">
        <v>86</v>
      </c>
      <c r="D28" s="7">
        <f>+D21/D26*100</f>
        <v>72.2972972972973</v>
      </c>
      <c r="H28" s="1" t="s">
        <v>86</v>
      </c>
      <c r="M28" s="7">
        <f>+M21/M26*100</f>
        <v>57.340720221606645</v>
      </c>
    </row>
    <row r="30" spans="1:13" ht="12.75">
      <c r="A30" t="s">
        <v>16</v>
      </c>
      <c r="D30">
        <f>+D11+D15+D19</f>
        <v>58</v>
      </c>
      <c r="H30" t="s">
        <v>16</v>
      </c>
      <c r="M30">
        <f>+M11+M15+M19</f>
        <v>80</v>
      </c>
    </row>
    <row r="31" spans="1:13" ht="12.75">
      <c r="A31" t="s">
        <v>17</v>
      </c>
      <c r="D31" s="8">
        <f>+D26/D30</f>
        <v>2.5517241379310347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4.5125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4</v>
      </c>
      <c r="H34" t="s">
        <v>19</v>
      </c>
      <c r="M34" s="2">
        <v>4</v>
      </c>
    </row>
    <row r="35" spans="1:13" ht="12.75">
      <c r="A35" t="s">
        <v>20</v>
      </c>
      <c r="D35" s="2">
        <v>79</v>
      </c>
      <c r="H35" t="s">
        <v>20</v>
      </c>
      <c r="M35" s="2">
        <v>47</v>
      </c>
    </row>
    <row r="36" spans="1:13" ht="12.75">
      <c r="A36" t="s">
        <v>21</v>
      </c>
      <c r="D36" s="2">
        <v>1</v>
      </c>
      <c r="H36" t="s">
        <v>21</v>
      </c>
      <c r="M36" s="2">
        <v>0</v>
      </c>
    </row>
    <row r="38" spans="1:13" ht="12.75">
      <c r="A38" t="s">
        <v>22</v>
      </c>
      <c r="D38" s="2">
        <v>9</v>
      </c>
      <c r="H38" t="s">
        <v>22</v>
      </c>
      <c r="M38" s="2">
        <v>4</v>
      </c>
    </row>
    <row r="39" spans="1:13" ht="12.75">
      <c r="A39" t="s">
        <v>23</v>
      </c>
      <c r="D39" s="2">
        <v>410</v>
      </c>
      <c r="H39" t="s">
        <v>23</v>
      </c>
      <c r="M39" s="2">
        <v>196</v>
      </c>
    </row>
    <row r="40" spans="1:13" ht="12.75">
      <c r="A40" t="s">
        <v>24</v>
      </c>
      <c r="D40" s="8">
        <f>+D39/D38</f>
        <v>45.55555555555556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49</v>
      </c>
    </row>
    <row r="42" spans="1:13" ht="12.75">
      <c r="A42" t="s">
        <v>25</v>
      </c>
      <c r="D42" s="2">
        <v>4</v>
      </c>
      <c r="H42" t="s">
        <v>25</v>
      </c>
      <c r="M42" s="2">
        <v>7</v>
      </c>
    </row>
    <row r="43" spans="1:13" ht="12.75">
      <c r="A43" t="s">
        <v>26</v>
      </c>
      <c r="D43" s="2">
        <v>71</v>
      </c>
      <c r="H43" t="s">
        <v>26</v>
      </c>
      <c r="M43" s="2">
        <v>25</v>
      </c>
    </row>
    <row r="44" spans="1:13" ht="12.75">
      <c r="A44" t="s">
        <v>27</v>
      </c>
      <c r="D44" s="8">
        <f>+D43/D42</f>
        <v>17.75</v>
      </c>
      <c r="H44" t="s">
        <v>27</v>
      </c>
      <c r="M44" s="8">
        <f>+M43/M42</f>
        <v>3.5714285714285716</v>
      </c>
    </row>
    <row r="45" spans="1:13" ht="12.75">
      <c r="A45" t="s">
        <v>108</v>
      </c>
      <c r="D45" s="2">
        <v>0</v>
      </c>
      <c r="H45" t="s">
        <v>108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5</v>
      </c>
      <c r="H48" t="s">
        <v>30</v>
      </c>
      <c r="M48" s="2">
        <v>2</v>
      </c>
    </row>
    <row r="49" spans="1:13" ht="12.75">
      <c r="A49" t="s">
        <v>26</v>
      </c>
      <c r="D49" s="2">
        <v>100</v>
      </c>
      <c r="H49" t="s">
        <v>26</v>
      </c>
      <c r="M49" s="2">
        <v>42</v>
      </c>
    </row>
    <row r="50" spans="1:13" ht="12.75">
      <c r="A50" t="s">
        <v>27</v>
      </c>
      <c r="D50" s="8">
        <f>+D49/D48</f>
        <v>20</v>
      </c>
      <c r="H50" t="s">
        <v>27</v>
      </c>
      <c r="M50" s="8">
        <f>+M49/M48</f>
        <v>21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10</v>
      </c>
      <c r="H53" t="s">
        <v>31</v>
      </c>
      <c r="M53" s="2">
        <v>3</v>
      </c>
    </row>
    <row r="54" spans="1:13" ht="12.75">
      <c r="A54" t="s">
        <v>32</v>
      </c>
      <c r="D54" s="2">
        <v>85</v>
      </c>
      <c r="H54" t="s">
        <v>32</v>
      </c>
      <c r="M54" s="2">
        <v>25</v>
      </c>
    </row>
    <row r="56" spans="1:13" ht="12.75">
      <c r="A56" t="s">
        <v>33</v>
      </c>
      <c r="D56" s="2">
        <v>2</v>
      </c>
      <c r="H56" t="s">
        <v>33</v>
      </c>
      <c r="M56" s="2">
        <v>0</v>
      </c>
    </row>
    <row r="57" spans="1:13" ht="12.75">
      <c r="A57" t="s">
        <v>101</v>
      </c>
      <c r="D57" s="2">
        <v>1</v>
      </c>
      <c r="H57" t="s">
        <v>101</v>
      </c>
      <c r="M57" s="2">
        <v>0</v>
      </c>
    </row>
    <row r="58" ht="12.75">
      <c r="D58" s="2"/>
    </row>
    <row r="59" spans="1:13" ht="12.75">
      <c r="A59" t="s">
        <v>34</v>
      </c>
      <c r="D59" s="2">
        <v>7</v>
      </c>
      <c r="H59" t="s">
        <v>34</v>
      </c>
      <c r="M59" s="2">
        <v>45</v>
      </c>
    </row>
    <row r="60" spans="1:13" ht="12.75">
      <c r="A60" t="s">
        <v>35</v>
      </c>
      <c r="D60" s="2">
        <v>1</v>
      </c>
      <c r="H60" t="s">
        <v>35</v>
      </c>
      <c r="M60" s="2">
        <v>6</v>
      </c>
    </row>
    <row r="61" spans="1:13" ht="12.75">
      <c r="A61" t="s">
        <v>36</v>
      </c>
      <c r="D61" s="2">
        <v>0</v>
      </c>
      <c r="H61" t="s">
        <v>36</v>
      </c>
      <c r="M61" s="2">
        <v>1</v>
      </c>
    </row>
    <row r="62" spans="1:13" ht="12.75">
      <c r="A62" t="s">
        <v>37</v>
      </c>
      <c r="D62" s="2">
        <v>1</v>
      </c>
      <c r="H62" t="s">
        <v>37</v>
      </c>
      <c r="M62" s="2">
        <v>4</v>
      </c>
    </row>
    <row r="63" spans="1:13" ht="12.75">
      <c r="A63" t="s">
        <v>38</v>
      </c>
      <c r="D63" s="2">
        <v>0</v>
      </c>
      <c r="H63" t="s">
        <v>38</v>
      </c>
      <c r="M63" s="2">
        <v>1</v>
      </c>
    </row>
    <row r="64" spans="1:13" ht="12.75">
      <c r="A64" t="s">
        <v>39</v>
      </c>
      <c r="D64" s="2">
        <v>1</v>
      </c>
      <c r="H64" t="s">
        <v>39</v>
      </c>
      <c r="M64" s="2">
        <v>6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0</v>
      </c>
      <c r="H66" t="s">
        <v>41</v>
      </c>
      <c r="M66" s="2">
        <v>1</v>
      </c>
    </row>
    <row r="67" spans="1:13" ht="12.75">
      <c r="A67" t="s">
        <v>42</v>
      </c>
      <c r="D67" s="2">
        <v>0</v>
      </c>
      <c r="H67" t="s">
        <v>42</v>
      </c>
      <c r="M67" s="2">
        <v>2</v>
      </c>
    </row>
    <row r="68" spans="1:13" ht="12.75">
      <c r="A68" t="s">
        <v>43</v>
      </c>
      <c r="D68" s="8">
        <v>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50</v>
      </c>
    </row>
    <row r="69" spans="1:13" ht="12.75">
      <c r="A69" t="s">
        <v>92</v>
      </c>
      <c r="D69" s="10">
        <v>23.57</v>
      </c>
      <c r="E69" s="8"/>
      <c r="F69" s="8"/>
      <c r="H69" t="s">
        <v>91</v>
      </c>
      <c r="M69" s="10">
        <v>36.06</v>
      </c>
    </row>
    <row r="70" spans="1:13" ht="12.75">
      <c r="A70" t="s">
        <v>102</v>
      </c>
      <c r="D70" s="23">
        <f>D161</f>
        <v>18.181818181818183</v>
      </c>
      <c r="E70" s="8"/>
      <c r="F70" s="8"/>
      <c r="H70" t="s">
        <v>102</v>
      </c>
      <c r="M70" s="23">
        <f>M161</f>
        <v>55.55555555555556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8</v>
      </c>
      <c r="D74">
        <v>14</v>
      </c>
      <c r="E74" s="12">
        <f aca="true" t="shared" si="0" ref="E74:E83">+D74/C74</f>
        <v>1.75</v>
      </c>
      <c r="F74">
        <v>12</v>
      </c>
      <c r="G74">
        <v>0</v>
      </c>
      <c r="H74">
        <v>0</v>
      </c>
    </row>
    <row r="75" spans="1:8" ht="12.75">
      <c r="A75" t="s">
        <v>110</v>
      </c>
      <c r="C75">
        <v>9</v>
      </c>
      <c r="D75">
        <v>22</v>
      </c>
      <c r="E75" s="12">
        <f t="shared" si="0"/>
        <v>2.4444444444444446</v>
      </c>
      <c r="F75">
        <v>6</v>
      </c>
      <c r="G75">
        <v>0</v>
      </c>
      <c r="H75">
        <v>0</v>
      </c>
    </row>
    <row r="76" spans="1:5" ht="12.75">
      <c r="A76" t="s">
        <v>111</v>
      </c>
      <c r="E76" s="12" t="e">
        <f t="shared" si="0"/>
        <v>#DIV/0!</v>
      </c>
    </row>
    <row r="77" spans="1:8" ht="12.75">
      <c r="A77" t="s">
        <v>112</v>
      </c>
      <c r="C77">
        <v>2</v>
      </c>
      <c r="D77">
        <v>-1</v>
      </c>
      <c r="E77" s="12">
        <f t="shared" si="0"/>
        <v>-0.5</v>
      </c>
      <c r="F77">
        <v>0</v>
      </c>
      <c r="G77">
        <v>0</v>
      </c>
      <c r="H77">
        <v>0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116</v>
      </c>
      <c r="E81" s="12" t="e">
        <f t="shared" si="0"/>
        <v>#DIV/0!</v>
      </c>
    </row>
    <row r="82" spans="1:8" ht="12.75">
      <c r="A82" t="s">
        <v>117</v>
      </c>
      <c r="C82">
        <v>1</v>
      </c>
      <c r="D82">
        <v>6</v>
      </c>
      <c r="E82" s="12">
        <f t="shared" si="0"/>
        <v>6</v>
      </c>
      <c r="F82">
        <v>6</v>
      </c>
      <c r="G82">
        <v>0</v>
      </c>
      <c r="H82">
        <v>0</v>
      </c>
    </row>
    <row r="83" spans="1:5" ht="12.75">
      <c r="A83" t="s">
        <v>118</v>
      </c>
      <c r="E83" s="12" t="e">
        <f t="shared" si="0"/>
        <v>#DIV/0!</v>
      </c>
    </row>
    <row r="84" ht="12.75">
      <c r="E84" s="8"/>
    </row>
    <row r="85" spans="1:8" ht="12.75">
      <c r="A85" s="2" t="s">
        <v>52</v>
      </c>
      <c r="C85" s="3" t="s">
        <v>53</v>
      </c>
      <c r="D85" s="3" t="s">
        <v>48</v>
      </c>
      <c r="E85" s="15" t="s">
        <v>49</v>
      </c>
      <c r="F85" s="3" t="s">
        <v>50</v>
      </c>
      <c r="G85" s="3" t="s">
        <v>51</v>
      </c>
      <c r="H85" s="3" t="s">
        <v>80</v>
      </c>
    </row>
    <row r="86" spans="1:8" ht="12.75">
      <c r="A86" t="s">
        <v>109</v>
      </c>
      <c r="C86">
        <v>3</v>
      </c>
      <c r="D86">
        <v>33</v>
      </c>
      <c r="E86" s="12">
        <f aca="true" t="shared" si="1" ref="E86:E99">+D86/C86</f>
        <v>11</v>
      </c>
      <c r="F86">
        <v>17</v>
      </c>
      <c r="G86">
        <v>0</v>
      </c>
      <c r="H86">
        <v>0</v>
      </c>
    </row>
    <row r="87" spans="1:8" ht="12.75">
      <c r="A87" t="s">
        <v>118</v>
      </c>
      <c r="C87">
        <v>2</v>
      </c>
      <c r="D87">
        <v>36</v>
      </c>
      <c r="E87" s="12">
        <f t="shared" si="1"/>
        <v>18</v>
      </c>
      <c r="F87">
        <v>22</v>
      </c>
      <c r="G87">
        <v>0</v>
      </c>
      <c r="H87">
        <v>0</v>
      </c>
    </row>
    <row r="88" spans="1:5" ht="12.75">
      <c r="A88" t="s">
        <v>119</v>
      </c>
      <c r="E88" s="12" t="e">
        <f t="shared" si="1"/>
        <v>#DIV/0!</v>
      </c>
    </row>
    <row r="89" spans="1:8" ht="12.75">
      <c r="A89" t="s">
        <v>120</v>
      </c>
      <c r="C89">
        <v>1</v>
      </c>
      <c r="D89">
        <v>7</v>
      </c>
      <c r="E89" s="12">
        <f t="shared" si="1"/>
        <v>7</v>
      </c>
      <c r="F89">
        <v>7</v>
      </c>
      <c r="G89">
        <v>0</v>
      </c>
      <c r="H89">
        <v>0</v>
      </c>
    </row>
    <row r="90" spans="1:5" ht="12.75">
      <c r="A90" t="s">
        <v>121</v>
      </c>
      <c r="E90" s="12" t="e">
        <f t="shared" si="1"/>
        <v>#DIV/0!</v>
      </c>
    </row>
    <row r="91" spans="1:8" ht="12.75">
      <c r="A91" t="s">
        <v>110</v>
      </c>
      <c r="C91">
        <v>1</v>
      </c>
      <c r="D91">
        <v>6</v>
      </c>
      <c r="E91" s="12">
        <f t="shared" si="1"/>
        <v>6</v>
      </c>
      <c r="F91">
        <v>6</v>
      </c>
      <c r="G91">
        <v>0</v>
      </c>
      <c r="H91">
        <v>0</v>
      </c>
    </row>
    <row r="92" spans="1:8" ht="12.75">
      <c r="A92" t="s">
        <v>122</v>
      </c>
      <c r="C92">
        <v>1</v>
      </c>
      <c r="D92">
        <v>20</v>
      </c>
      <c r="E92" s="12">
        <f t="shared" si="1"/>
        <v>20</v>
      </c>
      <c r="F92">
        <v>20</v>
      </c>
      <c r="G92">
        <v>0</v>
      </c>
      <c r="H92">
        <v>0</v>
      </c>
    </row>
    <row r="93" spans="1:5" ht="12.75">
      <c r="A93" t="s">
        <v>123</v>
      </c>
      <c r="E93" s="12" t="e">
        <f t="shared" si="1"/>
        <v>#DIV/0!</v>
      </c>
    </row>
    <row r="94" spans="1:8" ht="12.75">
      <c r="A94" t="s">
        <v>114</v>
      </c>
      <c r="C94">
        <v>1</v>
      </c>
      <c r="D94">
        <v>13</v>
      </c>
      <c r="E94" s="12">
        <f t="shared" si="1"/>
        <v>13</v>
      </c>
      <c r="F94">
        <v>13</v>
      </c>
      <c r="G94">
        <v>0</v>
      </c>
      <c r="H94">
        <v>0</v>
      </c>
    </row>
    <row r="95" spans="1:8" ht="12.75">
      <c r="A95" t="s">
        <v>124</v>
      </c>
      <c r="C95">
        <v>2</v>
      </c>
      <c r="D95">
        <v>56</v>
      </c>
      <c r="E95" s="12">
        <f t="shared" si="1"/>
        <v>28</v>
      </c>
      <c r="F95">
        <v>29</v>
      </c>
      <c r="G95">
        <v>1</v>
      </c>
      <c r="H95">
        <v>0</v>
      </c>
    </row>
    <row r="96" spans="1:5" ht="12.75">
      <c r="A96" t="s">
        <v>125</v>
      </c>
      <c r="E96" s="12" t="e">
        <f t="shared" si="1"/>
        <v>#DIV/0!</v>
      </c>
    </row>
    <row r="97" spans="1:5" ht="12.75">
      <c r="A97" t="s">
        <v>112</v>
      </c>
      <c r="E97" s="12" t="e">
        <f t="shared" si="1"/>
        <v>#DIV/0!</v>
      </c>
    </row>
    <row r="98" spans="1:5" ht="12.75">
      <c r="A98" t="s">
        <v>126</v>
      </c>
      <c r="E98" s="12" t="e">
        <f t="shared" si="1"/>
        <v>#DIV/0!</v>
      </c>
    </row>
    <row r="99" spans="1:5" ht="12.75">
      <c r="A99" t="s">
        <v>127</v>
      </c>
      <c r="E99" s="12" t="e">
        <f t="shared" si="1"/>
        <v>#DIV/0!</v>
      </c>
    </row>
    <row r="100" ht="12.75">
      <c r="E100" s="8"/>
    </row>
    <row r="101" spans="1:13" ht="12.75">
      <c r="A101" s="2"/>
      <c r="B101" s="2"/>
      <c r="C101" s="3"/>
      <c r="D101" s="3"/>
      <c r="E101" s="15" t="s">
        <v>57</v>
      </c>
      <c r="F101" s="3" t="s">
        <v>58</v>
      </c>
      <c r="G101" s="3"/>
      <c r="H101" s="3"/>
      <c r="I101" s="3" t="s">
        <v>61</v>
      </c>
      <c r="J101" s="3" t="s">
        <v>63</v>
      </c>
      <c r="K101" s="3" t="s">
        <v>57</v>
      </c>
      <c r="L101" s="3" t="s">
        <v>49</v>
      </c>
      <c r="M101" s="3"/>
    </row>
    <row r="102" spans="1:14" ht="12.75">
      <c r="A102" s="2" t="s">
        <v>54</v>
      </c>
      <c r="B102" s="2"/>
      <c r="C102" s="3" t="s">
        <v>55</v>
      </c>
      <c r="D102" s="3" t="s">
        <v>56</v>
      </c>
      <c r="E102" s="15" t="s">
        <v>56</v>
      </c>
      <c r="F102" s="3" t="s">
        <v>59</v>
      </c>
      <c r="G102" s="3" t="s">
        <v>51</v>
      </c>
      <c r="H102" s="3" t="s">
        <v>60</v>
      </c>
      <c r="I102" s="5" t="s">
        <v>62</v>
      </c>
      <c r="J102" s="3" t="s">
        <v>51</v>
      </c>
      <c r="K102" s="3" t="s">
        <v>64</v>
      </c>
      <c r="L102" s="3" t="s">
        <v>65</v>
      </c>
      <c r="M102" s="3" t="s">
        <v>66</v>
      </c>
      <c r="N102" s="3" t="s">
        <v>80</v>
      </c>
    </row>
    <row r="103" spans="1:25" ht="12.75">
      <c r="A103" t="s">
        <v>115</v>
      </c>
      <c r="C103">
        <v>12</v>
      </c>
      <c r="D103">
        <v>4</v>
      </c>
      <c r="E103" s="12">
        <f>+D103/C103*100</f>
        <v>33.33333333333333</v>
      </c>
      <c r="F103">
        <v>51</v>
      </c>
      <c r="G103">
        <v>0</v>
      </c>
      <c r="H103">
        <v>20</v>
      </c>
      <c r="I103">
        <v>0</v>
      </c>
      <c r="J103" s="8">
        <f>+G103/C103*100</f>
        <v>0</v>
      </c>
      <c r="K103" s="12">
        <f>+I103/C103*100</f>
        <v>0</v>
      </c>
      <c r="L103" s="12">
        <f>+F103/C103</f>
        <v>4.25</v>
      </c>
      <c r="M103" s="12">
        <f>100*(S103+U103+W103+Y103)/6</f>
        <v>47.569444444444436</v>
      </c>
      <c r="R103">
        <f>+(E103-30)/20</f>
        <v>0.16666666666666644</v>
      </c>
      <c r="S103" s="2">
        <f>IF(R103&lt;0,0,IF(R103&gt;2.375,2.375,R103))</f>
        <v>0.16666666666666644</v>
      </c>
      <c r="T103" s="6">
        <f>+(L103-3)/4</f>
        <v>0.3125</v>
      </c>
      <c r="U103" s="2">
        <f>IF(T103&lt;0,0,IF(T103&gt;2.375,2.375,T103))</f>
        <v>0.3125</v>
      </c>
      <c r="V103">
        <f>+J103/5</f>
        <v>0</v>
      </c>
      <c r="W103" s="2">
        <f>IF(V103&lt;0,0,IF(V103&gt;2.375,2.375,V103))</f>
        <v>0</v>
      </c>
      <c r="X103">
        <f>(9.5-K103)/4</f>
        <v>2.375</v>
      </c>
      <c r="Y103" s="2">
        <f>IF(X103&lt;0,0,X103)</f>
        <v>2.375</v>
      </c>
    </row>
    <row r="104" spans="1:25" ht="12.75">
      <c r="A104" t="s">
        <v>111</v>
      </c>
      <c r="C104">
        <v>20</v>
      </c>
      <c r="D104">
        <v>7</v>
      </c>
      <c r="E104" s="12">
        <f>+D104/C104*100</f>
        <v>35</v>
      </c>
      <c r="F104">
        <v>120</v>
      </c>
      <c r="G104">
        <v>1</v>
      </c>
      <c r="H104">
        <v>29</v>
      </c>
      <c r="I104">
        <v>2</v>
      </c>
      <c r="J104" s="8">
        <f>+G104/C104*100</f>
        <v>5</v>
      </c>
      <c r="K104" s="12">
        <f>+I104/C104*100</f>
        <v>10</v>
      </c>
      <c r="L104" s="12">
        <f>+F104/C104</f>
        <v>6</v>
      </c>
      <c r="M104" s="12">
        <f>100*(S104+U104+W104+Y104)/6</f>
        <v>33.333333333333336</v>
      </c>
      <c r="R104">
        <f>+(E104-30)/20</f>
        <v>0.25</v>
      </c>
      <c r="S104" s="2">
        <f>IF(R104&lt;0,0,IF(R104&gt;2.375,2.375,R104))</f>
        <v>0.25</v>
      </c>
      <c r="T104" s="6">
        <f>+(L104-3)/4</f>
        <v>0.75</v>
      </c>
      <c r="U104" s="2">
        <f>IF(T104&lt;0,0,IF(T104&gt;2.375,2.375,T104))</f>
        <v>0.75</v>
      </c>
      <c r="V104">
        <f>+J104/5</f>
        <v>1</v>
      </c>
      <c r="W104" s="2">
        <f>IF(V104&lt;0,0,IF(V104&gt;2.375,2.375,V104))</f>
        <v>1</v>
      </c>
      <c r="X104">
        <f>(9.5-K104)/4</f>
        <v>-0.125</v>
      </c>
      <c r="Y104" s="2">
        <f>IF(X104&lt;0,0,X104)</f>
        <v>0</v>
      </c>
    </row>
    <row r="105" spans="1:25" ht="12.75">
      <c r="A105" t="s">
        <v>128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109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7" spans="1:25" ht="12.75">
      <c r="A107" t="s">
        <v>129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10" spans="1:9" ht="12.75">
      <c r="A110" s="2" t="s">
        <v>67</v>
      </c>
      <c r="C110" s="3" t="s">
        <v>68</v>
      </c>
      <c r="D110" s="3" t="s">
        <v>69</v>
      </c>
      <c r="E110" s="3" t="s">
        <v>70</v>
      </c>
      <c r="F110" s="3" t="s">
        <v>49</v>
      </c>
      <c r="G110" s="3" t="s">
        <v>60</v>
      </c>
      <c r="H110" s="3" t="s">
        <v>51</v>
      </c>
      <c r="I110" s="3" t="s">
        <v>80</v>
      </c>
    </row>
    <row r="111" spans="1:9" ht="12.75">
      <c r="A111" t="s">
        <v>130</v>
      </c>
      <c r="C111">
        <v>4</v>
      </c>
      <c r="D111">
        <v>0</v>
      </c>
      <c r="E111">
        <v>71</v>
      </c>
      <c r="F111" s="12">
        <f>+E111/C111</f>
        <v>17.75</v>
      </c>
      <c r="G111">
        <v>20</v>
      </c>
      <c r="H111">
        <v>0</v>
      </c>
      <c r="I111">
        <v>0</v>
      </c>
    </row>
    <row r="112" spans="1:6" ht="12.75">
      <c r="A112" t="s">
        <v>131</v>
      </c>
      <c r="F112" s="12" t="e">
        <f>+E112/C112</f>
        <v>#DIV/0!</v>
      </c>
    </row>
    <row r="113" spans="1:6" ht="12.75">
      <c r="A113" t="s">
        <v>118</v>
      </c>
      <c r="F113" s="12" t="e">
        <f>+E113/C113</f>
        <v>#DIV/0!</v>
      </c>
    </row>
    <row r="114" spans="1:6" ht="12.75">
      <c r="A114" t="s">
        <v>132</v>
      </c>
      <c r="F114" s="12" t="e">
        <f>+E114/C114</f>
        <v>#DIV/0!</v>
      </c>
    </row>
    <row r="115" spans="1:6" ht="12.75">
      <c r="A115" t="s">
        <v>112</v>
      </c>
      <c r="F115" s="12" t="e">
        <f>+E115/C115</f>
        <v>#DIV/0!</v>
      </c>
    </row>
    <row r="117" spans="1:8" ht="12.75">
      <c r="A117" s="2" t="s">
        <v>30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51</v>
      </c>
      <c r="H117" s="3" t="s">
        <v>80</v>
      </c>
    </row>
    <row r="118" spans="1:8" ht="12.75">
      <c r="A118" t="s">
        <v>130</v>
      </c>
      <c r="C118">
        <v>3</v>
      </c>
      <c r="D118">
        <v>76</v>
      </c>
      <c r="E118" s="12">
        <f aca="true" t="shared" si="2" ref="E118:E126">+D118/C118</f>
        <v>25.333333333333332</v>
      </c>
      <c r="F118">
        <v>32</v>
      </c>
      <c r="G118">
        <v>0</v>
      </c>
      <c r="H118">
        <v>0</v>
      </c>
    </row>
    <row r="119" spans="1:8" ht="12.75">
      <c r="A119" t="s">
        <v>112</v>
      </c>
      <c r="C119">
        <v>2</v>
      </c>
      <c r="D119">
        <v>24</v>
      </c>
      <c r="E119" s="12">
        <f t="shared" si="2"/>
        <v>12</v>
      </c>
      <c r="F119">
        <v>24</v>
      </c>
      <c r="G119">
        <v>0</v>
      </c>
      <c r="H119">
        <v>0</v>
      </c>
    </row>
    <row r="120" spans="1:5" ht="12.75">
      <c r="A120" t="s">
        <v>116</v>
      </c>
      <c r="E120" s="12" t="e">
        <f t="shared" si="2"/>
        <v>#DIV/0!</v>
      </c>
    </row>
    <row r="121" spans="1:5" ht="12.75">
      <c r="A121" t="s">
        <v>124</v>
      </c>
      <c r="E121" s="12" t="e">
        <f t="shared" si="2"/>
        <v>#DIV/0!</v>
      </c>
    </row>
    <row r="122" spans="1:5" ht="12.75">
      <c r="A122" t="s">
        <v>122</v>
      </c>
      <c r="E122" s="12" t="e">
        <f t="shared" si="2"/>
        <v>#DIV/0!</v>
      </c>
    </row>
    <row r="123" spans="1:5" ht="12.75">
      <c r="A123" t="s">
        <v>114</v>
      </c>
      <c r="E123" s="12" t="e">
        <f t="shared" si="2"/>
        <v>#DIV/0!</v>
      </c>
    </row>
    <row r="124" spans="1:5" ht="12.75">
      <c r="A124" t="s">
        <v>126</v>
      </c>
      <c r="E124" s="12" t="e">
        <f t="shared" si="2"/>
        <v>#DIV/0!</v>
      </c>
    </row>
    <row r="125" spans="1:5" ht="12.75">
      <c r="A125" t="s">
        <v>127</v>
      </c>
      <c r="E125" s="12" t="e">
        <f t="shared" si="2"/>
        <v>#DIV/0!</v>
      </c>
    </row>
    <row r="126" spans="1:5" ht="12.75">
      <c r="A126" t="s">
        <v>106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129</v>
      </c>
      <c r="C129">
        <v>9</v>
      </c>
      <c r="D129">
        <v>410</v>
      </c>
      <c r="E129" s="12">
        <f>+D129/C129</f>
        <v>45.55555555555556</v>
      </c>
      <c r="F129">
        <v>55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133</v>
      </c>
      <c r="C132">
        <v>2</v>
      </c>
      <c r="D132">
        <v>0</v>
      </c>
      <c r="E132">
        <v>1</v>
      </c>
      <c r="F132">
        <v>1</v>
      </c>
      <c r="G132">
        <v>0</v>
      </c>
      <c r="H132">
        <v>0</v>
      </c>
      <c r="I132" s="12">
        <v>0</v>
      </c>
      <c r="J132">
        <v>0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8" ht="12.75">
      <c r="A135" t="s">
        <v>134</v>
      </c>
      <c r="C135">
        <v>2</v>
      </c>
      <c r="D135">
        <v>13</v>
      </c>
      <c r="E135" s="12">
        <f aca="true" t="shared" si="3" ref="E135:E143">+D135/C135</f>
        <v>6.5</v>
      </c>
      <c r="F135">
        <v>13</v>
      </c>
      <c r="G135">
        <v>0</v>
      </c>
      <c r="H135">
        <v>0</v>
      </c>
    </row>
    <row r="136" spans="1:5" ht="12.75">
      <c r="A136" t="s">
        <v>135</v>
      </c>
      <c r="E136" s="12" t="e">
        <f t="shared" si="3"/>
        <v>#DIV/0!</v>
      </c>
    </row>
    <row r="137" spans="1:5" ht="12.75">
      <c r="A137" t="s">
        <v>130</v>
      </c>
      <c r="E137" s="12" t="e">
        <f t="shared" si="3"/>
        <v>#DIV/0!</v>
      </c>
    </row>
    <row r="138" spans="1:8" ht="12.75">
      <c r="A138" t="s">
        <v>131</v>
      </c>
      <c r="C138">
        <v>2</v>
      </c>
      <c r="D138">
        <v>17</v>
      </c>
      <c r="E138" s="12">
        <f t="shared" si="3"/>
        <v>8.5</v>
      </c>
      <c r="F138">
        <v>17</v>
      </c>
      <c r="G138">
        <v>0</v>
      </c>
      <c r="H138">
        <v>0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137</v>
      </c>
      <c r="E140" s="12" t="e">
        <f t="shared" si="3"/>
        <v>#DIV/0!</v>
      </c>
    </row>
    <row r="141" spans="1:5" ht="12.75">
      <c r="A141" t="s">
        <v>138</v>
      </c>
      <c r="E141" s="12" t="e">
        <f t="shared" si="3"/>
        <v>#DIV/0!</v>
      </c>
    </row>
    <row r="142" spans="1:5" ht="12.75">
      <c r="A142" t="s">
        <v>139</v>
      </c>
      <c r="E142" s="12" t="e">
        <f t="shared" si="3"/>
        <v>#DIV/0!</v>
      </c>
    </row>
    <row r="143" spans="1:5" ht="12.75">
      <c r="A143" t="s">
        <v>140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spans="1:3" ht="12.75">
      <c r="A146" t="s">
        <v>117</v>
      </c>
      <c r="C146">
        <v>1</v>
      </c>
    </row>
    <row r="147" ht="12.75">
      <c r="A147" t="s">
        <v>141</v>
      </c>
    </row>
    <row r="148" ht="12.75">
      <c r="A148" t="s">
        <v>142</v>
      </c>
    </row>
    <row r="149" ht="12.75">
      <c r="A149" t="s">
        <v>143</v>
      </c>
    </row>
    <row r="150" ht="12.75">
      <c r="A150" t="s">
        <v>144</v>
      </c>
    </row>
    <row r="151" ht="12.75">
      <c r="A151" t="s">
        <v>145</v>
      </c>
    </row>
    <row r="152" ht="12.75">
      <c r="A152" t="s">
        <v>140</v>
      </c>
    </row>
    <row r="153" ht="12.75">
      <c r="A153" t="s">
        <v>146</v>
      </c>
    </row>
    <row r="154" ht="12.75">
      <c r="A154" t="s">
        <v>138</v>
      </c>
    </row>
    <row r="155" ht="12.75">
      <c r="A155" t="s">
        <v>139</v>
      </c>
    </row>
    <row r="156" ht="12.75">
      <c r="A156" t="s">
        <v>147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11</v>
      </c>
      <c r="H159" t="s">
        <v>93</v>
      </c>
      <c r="M159">
        <v>18</v>
      </c>
    </row>
    <row r="160" spans="1:13" ht="12.75">
      <c r="A160" t="s">
        <v>94</v>
      </c>
      <c r="D160">
        <v>2</v>
      </c>
      <c r="H160" t="s">
        <v>94</v>
      </c>
      <c r="M160">
        <v>10</v>
      </c>
    </row>
    <row r="161" spans="1:13" ht="12.75">
      <c r="A161" t="s">
        <v>95</v>
      </c>
      <c r="D161">
        <f>D160/D159*100</f>
        <v>18.181818181818183</v>
      </c>
      <c r="H161" t="s">
        <v>95</v>
      </c>
      <c r="M161">
        <f>+M160/M159*100</f>
        <v>55.55555555555556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61"/>
  <sheetViews>
    <sheetView zoomScalePageLayoutView="0" workbookViewId="0" topLeftCell="A73">
      <selection activeCell="W103" sqref="W103:W107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107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24</v>
      </c>
      <c r="H6" s="1" t="s">
        <v>29</v>
      </c>
      <c r="M6" s="2">
        <f>M7+M8+M9</f>
        <v>20</v>
      </c>
    </row>
    <row r="7" spans="1:13" ht="12.75">
      <c r="A7" s="1" t="s">
        <v>103</v>
      </c>
      <c r="D7" s="2">
        <v>12</v>
      </c>
      <c r="H7" s="1" t="s">
        <v>103</v>
      </c>
      <c r="M7" s="2">
        <v>7</v>
      </c>
    </row>
    <row r="8" spans="1:13" ht="12.75">
      <c r="A8" s="1" t="s">
        <v>105</v>
      </c>
      <c r="D8" s="2">
        <v>9</v>
      </c>
      <c r="H8" s="1" t="s">
        <v>105</v>
      </c>
      <c r="M8" s="2">
        <v>13</v>
      </c>
    </row>
    <row r="9" spans="1:13" ht="12.75">
      <c r="A9" s="1" t="s">
        <v>104</v>
      </c>
      <c r="D9" s="2">
        <v>3</v>
      </c>
      <c r="H9" s="1" t="s">
        <v>104</v>
      </c>
      <c r="M9" s="2">
        <v>0</v>
      </c>
    </row>
    <row r="11" spans="1:23" ht="12.75">
      <c r="A11" t="s">
        <v>1</v>
      </c>
      <c r="D11" s="2">
        <v>30</v>
      </c>
      <c r="H11" t="s">
        <v>1</v>
      </c>
      <c r="M11" s="2">
        <v>26</v>
      </c>
      <c r="V11">
        <f>+D11</f>
        <v>30</v>
      </c>
      <c r="W11">
        <f>+M11</f>
        <v>26</v>
      </c>
    </row>
    <row r="12" spans="1:23" ht="12.75">
      <c r="A12" t="s">
        <v>2</v>
      </c>
      <c r="D12" s="2">
        <v>191</v>
      </c>
      <c r="H12" t="s">
        <v>2</v>
      </c>
      <c r="M12" s="2">
        <v>111</v>
      </c>
      <c r="P12" s="13"/>
      <c r="U12" s="13"/>
      <c r="V12">
        <f>+D16</f>
        <v>13</v>
      </c>
      <c r="W12">
        <f>+M16</f>
        <v>18</v>
      </c>
    </row>
    <row r="13" spans="1:23" ht="12.75">
      <c r="A13" s="1" t="s">
        <v>3</v>
      </c>
      <c r="D13" s="8">
        <f>+D12/D11</f>
        <v>6.366666666666666</v>
      </c>
      <c r="H13" s="1" t="s">
        <v>3</v>
      </c>
      <c r="M13" s="8">
        <f>+M12/M11</f>
        <v>4.269230769230769</v>
      </c>
      <c r="V13">
        <f>+(D15-D16)/2</f>
        <v>8.5</v>
      </c>
      <c r="W13">
        <f>+(M15-M16)/2</f>
        <v>9</v>
      </c>
    </row>
    <row r="14" spans="22:23" ht="12.75">
      <c r="V14">
        <f>+D38/2</f>
        <v>3</v>
      </c>
      <c r="W14">
        <f>+M38/2</f>
        <v>2</v>
      </c>
    </row>
    <row r="15" spans="1:23" ht="12.75">
      <c r="A15" t="s">
        <v>4</v>
      </c>
      <c r="D15" s="2">
        <v>30</v>
      </c>
      <c r="H15" t="s">
        <v>4</v>
      </c>
      <c r="M15" s="2">
        <v>36</v>
      </c>
      <c r="V15">
        <f>+D42/2</f>
        <v>1.5</v>
      </c>
      <c r="W15">
        <f>+M42/2</f>
        <v>1.5</v>
      </c>
    </row>
    <row r="16" spans="1:23" ht="12.75">
      <c r="A16" t="s">
        <v>5</v>
      </c>
      <c r="D16" s="2">
        <v>13</v>
      </c>
      <c r="H16" t="s">
        <v>5</v>
      </c>
      <c r="M16" s="2">
        <v>18</v>
      </c>
      <c r="V16">
        <f>+D48/2</f>
        <v>2</v>
      </c>
      <c r="W16">
        <f>+M48/2</f>
        <v>1.5</v>
      </c>
    </row>
    <row r="17" spans="1:13" ht="12.75">
      <c r="A17" t="s">
        <v>6</v>
      </c>
      <c r="D17" s="8">
        <f>+D16/D15*100</f>
        <v>43.333333333333336</v>
      </c>
      <c r="H17" t="s">
        <v>6</v>
      </c>
      <c r="M17" s="8">
        <f>+M16/M15*100</f>
        <v>50</v>
      </c>
    </row>
    <row r="18" spans="1:24" ht="12.75">
      <c r="A18" t="s">
        <v>7</v>
      </c>
      <c r="D18" s="2">
        <v>151</v>
      </c>
      <c r="H18" t="s">
        <v>7</v>
      </c>
      <c r="M18" s="2">
        <v>279</v>
      </c>
      <c r="V18">
        <f>SUM(V11:V16)</f>
        <v>58</v>
      </c>
      <c r="W18">
        <f>SUM(W11:W16)</f>
        <v>58</v>
      </c>
      <c r="X18">
        <f>+W18+V18</f>
        <v>116</v>
      </c>
    </row>
    <row r="19" spans="1:23" ht="12.75">
      <c r="A19" t="s">
        <v>8</v>
      </c>
      <c r="D19" s="2">
        <v>2</v>
      </c>
      <c r="H19" t="s">
        <v>8</v>
      </c>
      <c r="M19" s="2">
        <v>1</v>
      </c>
      <c r="V19">
        <f>+V18/X18</f>
        <v>0.5</v>
      </c>
      <c r="W19">
        <f>+W18/X18</f>
        <v>0.5</v>
      </c>
    </row>
    <row r="20" spans="1:23" ht="12.75">
      <c r="A20" t="s">
        <v>9</v>
      </c>
      <c r="D20" s="2">
        <v>28</v>
      </c>
      <c r="H20" t="s">
        <v>9</v>
      </c>
      <c r="M20" s="2">
        <v>10</v>
      </c>
      <c r="V20">
        <f>+V19*60</f>
        <v>30</v>
      </c>
      <c r="W20">
        <f>+W19*60</f>
        <v>30</v>
      </c>
    </row>
    <row r="21" spans="1:23" ht="12.75">
      <c r="A21" t="s">
        <v>10</v>
      </c>
      <c r="D21">
        <f>+D18-D20</f>
        <v>123</v>
      </c>
      <c r="H21" t="s">
        <v>10</v>
      </c>
      <c r="M21">
        <f>+M18-M20</f>
        <v>269</v>
      </c>
      <c r="V21">
        <f>+V20-INT(V20)</f>
        <v>0</v>
      </c>
      <c r="W21">
        <f>+W20-INT(W20)</f>
        <v>0</v>
      </c>
    </row>
    <row r="22" spans="1:23" ht="12.75">
      <c r="A22" t="s">
        <v>11</v>
      </c>
      <c r="D22" s="7">
        <f>+D21/(D15+D19)</f>
        <v>3.84375</v>
      </c>
      <c r="H22" t="s">
        <v>11</v>
      </c>
      <c r="M22" s="7">
        <f>+M21/(M15+M19)</f>
        <v>7.27027027027027</v>
      </c>
      <c r="V22">
        <f>+V21*60</f>
        <v>0</v>
      </c>
      <c r="W22">
        <f>+W21*60</f>
        <v>0</v>
      </c>
    </row>
    <row r="23" spans="1:23" ht="12.75">
      <c r="A23" t="s">
        <v>12</v>
      </c>
      <c r="D23" s="7">
        <f>+D18/D16</f>
        <v>11.615384615384615</v>
      </c>
      <c r="H23" t="s">
        <v>12</v>
      </c>
      <c r="M23" s="7">
        <f>+M18/M16</f>
        <v>15.5</v>
      </c>
      <c r="Q23" s="11"/>
      <c r="U23">
        <v>0</v>
      </c>
      <c r="V23" s="11">
        <f>ROUND(V22,0)</f>
        <v>0</v>
      </c>
      <c r="W23">
        <f>ROUND(W22,0)</f>
        <v>0</v>
      </c>
    </row>
    <row r="24" spans="22:23" ht="12.75">
      <c r="V24">
        <f>INT(V20)</f>
        <v>30</v>
      </c>
      <c r="W24">
        <f>INT(W20)</f>
        <v>30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314</v>
      </c>
      <c r="H26" t="s">
        <v>14</v>
      </c>
      <c r="M26">
        <f>+M21+M12</f>
        <v>380</v>
      </c>
      <c r="Q26" s="14"/>
      <c r="R26" s="9"/>
      <c r="V26" s="14" t="str">
        <f>+V24&amp;V25&amp;V23</f>
        <v>30:0</v>
      </c>
      <c r="W26" s="9" t="str">
        <f>+W24&amp;W25&amp;W23</f>
        <v>30:0</v>
      </c>
    </row>
    <row r="27" spans="1:23" ht="12.75">
      <c r="A27" t="s">
        <v>15</v>
      </c>
      <c r="D27" s="7">
        <f>+D12/D26*100</f>
        <v>60.828025477707</v>
      </c>
      <c r="H27" t="s">
        <v>15</v>
      </c>
      <c r="M27" s="7">
        <f>+M12/M26*100</f>
        <v>29.210526315789476</v>
      </c>
      <c r="Q27" s="9"/>
      <c r="R27" s="9"/>
      <c r="V27" s="9" t="str">
        <f>IF(V23&lt;10,+V24&amp;V25&amp;$U$23&amp;V23,+V24&amp;V25&amp;V23)</f>
        <v>30:00</v>
      </c>
      <c r="W27" s="9" t="str">
        <f>IF(W23&lt;10,+W24&amp;W25&amp;$U$23&amp;W23,+W24&amp;W25&amp;W23)</f>
        <v>30:00</v>
      </c>
    </row>
    <row r="28" spans="1:16" ht="12.75">
      <c r="A28" s="1" t="s">
        <v>86</v>
      </c>
      <c r="D28" s="7">
        <f>+D21/D26*100</f>
        <v>39.171974522293</v>
      </c>
      <c r="H28" s="1" t="s">
        <v>86</v>
      </c>
      <c r="M28" s="7">
        <f>+M21/M26*100</f>
        <v>70.78947368421052</v>
      </c>
      <c r="P28" s="13"/>
    </row>
    <row r="30" spans="1:13" ht="12.75">
      <c r="A30" t="s">
        <v>16</v>
      </c>
      <c r="D30">
        <f>+D11+D15+D19</f>
        <v>62</v>
      </c>
      <c r="H30" t="s">
        <v>16</v>
      </c>
      <c r="M30">
        <f>M11+M15+M19</f>
        <v>63</v>
      </c>
    </row>
    <row r="31" spans="1:13" ht="12.75">
      <c r="A31" t="s">
        <v>17</v>
      </c>
      <c r="D31" s="8">
        <f>+D26/D30</f>
        <v>5.064516129032258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6.031746031746032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0</v>
      </c>
      <c r="H34" t="s">
        <v>19</v>
      </c>
      <c r="M34" s="2">
        <v>1</v>
      </c>
    </row>
    <row r="35" spans="1:13" ht="12.75">
      <c r="A35" t="s">
        <v>20</v>
      </c>
      <c r="D35" s="2">
        <v>0</v>
      </c>
      <c r="H35" t="s">
        <v>20</v>
      </c>
      <c r="M35" s="2">
        <v>21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6</v>
      </c>
      <c r="H38" t="s">
        <v>22</v>
      </c>
      <c r="M38" s="2">
        <v>4</v>
      </c>
    </row>
    <row r="39" spans="1:13" ht="12.75">
      <c r="A39" t="s">
        <v>23</v>
      </c>
      <c r="D39" s="2">
        <v>254</v>
      </c>
      <c r="H39" t="s">
        <v>23</v>
      </c>
      <c r="M39" s="2">
        <v>154</v>
      </c>
    </row>
    <row r="40" spans="1:13" ht="12.75">
      <c r="A40" t="s">
        <v>24</v>
      </c>
      <c r="D40" s="8">
        <f>+D39/D38</f>
        <v>42.333333333333336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38.5</v>
      </c>
    </row>
    <row r="42" spans="1:13" ht="12.75">
      <c r="A42" t="s">
        <v>25</v>
      </c>
      <c r="D42" s="2">
        <v>3</v>
      </c>
      <c r="H42" t="s">
        <v>25</v>
      </c>
      <c r="M42" s="2">
        <v>3</v>
      </c>
    </row>
    <row r="43" spans="1:13" ht="12.75">
      <c r="A43" t="s">
        <v>26</v>
      </c>
      <c r="D43" s="2">
        <v>12</v>
      </c>
      <c r="H43" t="s">
        <v>26</v>
      </c>
      <c r="M43" s="2">
        <v>37</v>
      </c>
    </row>
    <row r="44" spans="1:13" ht="12.75">
      <c r="A44" t="s">
        <v>27</v>
      </c>
      <c r="D44" s="8">
        <f>+D43/D42</f>
        <v>4</v>
      </c>
      <c r="H44" t="s">
        <v>27</v>
      </c>
      <c r="M44" s="8">
        <f>+M43/M42</f>
        <v>12.333333333333334</v>
      </c>
    </row>
    <row r="45" spans="1:13" ht="12.75">
      <c r="A45" t="s">
        <v>108</v>
      </c>
      <c r="D45" s="2">
        <v>0</v>
      </c>
      <c r="H45" t="s">
        <v>108</v>
      </c>
      <c r="M45" s="2">
        <v>2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4</v>
      </c>
      <c r="H48" t="s">
        <v>30</v>
      </c>
      <c r="M48" s="2">
        <v>3</v>
      </c>
    </row>
    <row r="49" spans="1:13" ht="12.75">
      <c r="A49" t="s">
        <v>26</v>
      </c>
      <c r="D49" s="2">
        <v>78</v>
      </c>
      <c r="H49" t="s">
        <v>26</v>
      </c>
      <c r="M49" s="2">
        <v>82</v>
      </c>
    </row>
    <row r="50" spans="1:13" ht="12.75">
      <c r="A50" t="s">
        <v>27</v>
      </c>
      <c r="D50" s="8">
        <f>+D49/D48</f>
        <v>19.5</v>
      </c>
      <c r="H50" t="s">
        <v>27</v>
      </c>
      <c r="M50" s="8">
        <f>+M49/M48</f>
        <v>27.333333333333332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3</v>
      </c>
      <c r="H53" t="s">
        <v>31</v>
      </c>
      <c r="M53" s="2">
        <v>8</v>
      </c>
    </row>
    <row r="54" spans="1:13" ht="12.75">
      <c r="A54" t="s">
        <v>32</v>
      </c>
      <c r="D54" s="2">
        <v>25</v>
      </c>
      <c r="H54" t="s">
        <v>32</v>
      </c>
      <c r="M54" s="2">
        <v>67</v>
      </c>
    </row>
    <row r="56" spans="1:13" ht="12.75">
      <c r="A56" t="s">
        <v>33</v>
      </c>
      <c r="D56" s="2">
        <v>1</v>
      </c>
      <c r="H56" t="s">
        <v>33</v>
      </c>
      <c r="M56" s="2">
        <v>1</v>
      </c>
    </row>
    <row r="57" spans="1:13" ht="12.75">
      <c r="A57" t="s">
        <v>101</v>
      </c>
      <c r="D57" s="2">
        <v>1</v>
      </c>
      <c r="H57" t="s">
        <v>101</v>
      </c>
      <c r="M57" s="2">
        <v>1</v>
      </c>
    </row>
    <row r="59" spans="1:13" ht="12.75">
      <c r="A59" t="s">
        <v>34</v>
      </c>
      <c r="D59" s="2">
        <v>17</v>
      </c>
      <c r="H59" t="s">
        <v>34</v>
      </c>
      <c r="M59" s="2">
        <v>16</v>
      </c>
    </row>
    <row r="60" spans="1:13" ht="12.75">
      <c r="A60" t="s">
        <v>35</v>
      </c>
      <c r="D60" s="2">
        <v>2</v>
      </c>
      <c r="H60" t="s">
        <v>35</v>
      </c>
      <c r="M60" s="2">
        <v>1</v>
      </c>
    </row>
    <row r="61" spans="1:13" ht="12.75">
      <c r="A61" t="s">
        <v>36</v>
      </c>
      <c r="D61" s="2">
        <v>1</v>
      </c>
      <c r="H61" t="s">
        <v>36</v>
      </c>
      <c r="M61" s="2">
        <v>0</v>
      </c>
    </row>
    <row r="62" spans="1:13" ht="12.75">
      <c r="A62" t="s">
        <v>37</v>
      </c>
      <c r="D62" s="2">
        <v>1</v>
      </c>
      <c r="H62" t="s">
        <v>37</v>
      </c>
      <c r="M62" s="2">
        <v>1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2</v>
      </c>
      <c r="H64" t="s">
        <v>39</v>
      </c>
      <c r="M64" s="2">
        <v>1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1</v>
      </c>
      <c r="H66" t="s">
        <v>41</v>
      </c>
      <c r="M66" s="2">
        <v>3</v>
      </c>
    </row>
    <row r="67" spans="1:13" ht="12.75">
      <c r="A67" t="s">
        <v>42</v>
      </c>
      <c r="D67" s="2">
        <v>1</v>
      </c>
      <c r="H67" t="s">
        <v>42</v>
      </c>
      <c r="M67" s="2">
        <v>3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89</v>
      </c>
      <c r="D69" s="10" t="str">
        <f>IF(V23&lt;10,V27,V26)</f>
        <v>30:00</v>
      </c>
      <c r="E69" s="8"/>
      <c r="F69" s="8"/>
      <c r="H69" t="s">
        <v>89</v>
      </c>
      <c r="M69" s="10" t="str">
        <f>IF(W23&lt;10,W27,W26)</f>
        <v>30:00</v>
      </c>
    </row>
    <row r="70" spans="1:13" ht="12.75">
      <c r="A70" t="s">
        <v>102</v>
      </c>
      <c r="D70" s="23">
        <f>D161</f>
        <v>22.22222222222222</v>
      </c>
      <c r="E70" s="8"/>
      <c r="F70" s="8"/>
      <c r="H70" t="s">
        <v>102</v>
      </c>
      <c r="M70" s="23">
        <f>M161</f>
        <v>50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2" t="s">
        <v>80</v>
      </c>
    </row>
    <row r="74" spans="1:8" ht="12.75">
      <c r="A74" t="s">
        <v>109</v>
      </c>
      <c r="C74">
        <v>25</v>
      </c>
      <c r="D74">
        <v>187</v>
      </c>
      <c r="E74" s="12">
        <f aca="true" t="shared" si="0" ref="E74:E83">+D74/C74</f>
        <v>7.48</v>
      </c>
      <c r="F74">
        <v>21</v>
      </c>
      <c r="G74">
        <v>0</v>
      </c>
      <c r="H74">
        <v>1</v>
      </c>
    </row>
    <row r="75" spans="1:5" ht="12.75">
      <c r="A75" t="s">
        <v>110</v>
      </c>
      <c r="E75" s="12" t="e">
        <f t="shared" si="0"/>
        <v>#DIV/0!</v>
      </c>
    </row>
    <row r="76" spans="1:5" ht="12.75">
      <c r="A76" t="s">
        <v>111</v>
      </c>
      <c r="E76" s="12" t="e">
        <f t="shared" si="0"/>
        <v>#DIV/0!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8" ht="12.75">
      <c r="A79" t="s">
        <v>114</v>
      </c>
      <c r="C79">
        <v>3</v>
      </c>
      <c r="D79">
        <v>6</v>
      </c>
      <c r="E79" s="12">
        <f t="shared" si="0"/>
        <v>2</v>
      </c>
      <c r="F79">
        <v>3</v>
      </c>
      <c r="G79">
        <v>0</v>
      </c>
      <c r="H79">
        <v>0</v>
      </c>
    </row>
    <row r="80" spans="1:8" ht="12.75">
      <c r="A80" t="s">
        <v>115</v>
      </c>
      <c r="C80">
        <v>1</v>
      </c>
      <c r="D80">
        <v>2</v>
      </c>
      <c r="E80" s="12">
        <f t="shared" si="0"/>
        <v>2</v>
      </c>
      <c r="F80">
        <v>2</v>
      </c>
      <c r="G80">
        <v>0</v>
      </c>
      <c r="H80">
        <v>0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8" ht="12.75">
      <c r="A83" t="s">
        <v>118</v>
      </c>
      <c r="C83">
        <v>1</v>
      </c>
      <c r="D83">
        <v>-4</v>
      </c>
      <c r="E83" s="12">
        <f t="shared" si="0"/>
        <v>-4</v>
      </c>
      <c r="F83">
        <v>-4</v>
      </c>
      <c r="G83">
        <v>0</v>
      </c>
      <c r="H83">
        <v>0</v>
      </c>
    </row>
    <row r="84" ht="12.75">
      <c r="E84" s="8"/>
    </row>
    <row r="85" spans="1:8" ht="12.75">
      <c r="A85" s="2" t="s">
        <v>52</v>
      </c>
      <c r="C85" s="3" t="s">
        <v>53</v>
      </c>
      <c r="D85" s="3" t="s">
        <v>48</v>
      </c>
      <c r="E85" s="15" t="s">
        <v>49</v>
      </c>
      <c r="F85" s="3" t="s">
        <v>50</v>
      </c>
      <c r="G85" s="3" t="s">
        <v>51</v>
      </c>
      <c r="H85" s="3" t="s">
        <v>80</v>
      </c>
    </row>
    <row r="86" spans="1:8" ht="12.75">
      <c r="A86" t="s">
        <v>109</v>
      </c>
      <c r="C86">
        <v>3</v>
      </c>
      <c r="D86">
        <v>43</v>
      </c>
      <c r="E86" s="12">
        <f aca="true" t="shared" si="1" ref="E86:E99">+D86/C86</f>
        <v>14.333333333333334</v>
      </c>
      <c r="F86">
        <v>22</v>
      </c>
      <c r="G86">
        <v>0</v>
      </c>
      <c r="H86">
        <v>0</v>
      </c>
    </row>
    <row r="87" spans="1:8" ht="12.75">
      <c r="A87" t="s">
        <v>118</v>
      </c>
      <c r="C87">
        <v>1</v>
      </c>
      <c r="D87">
        <v>16</v>
      </c>
      <c r="E87" s="12">
        <f t="shared" si="1"/>
        <v>16</v>
      </c>
      <c r="F87">
        <v>16</v>
      </c>
      <c r="G87">
        <v>0</v>
      </c>
      <c r="H87">
        <v>0</v>
      </c>
    </row>
    <row r="88" spans="1:8" ht="12.75">
      <c r="A88" t="s">
        <v>119</v>
      </c>
      <c r="C88">
        <v>2</v>
      </c>
      <c r="D88">
        <v>30</v>
      </c>
      <c r="E88" s="12">
        <f t="shared" si="1"/>
        <v>15</v>
      </c>
      <c r="F88">
        <v>17</v>
      </c>
      <c r="G88">
        <v>0</v>
      </c>
      <c r="H88">
        <v>0</v>
      </c>
    </row>
    <row r="89" spans="1:8" ht="12.75">
      <c r="A89" t="s">
        <v>120</v>
      </c>
      <c r="C89">
        <v>1</v>
      </c>
      <c r="D89">
        <v>12</v>
      </c>
      <c r="E89" s="12">
        <f t="shared" si="1"/>
        <v>12</v>
      </c>
      <c r="F89">
        <v>12</v>
      </c>
      <c r="G89">
        <v>0</v>
      </c>
      <c r="H89">
        <v>0</v>
      </c>
    </row>
    <row r="90" spans="1:5" ht="12.75">
      <c r="A90" t="s">
        <v>121</v>
      </c>
      <c r="E90" s="12" t="e">
        <f t="shared" si="1"/>
        <v>#DIV/0!</v>
      </c>
    </row>
    <row r="91" spans="1:8" ht="12.75">
      <c r="A91" t="s">
        <v>110</v>
      </c>
      <c r="C91">
        <v>1</v>
      </c>
      <c r="D91">
        <v>14</v>
      </c>
      <c r="E91" s="12">
        <f t="shared" si="1"/>
        <v>14</v>
      </c>
      <c r="F91">
        <v>14</v>
      </c>
      <c r="G91">
        <v>0</v>
      </c>
      <c r="H91">
        <v>0</v>
      </c>
    </row>
    <row r="92" spans="1:8" ht="12.75">
      <c r="A92" t="s">
        <v>122</v>
      </c>
      <c r="C92">
        <v>1</v>
      </c>
      <c r="D92">
        <v>11</v>
      </c>
      <c r="E92" s="12">
        <f t="shared" si="1"/>
        <v>11</v>
      </c>
      <c r="F92">
        <v>11</v>
      </c>
      <c r="G92">
        <v>0</v>
      </c>
      <c r="H92">
        <v>0</v>
      </c>
    </row>
    <row r="93" spans="1:8" ht="12.75">
      <c r="A93" t="s">
        <v>123</v>
      </c>
      <c r="C93">
        <v>2</v>
      </c>
      <c r="D93">
        <v>4</v>
      </c>
      <c r="E93" s="12">
        <f t="shared" si="1"/>
        <v>2</v>
      </c>
      <c r="F93">
        <v>4</v>
      </c>
      <c r="G93">
        <v>0</v>
      </c>
      <c r="H93">
        <v>0</v>
      </c>
    </row>
    <row r="94" spans="1:5" ht="12.75">
      <c r="A94" t="s">
        <v>114</v>
      </c>
      <c r="E94" s="12" t="e">
        <f t="shared" si="1"/>
        <v>#DIV/0!</v>
      </c>
    </row>
    <row r="95" spans="1:8" ht="12.75">
      <c r="A95" t="s">
        <v>124</v>
      </c>
      <c r="C95">
        <v>2</v>
      </c>
      <c r="D95">
        <v>21</v>
      </c>
      <c r="E95" s="12">
        <f t="shared" si="1"/>
        <v>10.5</v>
      </c>
      <c r="F95">
        <v>12</v>
      </c>
      <c r="G95">
        <v>1</v>
      </c>
      <c r="H95">
        <v>0</v>
      </c>
    </row>
    <row r="96" spans="1:5" ht="12.75">
      <c r="A96" t="s">
        <v>125</v>
      </c>
      <c r="E96" s="12" t="e">
        <f t="shared" si="1"/>
        <v>#DIV/0!</v>
      </c>
    </row>
    <row r="97" spans="1:5" ht="12.75">
      <c r="A97" t="s">
        <v>112</v>
      </c>
      <c r="E97" s="12" t="e">
        <f t="shared" si="1"/>
        <v>#DIV/0!</v>
      </c>
    </row>
    <row r="98" spans="1:5" ht="12.75">
      <c r="A98" t="s">
        <v>126</v>
      </c>
      <c r="E98" s="12" t="e">
        <f t="shared" si="1"/>
        <v>#DIV/0!</v>
      </c>
    </row>
    <row r="99" spans="1:5" ht="12.75">
      <c r="A99" t="s">
        <v>127</v>
      </c>
      <c r="E99" s="12" t="e">
        <f t="shared" si="1"/>
        <v>#DIV/0!</v>
      </c>
    </row>
    <row r="100" ht="12.75">
      <c r="E100" s="8"/>
    </row>
    <row r="101" spans="1:13" ht="12.75">
      <c r="A101" s="2"/>
      <c r="B101" s="2"/>
      <c r="C101" s="3"/>
      <c r="D101" s="3"/>
      <c r="E101" s="15" t="s">
        <v>57</v>
      </c>
      <c r="F101" s="3" t="s">
        <v>58</v>
      </c>
      <c r="G101" s="3"/>
      <c r="H101" s="3"/>
      <c r="I101" s="3" t="s">
        <v>61</v>
      </c>
      <c r="J101" s="3" t="s">
        <v>63</v>
      </c>
      <c r="K101" s="3" t="s">
        <v>57</v>
      </c>
      <c r="L101" s="3" t="s">
        <v>49</v>
      </c>
      <c r="M101" s="3"/>
    </row>
    <row r="102" spans="1:14" ht="12.75">
      <c r="A102" s="2" t="s">
        <v>54</v>
      </c>
      <c r="B102" s="2"/>
      <c r="C102" s="3" t="s">
        <v>55</v>
      </c>
      <c r="D102" s="3" t="s">
        <v>56</v>
      </c>
      <c r="E102" s="15" t="s">
        <v>56</v>
      </c>
      <c r="F102" s="3" t="s">
        <v>59</v>
      </c>
      <c r="G102" s="3" t="s">
        <v>51</v>
      </c>
      <c r="H102" s="3" t="s">
        <v>60</v>
      </c>
      <c r="I102" s="5" t="s">
        <v>62</v>
      </c>
      <c r="J102" s="3" t="s">
        <v>51</v>
      </c>
      <c r="K102" s="3" t="s">
        <v>64</v>
      </c>
      <c r="L102" s="3" t="s">
        <v>65</v>
      </c>
      <c r="M102" s="3" t="s">
        <v>66</v>
      </c>
      <c r="N102" s="3" t="s">
        <v>80</v>
      </c>
    </row>
    <row r="103" spans="1:25" ht="12.75">
      <c r="A103" t="s">
        <v>115</v>
      </c>
      <c r="C103">
        <v>30</v>
      </c>
      <c r="D103">
        <v>13</v>
      </c>
      <c r="E103" s="12">
        <f>+D103/C103*100</f>
        <v>43.333333333333336</v>
      </c>
      <c r="F103">
        <v>151</v>
      </c>
      <c r="G103">
        <v>1</v>
      </c>
      <c r="H103">
        <v>22</v>
      </c>
      <c r="I103">
        <v>0</v>
      </c>
      <c r="J103" s="8">
        <f>+G103/C103*100</f>
        <v>3.3333333333333335</v>
      </c>
      <c r="K103" s="12">
        <f>+I103/C103*100</f>
        <v>0</v>
      </c>
      <c r="L103" s="12">
        <f>+F103/C103</f>
        <v>5.033333333333333</v>
      </c>
      <c r="M103" s="12">
        <f>100*(S103+U103+W103+Y103)/6</f>
        <v>70.27777777777779</v>
      </c>
      <c r="R103">
        <f>+(E103-30)/20</f>
        <v>0.6666666666666667</v>
      </c>
      <c r="S103" s="2">
        <f>IF(R103&lt;0,0,IF(R103&gt;2.375,2.375,R103))</f>
        <v>0.6666666666666667</v>
      </c>
      <c r="T103" s="6">
        <f>+(L103-3)/4</f>
        <v>0.5083333333333333</v>
      </c>
      <c r="U103" s="2">
        <f>IF(T103&lt;0,0,IF(T103&gt;2.375,2.375,T103))</f>
        <v>0.5083333333333333</v>
      </c>
      <c r="V103">
        <f>+J103/5</f>
        <v>0.6666666666666667</v>
      </c>
      <c r="W103" s="2">
        <f>IF(V103&lt;0,0,IF(V103&gt;2.375,2.375,V103))</f>
        <v>0.6666666666666667</v>
      </c>
      <c r="X103">
        <f>(9.5-K103)/4</f>
        <v>2.375</v>
      </c>
      <c r="Y103" s="2">
        <f>IF(X103&lt;0,0,X103)</f>
        <v>2.375</v>
      </c>
    </row>
    <row r="104" spans="1:25" ht="12.75">
      <c r="A104" t="s">
        <v>111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128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109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7" spans="1:25" ht="12.75">
      <c r="A107" t="s">
        <v>129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10" spans="1:9" ht="12.75">
      <c r="A110" s="2" t="s">
        <v>67</v>
      </c>
      <c r="C110" s="3" t="s">
        <v>68</v>
      </c>
      <c r="D110" s="3" t="s">
        <v>69</v>
      </c>
      <c r="E110" s="3" t="s">
        <v>70</v>
      </c>
      <c r="F110" s="3" t="s">
        <v>49</v>
      </c>
      <c r="G110" s="3" t="s">
        <v>60</v>
      </c>
      <c r="H110" s="3" t="s">
        <v>51</v>
      </c>
      <c r="I110" s="3" t="s">
        <v>80</v>
      </c>
    </row>
    <row r="111" spans="1:6" ht="12.75">
      <c r="A111" t="s">
        <v>130</v>
      </c>
      <c r="F111" s="12" t="e">
        <f>+E111/C111</f>
        <v>#DIV/0!</v>
      </c>
    </row>
    <row r="112" spans="1:6" ht="12.75">
      <c r="A112" t="s">
        <v>131</v>
      </c>
      <c r="F112" s="12" t="e">
        <f>+E112/C112</f>
        <v>#DIV/0!</v>
      </c>
    </row>
    <row r="113" spans="1:9" ht="12.75">
      <c r="A113" t="s">
        <v>118</v>
      </c>
      <c r="C113">
        <v>3</v>
      </c>
      <c r="D113">
        <v>0</v>
      </c>
      <c r="E113">
        <v>12</v>
      </c>
      <c r="F113" s="12">
        <f>+E113/C113</f>
        <v>4</v>
      </c>
      <c r="G113">
        <v>7</v>
      </c>
      <c r="H113">
        <v>0</v>
      </c>
      <c r="I113">
        <v>0</v>
      </c>
    </row>
    <row r="114" spans="1:6" ht="12.75">
      <c r="A114" t="s">
        <v>132</v>
      </c>
      <c r="F114" s="12" t="e">
        <f>+E114/C114</f>
        <v>#DIV/0!</v>
      </c>
    </row>
    <row r="115" spans="1:6" ht="12.75">
      <c r="A115" t="s">
        <v>112</v>
      </c>
      <c r="F115" s="12" t="e">
        <f>+E115/C115</f>
        <v>#DIV/0!</v>
      </c>
    </row>
    <row r="117" spans="1:8" ht="12.75">
      <c r="A117" s="2" t="s">
        <v>30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51</v>
      </c>
      <c r="H117" s="3" t="s">
        <v>80</v>
      </c>
    </row>
    <row r="118" spans="1:5" ht="12.75">
      <c r="A118" t="s">
        <v>130</v>
      </c>
      <c r="E118" s="12" t="e">
        <f aca="true" t="shared" si="2" ref="E118:E126">+D118/C118</f>
        <v>#DIV/0!</v>
      </c>
    </row>
    <row r="119" spans="1:5" ht="12.75">
      <c r="A119" t="s">
        <v>112</v>
      </c>
      <c r="E119" s="12" t="e">
        <f t="shared" si="2"/>
        <v>#DIV/0!</v>
      </c>
    </row>
    <row r="120" spans="1:8" ht="12.75">
      <c r="A120" t="s">
        <v>116</v>
      </c>
      <c r="C120">
        <v>3</v>
      </c>
      <c r="D120">
        <v>54</v>
      </c>
      <c r="E120" s="12">
        <f t="shared" si="2"/>
        <v>18</v>
      </c>
      <c r="F120">
        <v>19</v>
      </c>
      <c r="G120">
        <v>0</v>
      </c>
      <c r="H120">
        <v>0</v>
      </c>
    </row>
    <row r="121" spans="1:5" ht="12.75">
      <c r="A121" t="s">
        <v>124</v>
      </c>
      <c r="E121" s="12" t="e">
        <f t="shared" si="2"/>
        <v>#DIV/0!</v>
      </c>
    </row>
    <row r="122" spans="1:5" ht="12.75">
      <c r="A122" t="s">
        <v>122</v>
      </c>
      <c r="E122" s="12" t="e">
        <f t="shared" si="2"/>
        <v>#DIV/0!</v>
      </c>
    </row>
    <row r="123" spans="1:5" ht="12.75">
      <c r="A123" t="s">
        <v>114</v>
      </c>
      <c r="E123" s="12" t="e">
        <f t="shared" si="2"/>
        <v>#DIV/0!</v>
      </c>
    </row>
    <row r="124" spans="1:5" ht="12.75">
      <c r="A124" t="s">
        <v>126</v>
      </c>
      <c r="E124" s="12" t="e">
        <f t="shared" si="2"/>
        <v>#DIV/0!</v>
      </c>
    </row>
    <row r="125" spans="1:8" ht="12.75">
      <c r="A125" t="s">
        <v>127</v>
      </c>
      <c r="C125">
        <v>2</v>
      </c>
      <c r="D125">
        <v>24</v>
      </c>
      <c r="E125" s="12">
        <f t="shared" si="2"/>
        <v>12</v>
      </c>
      <c r="F125">
        <v>24</v>
      </c>
      <c r="G125">
        <v>0</v>
      </c>
      <c r="H125">
        <v>0</v>
      </c>
    </row>
    <row r="126" spans="1:5" ht="12.75">
      <c r="A126" t="s">
        <v>106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129</v>
      </c>
      <c r="C129">
        <v>6</v>
      </c>
      <c r="D129">
        <v>254</v>
      </c>
      <c r="E129" s="12">
        <f>+D129/C129</f>
        <v>42.333333333333336</v>
      </c>
      <c r="F129">
        <v>48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133</v>
      </c>
      <c r="C132">
        <v>4</v>
      </c>
      <c r="D132">
        <v>1</v>
      </c>
      <c r="E132">
        <v>2</v>
      </c>
      <c r="F132">
        <v>2</v>
      </c>
      <c r="G132">
        <v>1</v>
      </c>
      <c r="H132">
        <v>1</v>
      </c>
      <c r="I132" s="12">
        <f>+H132/G132*100</f>
        <v>100</v>
      </c>
      <c r="J132">
        <v>36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5" ht="12.75">
      <c r="A135" t="s">
        <v>134</v>
      </c>
      <c r="E135" s="12" t="e">
        <f>+D135/C135</f>
        <v>#DIV/0!</v>
      </c>
    </row>
    <row r="136" spans="1:5" ht="12.75">
      <c r="A136" t="s">
        <v>135</v>
      </c>
      <c r="E136" s="12" t="e">
        <f aca="true" t="shared" si="3" ref="E136:E143">+D136/C136</f>
        <v>#DIV/0!</v>
      </c>
    </row>
    <row r="137" spans="1:5" ht="12.75">
      <c r="A137" t="s">
        <v>130</v>
      </c>
      <c r="E137" s="12" t="e">
        <f t="shared" si="3"/>
        <v>#DIV/0!</v>
      </c>
    </row>
    <row r="138" spans="1:8" ht="12.75">
      <c r="A138" t="s">
        <v>131</v>
      </c>
      <c r="C138">
        <v>1</v>
      </c>
      <c r="D138">
        <v>21</v>
      </c>
      <c r="E138" s="12">
        <f t="shared" si="3"/>
        <v>21</v>
      </c>
      <c r="F138">
        <v>21</v>
      </c>
      <c r="G138">
        <v>0</v>
      </c>
      <c r="H138">
        <v>0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137</v>
      </c>
      <c r="E140" s="12" t="e">
        <f t="shared" si="3"/>
        <v>#DIV/0!</v>
      </c>
    </row>
    <row r="141" spans="1:5" ht="12.75">
      <c r="A141" t="s">
        <v>138</v>
      </c>
      <c r="E141" s="12" t="e">
        <f t="shared" si="3"/>
        <v>#DIV/0!</v>
      </c>
    </row>
    <row r="142" spans="1:5" ht="12.75">
      <c r="A142" t="s">
        <v>139</v>
      </c>
      <c r="E142" s="12" t="e">
        <f t="shared" si="3"/>
        <v>#DIV/0!</v>
      </c>
    </row>
    <row r="143" spans="1:5" ht="12.75">
      <c r="A143" t="s">
        <v>140</v>
      </c>
      <c r="E143" s="12" t="e">
        <f t="shared" si="3"/>
        <v>#DIV/0!</v>
      </c>
    </row>
    <row r="145" spans="1:4" ht="12.75">
      <c r="A145" s="2" t="s">
        <v>90</v>
      </c>
      <c r="C145" s="2" t="s">
        <v>68</v>
      </c>
      <c r="D145" s="2"/>
    </row>
    <row r="146" ht="12.75">
      <c r="A146" t="s">
        <v>117</v>
      </c>
    </row>
    <row r="147" ht="12.75">
      <c r="A147" t="s">
        <v>141</v>
      </c>
    </row>
    <row r="148" spans="1:3" ht="12.75">
      <c r="A148" t="s">
        <v>142</v>
      </c>
      <c r="C148">
        <v>1</v>
      </c>
    </row>
    <row r="149" ht="12.75">
      <c r="A149" t="s">
        <v>143</v>
      </c>
    </row>
    <row r="150" ht="12.75">
      <c r="A150" t="s">
        <v>144</v>
      </c>
    </row>
    <row r="151" ht="12.75">
      <c r="A151" t="s">
        <v>145</v>
      </c>
    </row>
    <row r="152" ht="12.75">
      <c r="A152" t="s">
        <v>140</v>
      </c>
    </row>
    <row r="153" ht="12.75">
      <c r="A153" t="s">
        <v>146</v>
      </c>
    </row>
    <row r="154" ht="12.75">
      <c r="A154" t="s">
        <v>138</v>
      </c>
    </row>
    <row r="155" ht="12.75">
      <c r="A155" t="s">
        <v>139</v>
      </c>
    </row>
    <row r="156" ht="12.75">
      <c r="A156" t="s">
        <v>147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9</v>
      </c>
      <c r="H159" t="s">
        <v>93</v>
      </c>
      <c r="M159">
        <v>14</v>
      </c>
    </row>
    <row r="160" spans="1:13" ht="12.75">
      <c r="A160" t="s">
        <v>94</v>
      </c>
      <c r="D160">
        <v>2</v>
      </c>
      <c r="H160" t="s">
        <v>94</v>
      </c>
      <c r="M160">
        <v>7</v>
      </c>
    </row>
    <row r="161" spans="1:13" ht="12.75">
      <c r="A161" t="s">
        <v>95</v>
      </c>
      <c r="D161">
        <f>D160/D159*100</f>
        <v>22.22222222222222</v>
      </c>
      <c r="H161" t="s">
        <v>95</v>
      </c>
      <c r="M161">
        <f>+M160/M159*100</f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161"/>
  <sheetViews>
    <sheetView zoomScalePageLayoutView="0" workbookViewId="0" topLeftCell="A70">
      <selection activeCell="W103" sqref="W103:W107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107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20</v>
      </c>
      <c r="H6" s="1" t="s">
        <v>29</v>
      </c>
      <c r="M6" s="2">
        <f>M7+M8+M9</f>
        <v>23</v>
      </c>
    </row>
    <row r="7" spans="1:13" ht="12.75">
      <c r="A7" s="1" t="s">
        <v>103</v>
      </c>
      <c r="D7" s="2">
        <v>2</v>
      </c>
      <c r="H7" s="1" t="s">
        <v>103</v>
      </c>
      <c r="M7" s="2">
        <v>11</v>
      </c>
    </row>
    <row r="8" spans="1:13" ht="12.75">
      <c r="A8" s="1" t="s">
        <v>105</v>
      </c>
      <c r="D8" s="2">
        <v>10</v>
      </c>
      <c r="H8" s="1" t="s">
        <v>105</v>
      </c>
      <c r="M8" s="2">
        <v>10</v>
      </c>
    </row>
    <row r="9" spans="1:13" ht="12.75">
      <c r="A9" s="1" t="s">
        <v>104</v>
      </c>
      <c r="D9" s="2">
        <v>8</v>
      </c>
      <c r="H9" s="1" t="s">
        <v>104</v>
      </c>
      <c r="M9" s="2">
        <v>2</v>
      </c>
    </row>
    <row r="11" spans="1:23" ht="12.75">
      <c r="A11" t="s">
        <v>1</v>
      </c>
      <c r="D11" s="2">
        <v>18</v>
      </c>
      <c r="H11" t="s">
        <v>1</v>
      </c>
      <c r="M11" s="2">
        <v>40</v>
      </c>
      <c r="V11">
        <f>+D11</f>
        <v>18</v>
      </c>
      <c r="W11">
        <f>+M11</f>
        <v>40</v>
      </c>
    </row>
    <row r="12" spans="1:23" ht="12.75">
      <c r="A12" t="s">
        <v>2</v>
      </c>
      <c r="D12" s="2">
        <v>28</v>
      </c>
      <c r="H12" t="s">
        <v>2</v>
      </c>
      <c r="M12" s="2">
        <v>154</v>
      </c>
      <c r="U12" s="13"/>
      <c r="V12">
        <f>+D16</f>
        <v>17</v>
      </c>
      <c r="W12">
        <f>+M16</f>
        <v>23</v>
      </c>
    </row>
    <row r="13" spans="1:23" ht="12.75">
      <c r="A13" s="1" t="s">
        <v>3</v>
      </c>
      <c r="D13" s="8">
        <f>+D12/D11</f>
        <v>1.5555555555555556</v>
      </c>
      <c r="H13" s="1" t="s">
        <v>3</v>
      </c>
      <c r="M13" s="8">
        <f>+M12/M11</f>
        <v>3.85</v>
      </c>
      <c r="V13">
        <f>+(D15-D16)/2</f>
        <v>13</v>
      </c>
      <c r="W13">
        <f>+(M15-M16)/2</f>
        <v>4.5</v>
      </c>
    </row>
    <row r="14" spans="22:23" ht="12.75">
      <c r="V14">
        <f>+D38/2</f>
        <v>2</v>
      </c>
      <c r="W14">
        <f>+M38/2</f>
        <v>2.5</v>
      </c>
    </row>
    <row r="15" spans="1:23" ht="12.75">
      <c r="A15" t="s">
        <v>4</v>
      </c>
      <c r="D15" s="2">
        <v>43</v>
      </c>
      <c r="H15" t="s">
        <v>4</v>
      </c>
      <c r="M15" s="2">
        <v>32</v>
      </c>
      <c r="V15">
        <f>+D42/2</f>
        <v>1</v>
      </c>
      <c r="W15">
        <f>+M42/2</f>
        <v>0</v>
      </c>
    </row>
    <row r="16" spans="1:23" ht="12.75">
      <c r="A16" t="s">
        <v>5</v>
      </c>
      <c r="D16" s="2">
        <v>17</v>
      </c>
      <c r="H16" t="s">
        <v>5</v>
      </c>
      <c r="M16" s="2">
        <v>23</v>
      </c>
      <c r="V16">
        <f>+D48/2</f>
        <v>1.5</v>
      </c>
      <c r="W16">
        <f>+M48/2</f>
        <v>0</v>
      </c>
    </row>
    <row r="17" spans="1:13" ht="12.75">
      <c r="A17" t="s">
        <v>6</v>
      </c>
      <c r="D17" s="8">
        <f>+D16/D15*100</f>
        <v>39.53488372093023</v>
      </c>
      <c r="H17" t="s">
        <v>6</v>
      </c>
      <c r="M17" s="8">
        <f>+M16/M15*100</f>
        <v>71.875</v>
      </c>
    </row>
    <row r="18" spans="1:24" ht="12.75">
      <c r="A18" t="s">
        <v>7</v>
      </c>
      <c r="D18" s="2">
        <v>231</v>
      </c>
      <c r="H18" t="s">
        <v>7</v>
      </c>
      <c r="M18" s="2">
        <v>213</v>
      </c>
      <c r="V18">
        <f>SUM(V11:V16)</f>
        <v>52.5</v>
      </c>
      <c r="W18">
        <f>SUM(W11:W16)</f>
        <v>70</v>
      </c>
      <c r="X18">
        <f>+W18+V18</f>
        <v>122.5</v>
      </c>
    </row>
    <row r="19" spans="1:23" ht="12.75">
      <c r="A19" t="s">
        <v>8</v>
      </c>
      <c r="D19" s="2">
        <v>2</v>
      </c>
      <c r="H19" t="s">
        <v>8</v>
      </c>
      <c r="M19" s="2">
        <v>0</v>
      </c>
      <c r="V19">
        <f>+V18/X18</f>
        <v>0.42857142857142855</v>
      </c>
      <c r="W19">
        <f>+W18/X18</f>
        <v>0.5714285714285714</v>
      </c>
    </row>
    <row r="20" spans="1:23" ht="12.75">
      <c r="A20" t="s">
        <v>9</v>
      </c>
      <c r="D20" s="2">
        <v>13</v>
      </c>
      <c r="H20" t="s">
        <v>9</v>
      </c>
      <c r="M20" s="2">
        <v>0</v>
      </c>
      <c r="V20">
        <f>+V19*60</f>
        <v>25.71428571428571</v>
      </c>
      <c r="W20">
        <f>+W19*60</f>
        <v>34.285714285714285</v>
      </c>
    </row>
    <row r="21" spans="1:23" ht="12.75">
      <c r="A21" t="s">
        <v>10</v>
      </c>
      <c r="D21">
        <f>+D18-D20</f>
        <v>218</v>
      </c>
      <c r="H21" t="s">
        <v>10</v>
      </c>
      <c r="M21">
        <f>+M18-M20</f>
        <v>213</v>
      </c>
      <c r="V21">
        <f>+V20-INT(V20)</f>
        <v>0.7142857142857117</v>
      </c>
      <c r="W21">
        <f>+W20-INT(W20)</f>
        <v>0.2857142857142847</v>
      </c>
    </row>
    <row r="22" spans="1:23" ht="12.75">
      <c r="A22" t="s">
        <v>11</v>
      </c>
      <c r="D22" s="7">
        <f>+D21/(D15+D19)</f>
        <v>4.844444444444444</v>
      </c>
      <c r="H22" t="s">
        <v>11</v>
      </c>
      <c r="M22" s="7">
        <f>+M21/(M15+M19)</f>
        <v>6.65625</v>
      </c>
      <c r="V22">
        <f>+V21*60</f>
        <v>42.857142857142705</v>
      </c>
      <c r="W22">
        <f>+W21*60</f>
        <v>17.142857142857082</v>
      </c>
    </row>
    <row r="23" spans="1:23" ht="12.75">
      <c r="A23" t="s">
        <v>12</v>
      </c>
      <c r="D23" s="7">
        <f>+D18/D16</f>
        <v>13.588235294117647</v>
      </c>
      <c r="H23" t="s">
        <v>12</v>
      </c>
      <c r="M23" s="7">
        <f>+M18/M16</f>
        <v>9.26086956521739</v>
      </c>
      <c r="U23">
        <v>0</v>
      </c>
      <c r="V23" s="11">
        <f>ROUND(V22,0)</f>
        <v>43</v>
      </c>
      <c r="W23">
        <f>ROUND(W22,0)</f>
        <v>17</v>
      </c>
    </row>
    <row r="24" spans="22:23" ht="12.75">
      <c r="V24">
        <f>INT(V20)</f>
        <v>25</v>
      </c>
      <c r="W24">
        <f>INT(W20)</f>
        <v>34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246</v>
      </c>
      <c r="H26" t="s">
        <v>14</v>
      </c>
      <c r="M26">
        <f>+M21+M12</f>
        <v>367</v>
      </c>
      <c r="Q26" s="9"/>
      <c r="R26" s="9"/>
      <c r="V26" s="14" t="str">
        <f>+V24&amp;V25&amp;V23</f>
        <v>25:43</v>
      </c>
      <c r="W26" s="9" t="str">
        <f>+W24&amp;W25&amp;W23</f>
        <v>34:17</v>
      </c>
    </row>
    <row r="27" spans="1:23" ht="12.75">
      <c r="A27" t="s">
        <v>15</v>
      </c>
      <c r="D27" s="7">
        <f>+D12/D26*100</f>
        <v>11.38211382113821</v>
      </c>
      <c r="H27" t="s">
        <v>15</v>
      </c>
      <c r="M27" s="7">
        <f>+M12/M26*100</f>
        <v>41.96185286103542</v>
      </c>
      <c r="V27" s="9" t="str">
        <f>IF(V23&lt;10,+V24&amp;V25&amp;$U$23&amp;V23,+V24&amp;V25&amp;V23)</f>
        <v>25:43</v>
      </c>
      <c r="W27" s="9" t="str">
        <f>IF(W23&lt;10,+W24&amp;W25&amp;$U$23&amp;W23,+W24&amp;W25&amp;W23)</f>
        <v>34:17</v>
      </c>
    </row>
    <row r="28" spans="1:13" ht="12.75">
      <c r="A28" s="1" t="s">
        <v>86</v>
      </c>
      <c r="D28" s="7">
        <f>+D21/D26*100</f>
        <v>88.6178861788618</v>
      </c>
      <c r="H28" s="1" t="s">
        <v>86</v>
      </c>
      <c r="M28" s="7">
        <f>+M21/M26*100</f>
        <v>58.03814713896458</v>
      </c>
    </row>
    <row r="30" spans="1:13" ht="12.75">
      <c r="A30" t="s">
        <v>16</v>
      </c>
      <c r="D30">
        <f>+D11+D15+D19</f>
        <v>63</v>
      </c>
      <c r="H30" t="s">
        <v>16</v>
      </c>
      <c r="M30">
        <f>+M15+M11+M19</f>
        <v>72</v>
      </c>
    </row>
    <row r="31" spans="1:13" ht="12.75">
      <c r="A31" t="s">
        <v>17</v>
      </c>
      <c r="D31" s="8">
        <f>+D26/D30</f>
        <v>3.9047619047619047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5.097222222222222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4</v>
      </c>
      <c r="H34" t="s">
        <v>19</v>
      </c>
      <c r="M34" s="2">
        <v>1</v>
      </c>
    </row>
    <row r="35" spans="1:13" ht="12.75">
      <c r="A35" t="s">
        <v>20</v>
      </c>
      <c r="D35" s="2">
        <v>43</v>
      </c>
      <c r="H35" t="s">
        <v>20</v>
      </c>
      <c r="M35" s="2">
        <v>38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4</v>
      </c>
      <c r="H38" t="s">
        <v>22</v>
      </c>
      <c r="M38" s="2">
        <v>5</v>
      </c>
    </row>
    <row r="39" spans="1:13" ht="12.75">
      <c r="A39" t="s">
        <v>23</v>
      </c>
      <c r="D39" s="2">
        <v>165</v>
      </c>
      <c r="H39" t="s">
        <v>23</v>
      </c>
      <c r="M39" s="2">
        <v>199</v>
      </c>
    </row>
    <row r="40" spans="1:13" ht="12.75">
      <c r="A40" t="s">
        <v>24</v>
      </c>
      <c r="D40" s="8">
        <f>+D39/D38</f>
        <v>41.25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39.8</v>
      </c>
    </row>
    <row r="42" spans="1:13" ht="12.75">
      <c r="A42" t="s">
        <v>25</v>
      </c>
      <c r="D42" s="2">
        <v>2</v>
      </c>
      <c r="H42" t="s">
        <v>25</v>
      </c>
      <c r="M42" s="2">
        <v>0</v>
      </c>
    </row>
    <row r="43" spans="1:13" ht="12.75">
      <c r="A43" t="s">
        <v>26</v>
      </c>
      <c r="D43" s="2">
        <v>1</v>
      </c>
      <c r="H43" t="s">
        <v>26</v>
      </c>
      <c r="M43" s="2">
        <v>0</v>
      </c>
    </row>
    <row r="44" spans="1:13" ht="12.75">
      <c r="A44" t="s">
        <v>27</v>
      </c>
      <c r="D44" s="8">
        <f>+D43/D42</f>
        <v>0.5</v>
      </c>
      <c r="H44" t="s">
        <v>27</v>
      </c>
      <c r="M44" s="8">
        <v>0</v>
      </c>
    </row>
    <row r="45" spans="1:13" ht="12.75">
      <c r="A45" t="s">
        <v>108</v>
      </c>
      <c r="D45" s="2">
        <v>2</v>
      </c>
      <c r="H45" t="s">
        <v>108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3</v>
      </c>
      <c r="H48" t="s">
        <v>30</v>
      </c>
      <c r="M48" s="2">
        <v>0</v>
      </c>
    </row>
    <row r="49" spans="1:13" ht="12.75">
      <c r="A49" t="s">
        <v>26</v>
      </c>
      <c r="D49" s="2">
        <v>54</v>
      </c>
      <c r="H49" t="s">
        <v>26</v>
      </c>
      <c r="M49" s="2">
        <v>0</v>
      </c>
    </row>
    <row r="50" spans="1:13" ht="12.75">
      <c r="A50" t="s">
        <v>27</v>
      </c>
      <c r="D50" s="8">
        <f>+D49/D48</f>
        <v>18</v>
      </c>
      <c r="H50" t="s">
        <v>27</v>
      </c>
      <c r="M50" s="8">
        <v>0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8</v>
      </c>
      <c r="H53" t="s">
        <v>31</v>
      </c>
      <c r="M53" s="2">
        <v>15</v>
      </c>
    </row>
    <row r="54" spans="1:13" ht="12.75">
      <c r="A54" t="s">
        <v>32</v>
      </c>
      <c r="D54" s="2">
        <v>75</v>
      </c>
      <c r="H54" t="s">
        <v>32</v>
      </c>
      <c r="M54" s="2">
        <v>143</v>
      </c>
    </row>
    <row r="56" spans="1:13" ht="12.75">
      <c r="A56" t="s">
        <v>33</v>
      </c>
      <c r="D56" s="2">
        <v>2</v>
      </c>
      <c r="H56" t="s">
        <v>33</v>
      </c>
      <c r="M56" s="2">
        <v>0</v>
      </c>
    </row>
    <row r="57" spans="1:13" ht="12.75">
      <c r="A57" t="s">
        <v>101</v>
      </c>
      <c r="D57" s="2">
        <v>2</v>
      </c>
      <c r="H57" t="s">
        <v>101</v>
      </c>
      <c r="M57" s="2">
        <v>0</v>
      </c>
    </row>
    <row r="59" spans="1:13" ht="12.75">
      <c r="A59" t="s">
        <v>34</v>
      </c>
      <c r="D59" s="2">
        <v>0</v>
      </c>
      <c r="H59" t="s">
        <v>34</v>
      </c>
      <c r="M59" s="2">
        <v>37</v>
      </c>
    </row>
    <row r="60" spans="1:13" ht="12.75">
      <c r="A60" t="s">
        <v>35</v>
      </c>
      <c r="D60" s="2">
        <v>0</v>
      </c>
      <c r="H60" t="s">
        <v>35</v>
      </c>
      <c r="M60" s="2">
        <v>4</v>
      </c>
    </row>
    <row r="61" spans="1:13" ht="12.75">
      <c r="A61" t="s">
        <v>36</v>
      </c>
      <c r="D61" s="2">
        <v>0</v>
      </c>
      <c r="H61" t="s">
        <v>36</v>
      </c>
      <c r="M61" s="2">
        <v>3</v>
      </c>
    </row>
    <row r="62" spans="1:13" ht="12.75">
      <c r="A62" t="s">
        <v>37</v>
      </c>
      <c r="D62" s="2">
        <v>0</v>
      </c>
      <c r="H62" t="s">
        <v>37</v>
      </c>
      <c r="M62" s="2">
        <v>1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0</v>
      </c>
      <c r="H64" t="s">
        <v>39</v>
      </c>
      <c r="M64" s="2">
        <v>4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0</v>
      </c>
      <c r="H66" t="s">
        <v>41</v>
      </c>
      <c r="M66" s="2">
        <v>3</v>
      </c>
    </row>
    <row r="67" spans="1:13" ht="12.75">
      <c r="A67" t="s">
        <v>42</v>
      </c>
      <c r="D67" s="2">
        <v>1</v>
      </c>
      <c r="H67" t="s">
        <v>42</v>
      </c>
      <c r="M67" s="2">
        <v>3</v>
      </c>
    </row>
    <row r="68" spans="1:13" ht="12.75">
      <c r="A68" t="s">
        <v>43</v>
      </c>
      <c r="D68" s="8">
        <f>+D66/D67*100</f>
        <v>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92</v>
      </c>
      <c r="D69" s="10" t="str">
        <f>IF(V23&lt;10,V27,V26)</f>
        <v>25:43</v>
      </c>
      <c r="E69" s="8"/>
      <c r="F69" s="8"/>
      <c r="H69" t="s">
        <v>92</v>
      </c>
      <c r="M69" s="10" t="str">
        <f>IF(W23&lt;10,W27,W26)</f>
        <v>34:17</v>
      </c>
    </row>
    <row r="70" spans="1:13" ht="12.75">
      <c r="A70" t="s">
        <v>102</v>
      </c>
      <c r="D70" s="23">
        <f>D161</f>
        <v>38.46153846153847</v>
      </c>
      <c r="E70" s="8"/>
      <c r="F70" s="8"/>
      <c r="H70" t="s">
        <v>102</v>
      </c>
      <c r="M70" s="23">
        <f>M161</f>
        <v>50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2" t="s">
        <v>80</v>
      </c>
    </row>
    <row r="74" spans="1:8" ht="12.75">
      <c r="A74" t="s">
        <v>109</v>
      </c>
      <c r="C74">
        <v>13</v>
      </c>
      <c r="D74">
        <v>15</v>
      </c>
      <c r="E74" s="12">
        <f aca="true" t="shared" si="0" ref="E74:E84">+D74/C74</f>
        <v>1.1538461538461537</v>
      </c>
      <c r="F74">
        <v>12</v>
      </c>
      <c r="G74">
        <v>0</v>
      </c>
      <c r="H74">
        <v>0</v>
      </c>
    </row>
    <row r="75" spans="1:5" ht="12.75">
      <c r="A75" t="s">
        <v>110</v>
      </c>
      <c r="E75" s="12" t="e">
        <f t="shared" si="0"/>
        <v>#DIV/0!</v>
      </c>
    </row>
    <row r="76" spans="1:8" ht="12.75">
      <c r="A76" t="s">
        <v>111</v>
      </c>
      <c r="C76">
        <v>2</v>
      </c>
      <c r="D76">
        <v>16</v>
      </c>
      <c r="E76" s="12">
        <f t="shared" si="0"/>
        <v>8</v>
      </c>
      <c r="F76">
        <v>10</v>
      </c>
      <c r="G76">
        <v>0</v>
      </c>
      <c r="H76">
        <v>0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8" ht="12.75">
      <c r="A79" t="s">
        <v>114</v>
      </c>
      <c r="C79">
        <v>2</v>
      </c>
      <c r="D79">
        <v>-3</v>
      </c>
      <c r="E79" s="12">
        <f t="shared" si="0"/>
        <v>-1.5</v>
      </c>
      <c r="F79">
        <v>0</v>
      </c>
      <c r="G79">
        <v>0</v>
      </c>
      <c r="H79">
        <v>0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spans="1:8" ht="12.75">
      <c r="A84" t="s">
        <v>148</v>
      </c>
      <c r="C84">
        <v>1</v>
      </c>
      <c r="D84">
        <v>6</v>
      </c>
      <c r="E84" s="12">
        <f t="shared" si="0"/>
        <v>6</v>
      </c>
      <c r="F84">
        <v>6</v>
      </c>
      <c r="G84">
        <v>0</v>
      </c>
      <c r="H84">
        <v>0</v>
      </c>
    </row>
    <row r="85" spans="1:8" ht="12.75">
      <c r="A85" s="2" t="s">
        <v>52</v>
      </c>
      <c r="C85" s="3" t="s">
        <v>53</v>
      </c>
      <c r="D85" s="3" t="s">
        <v>48</v>
      </c>
      <c r="E85" s="15" t="s">
        <v>49</v>
      </c>
      <c r="F85" s="3" t="s">
        <v>50</v>
      </c>
      <c r="G85" s="3" t="s">
        <v>51</v>
      </c>
      <c r="H85" s="3" t="s">
        <v>80</v>
      </c>
    </row>
    <row r="86" spans="1:8" ht="12.75">
      <c r="A86" t="s">
        <v>109</v>
      </c>
      <c r="C86">
        <v>2</v>
      </c>
      <c r="D86">
        <v>10</v>
      </c>
      <c r="E86" s="12">
        <f aca="true" t="shared" si="1" ref="E86:E99">+D86/C86</f>
        <v>5</v>
      </c>
      <c r="F86">
        <v>6</v>
      </c>
      <c r="G86">
        <v>0</v>
      </c>
      <c r="H86">
        <v>0</v>
      </c>
    </row>
    <row r="87" spans="1:8" ht="12.75">
      <c r="A87" t="s">
        <v>118</v>
      </c>
      <c r="C87">
        <v>4</v>
      </c>
      <c r="D87">
        <v>53</v>
      </c>
      <c r="E87" s="12">
        <f t="shared" si="1"/>
        <v>13.25</v>
      </c>
      <c r="F87">
        <v>24</v>
      </c>
      <c r="G87">
        <v>0</v>
      </c>
      <c r="H87">
        <v>0</v>
      </c>
    </row>
    <row r="88" spans="1:8" ht="12.75">
      <c r="A88" t="s">
        <v>119</v>
      </c>
      <c r="C88">
        <v>3</v>
      </c>
      <c r="D88">
        <v>58</v>
      </c>
      <c r="E88" s="12">
        <f t="shared" si="1"/>
        <v>19.333333333333332</v>
      </c>
      <c r="F88">
        <v>29</v>
      </c>
      <c r="G88">
        <v>0</v>
      </c>
      <c r="H88">
        <v>0</v>
      </c>
    </row>
    <row r="89" spans="1:8" ht="12.75">
      <c r="A89" t="s">
        <v>120</v>
      </c>
      <c r="C89">
        <v>1</v>
      </c>
      <c r="D89">
        <v>5</v>
      </c>
      <c r="E89" s="12">
        <f t="shared" si="1"/>
        <v>5</v>
      </c>
      <c r="F89">
        <v>5</v>
      </c>
      <c r="G89">
        <v>0</v>
      </c>
      <c r="H89">
        <v>0</v>
      </c>
    </row>
    <row r="90" spans="1:8" ht="12.75">
      <c r="A90" t="s">
        <v>121</v>
      </c>
      <c r="C90">
        <v>6</v>
      </c>
      <c r="D90">
        <v>102</v>
      </c>
      <c r="E90" s="12">
        <f t="shared" si="1"/>
        <v>17</v>
      </c>
      <c r="F90">
        <v>33</v>
      </c>
      <c r="G90">
        <v>0</v>
      </c>
      <c r="H90">
        <v>0</v>
      </c>
    </row>
    <row r="91" spans="1:8" ht="12.75">
      <c r="A91" t="s">
        <v>110</v>
      </c>
      <c r="C91">
        <v>1</v>
      </c>
      <c r="D91">
        <v>3</v>
      </c>
      <c r="E91" s="12">
        <f t="shared" si="1"/>
        <v>3</v>
      </c>
      <c r="F91">
        <v>3</v>
      </c>
      <c r="G91">
        <v>0</v>
      </c>
      <c r="H91">
        <v>0</v>
      </c>
    </row>
    <row r="92" spans="1:5" ht="12.75">
      <c r="A92" t="s">
        <v>122</v>
      </c>
      <c r="E92" s="12" t="e">
        <f t="shared" si="1"/>
        <v>#DIV/0!</v>
      </c>
    </row>
    <row r="93" spans="1:5" ht="12.75">
      <c r="A93" t="s">
        <v>123</v>
      </c>
      <c r="E93" s="12" t="e">
        <f t="shared" si="1"/>
        <v>#DIV/0!</v>
      </c>
    </row>
    <row r="94" spans="1:5" ht="12.75">
      <c r="A94" t="s">
        <v>114</v>
      </c>
      <c r="E94" s="12" t="e">
        <f t="shared" si="1"/>
        <v>#DIV/0!</v>
      </c>
    </row>
    <row r="95" spans="1:5" ht="12.75">
      <c r="A95" t="s">
        <v>124</v>
      </c>
      <c r="E95" s="12" t="e">
        <f t="shared" si="1"/>
        <v>#DIV/0!</v>
      </c>
    </row>
    <row r="96" spans="1:5" ht="12.75">
      <c r="A96" t="s">
        <v>125</v>
      </c>
      <c r="E96" s="12" t="e">
        <f t="shared" si="1"/>
        <v>#DIV/0!</v>
      </c>
    </row>
    <row r="97" spans="1:5" ht="12.75">
      <c r="A97" t="s">
        <v>112</v>
      </c>
      <c r="E97" s="12" t="e">
        <f t="shared" si="1"/>
        <v>#DIV/0!</v>
      </c>
    </row>
    <row r="98" spans="1:5" ht="12.75">
      <c r="A98" t="s">
        <v>126</v>
      </c>
      <c r="E98" s="12" t="e">
        <f t="shared" si="1"/>
        <v>#DIV/0!</v>
      </c>
    </row>
    <row r="99" spans="1:5" ht="12.75">
      <c r="A99" t="s">
        <v>127</v>
      </c>
      <c r="E99" s="12" t="e">
        <f t="shared" si="1"/>
        <v>#DIV/0!</v>
      </c>
    </row>
    <row r="100" ht="12.75">
      <c r="E100" s="8"/>
    </row>
    <row r="101" spans="1:13" ht="12.75">
      <c r="A101" s="2"/>
      <c r="B101" s="2"/>
      <c r="C101" s="3"/>
      <c r="D101" s="3"/>
      <c r="E101" s="15" t="s">
        <v>57</v>
      </c>
      <c r="F101" s="3" t="s">
        <v>58</v>
      </c>
      <c r="G101" s="3"/>
      <c r="H101" s="3"/>
      <c r="I101" s="3" t="s">
        <v>61</v>
      </c>
      <c r="J101" s="3" t="s">
        <v>63</v>
      </c>
      <c r="K101" s="3" t="s">
        <v>57</v>
      </c>
      <c r="L101" s="3" t="s">
        <v>49</v>
      </c>
      <c r="M101" s="3"/>
    </row>
    <row r="102" spans="1:14" ht="12.75">
      <c r="A102" s="2" t="s">
        <v>54</v>
      </c>
      <c r="B102" s="2"/>
      <c r="C102" s="3" t="s">
        <v>55</v>
      </c>
      <c r="D102" s="3" t="s">
        <v>56</v>
      </c>
      <c r="E102" s="15" t="s">
        <v>56</v>
      </c>
      <c r="F102" s="3" t="s">
        <v>59</v>
      </c>
      <c r="G102" s="3" t="s">
        <v>51</v>
      </c>
      <c r="H102" s="3" t="s">
        <v>60</v>
      </c>
      <c r="I102" s="5" t="s">
        <v>62</v>
      </c>
      <c r="J102" s="3" t="s">
        <v>51</v>
      </c>
      <c r="K102" s="3" t="s">
        <v>64</v>
      </c>
      <c r="L102" s="3" t="s">
        <v>65</v>
      </c>
      <c r="M102" s="3" t="s">
        <v>66</v>
      </c>
      <c r="N102" s="3" t="s">
        <v>80</v>
      </c>
    </row>
    <row r="103" spans="1:25" ht="12.75">
      <c r="A103" t="s">
        <v>115</v>
      </c>
      <c r="C103">
        <v>30</v>
      </c>
      <c r="D103">
        <v>13</v>
      </c>
      <c r="E103" s="12">
        <f>+D103/C103*100</f>
        <v>43.333333333333336</v>
      </c>
      <c r="F103">
        <v>166</v>
      </c>
      <c r="G103">
        <v>0</v>
      </c>
      <c r="H103">
        <v>33</v>
      </c>
      <c r="I103">
        <v>3</v>
      </c>
      <c r="J103" s="8">
        <f>+G103/C103*100</f>
        <v>0</v>
      </c>
      <c r="K103" s="12">
        <f>+I103/C103*100</f>
        <v>10</v>
      </c>
      <c r="L103" s="12">
        <f>+F103/C103</f>
        <v>5.533333333333333</v>
      </c>
      <c r="M103" s="12">
        <f>100*(S103+U103+W103+Y103)/6</f>
        <v>21.666666666666668</v>
      </c>
      <c r="R103">
        <f>+(E103-30)/20</f>
        <v>0.6666666666666667</v>
      </c>
      <c r="S103" s="2">
        <f>IF(R103&lt;0,0,IF(R103&gt;2.375,2.375,R103))</f>
        <v>0.6666666666666667</v>
      </c>
      <c r="T103" s="6">
        <f>+(L103-3)/4</f>
        <v>0.6333333333333333</v>
      </c>
      <c r="U103" s="2">
        <f>IF(T103&lt;0,0,IF(T103&gt;2.375,2.375,T103))</f>
        <v>0.6333333333333333</v>
      </c>
      <c r="V103">
        <f>+J103/5</f>
        <v>0</v>
      </c>
      <c r="W103" s="2">
        <f>IF(V103&lt;0,0,IF(V103&gt;2.375,2.375,V103))</f>
        <v>0</v>
      </c>
      <c r="X103">
        <f>(9.5-K103)/4</f>
        <v>-0.125</v>
      </c>
      <c r="Y103" s="2">
        <f>IF(X103&lt;0,0,X103)</f>
        <v>0</v>
      </c>
    </row>
    <row r="104" spans="1:25" ht="12.75">
      <c r="A104" t="s">
        <v>111</v>
      </c>
      <c r="C104">
        <v>13</v>
      </c>
      <c r="D104">
        <v>4</v>
      </c>
      <c r="E104" s="12">
        <f>+D104/C104*100</f>
        <v>30.76923076923077</v>
      </c>
      <c r="F104">
        <v>65</v>
      </c>
      <c r="G104">
        <v>0</v>
      </c>
      <c r="H104">
        <v>29</v>
      </c>
      <c r="I104">
        <v>2</v>
      </c>
      <c r="J104" s="8">
        <f>+G104/C104*100</f>
        <v>0</v>
      </c>
      <c r="K104" s="12">
        <f>+I104/C104*100</f>
        <v>15.384615384615385</v>
      </c>
      <c r="L104" s="12">
        <f>+F104/C104</f>
        <v>5</v>
      </c>
      <c r="M104" s="12">
        <f>100*(S104+U104+W104+Y104)/6</f>
        <v>8.974358974358976</v>
      </c>
      <c r="R104">
        <f>+(E104-30)/20</f>
        <v>0.038461538461538505</v>
      </c>
      <c r="S104" s="2">
        <f>IF(R104&lt;0,0,IF(R104&gt;2.375,2.375,R104))</f>
        <v>0.038461538461538505</v>
      </c>
      <c r="T104" s="6">
        <f>+(L104-3)/4</f>
        <v>0.5</v>
      </c>
      <c r="U104" s="2">
        <f>IF(T104&lt;0,0,IF(T104&gt;2.375,2.375,T104))</f>
        <v>0.5</v>
      </c>
      <c r="V104">
        <f>+J104/5</f>
        <v>0</v>
      </c>
      <c r="W104" s="2">
        <f>IF(V104&lt;0,0,IF(V104&gt;2.375,2.375,V104))</f>
        <v>0</v>
      </c>
      <c r="X104">
        <f>(9.5-K104)/4</f>
        <v>-1.4711538461538463</v>
      </c>
      <c r="Y104" s="2">
        <f>IF(X104&lt;0,0,X104)</f>
        <v>0</v>
      </c>
    </row>
    <row r="105" spans="1:25" ht="12.75">
      <c r="A105" t="s">
        <v>128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109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7" spans="1:25" ht="12.75">
      <c r="A107" t="s">
        <v>129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10" spans="1:9" ht="12.75">
      <c r="A110" s="2" t="s">
        <v>67</v>
      </c>
      <c r="C110" s="3" t="s">
        <v>68</v>
      </c>
      <c r="D110" s="3" t="s">
        <v>69</v>
      </c>
      <c r="E110" s="3" t="s">
        <v>70</v>
      </c>
      <c r="F110" s="3" t="s">
        <v>49</v>
      </c>
      <c r="G110" s="3" t="s">
        <v>60</v>
      </c>
      <c r="H110" s="3" t="s">
        <v>51</v>
      </c>
      <c r="I110" s="3" t="s">
        <v>80</v>
      </c>
    </row>
    <row r="111" spans="1:9" ht="12.75">
      <c r="A111" t="s">
        <v>130</v>
      </c>
      <c r="C111">
        <v>0</v>
      </c>
      <c r="D111">
        <v>0</v>
      </c>
      <c r="E111">
        <v>0</v>
      </c>
      <c r="F111" s="12">
        <v>0</v>
      </c>
      <c r="G111">
        <v>0</v>
      </c>
      <c r="H111">
        <v>0</v>
      </c>
      <c r="I111">
        <v>0</v>
      </c>
    </row>
    <row r="112" spans="1:6" ht="12.75">
      <c r="A112" t="s">
        <v>131</v>
      </c>
      <c r="F112" s="12" t="e">
        <f>+E112/C112</f>
        <v>#DIV/0!</v>
      </c>
    </row>
    <row r="113" spans="1:9" ht="12.75">
      <c r="A113" t="s">
        <v>118</v>
      </c>
      <c r="C113">
        <v>2</v>
      </c>
      <c r="D113">
        <v>0</v>
      </c>
      <c r="E113">
        <v>1</v>
      </c>
      <c r="F113" s="12">
        <f>+E113/C113</f>
        <v>0.5</v>
      </c>
      <c r="G113">
        <v>1</v>
      </c>
      <c r="H113">
        <v>0</v>
      </c>
      <c r="I113">
        <v>0</v>
      </c>
    </row>
    <row r="114" spans="1:6" ht="12.75">
      <c r="A114" t="s">
        <v>132</v>
      </c>
      <c r="F114" s="12" t="e">
        <f>+E114/C114</f>
        <v>#DIV/0!</v>
      </c>
    </row>
    <row r="115" spans="1:6" ht="12.75">
      <c r="A115" t="s">
        <v>112</v>
      </c>
      <c r="F115" s="12" t="e">
        <f>+E115/C115</f>
        <v>#DIV/0!</v>
      </c>
    </row>
    <row r="117" spans="1:8" ht="12.75">
      <c r="A117" s="2" t="s">
        <v>30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51</v>
      </c>
      <c r="H117" s="3" t="s">
        <v>80</v>
      </c>
    </row>
    <row r="118" spans="1:5" ht="12.75">
      <c r="A118" t="s">
        <v>130</v>
      </c>
      <c r="E118" s="12" t="e">
        <f aca="true" t="shared" si="2" ref="E118:E126">+D118/C118</f>
        <v>#DIV/0!</v>
      </c>
    </row>
    <row r="119" spans="1:5" ht="12.75">
      <c r="A119" t="s">
        <v>112</v>
      </c>
      <c r="E119" s="12" t="e">
        <f t="shared" si="2"/>
        <v>#DIV/0!</v>
      </c>
    </row>
    <row r="120" spans="1:8" ht="12.75">
      <c r="A120" t="s">
        <v>116</v>
      </c>
      <c r="C120">
        <v>3</v>
      </c>
      <c r="D120">
        <v>54</v>
      </c>
      <c r="E120" s="12">
        <f t="shared" si="2"/>
        <v>18</v>
      </c>
      <c r="F120">
        <v>19</v>
      </c>
      <c r="G120">
        <v>0</v>
      </c>
      <c r="H120">
        <v>0</v>
      </c>
    </row>
    <row r="121" spans="1:5" ht="12.75">
      <c r="A121" t="s">
        <v>124</v>
      </c>
      <c r="E121" s="12" t="e">
        <f t="shared" si="2"/>
        <v>#DIV/0!</v>
      </c>
    </row>
    <row r="122" spans="1:5" ht="12.75">
      <c r="A122" t="s">
        <v>122</v>
      </c>
      <c r="E122" s="12" t="e">
        <f t="shared" si="2"/>
        <v>#DIV/0!</v>
      </c>
    </row>
    <row r="123" spans="1:5" ht="12.75">
      <c r="A123" t="s">
        <v>114</v>
      </c>
      <c r="E123" s="12" t="e">
        <f t="shared" si="2"/>
        <v>#DIV/0!</v>
      </c>
    </row>
    <row r="124" spans="1:5" ht="12.75">
      <c r="A124" t="s">
        <v>126</v>
      </c>
      <c r="E124" s="12" t="e">
        <f t="shared" si="2"/>
        <v>#DIV/0!</v>
      </c>
    </row>
    <row r="125" spans="1:5" ht="12.75">
      <c r="A125" t="s">
        <v>127</v>
      </c>
      <c r="E125" s="12" t="e">
        <f t="shared" si="2"/>
        <v>#DIV/0!</v>
      </c>
    </row>
    <row r="126" spans="1:5" ht="12.75">
      <c r="A126" t="s">
        <v>106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129</v>
      </c>
      <c r="C129">
        <v>4</v>
      </c>
      <c r="D129">
        <v>165</v>
      </c>
      <c r="E129" s="12">
        <f>+D129/C129</f>
        <v>41.25</v>
      </c>
      <c r="F129">
        <v>49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133</v>
      </c>
      <c r="C132">
        <v>1</v>
      </c>
      <c r="D132">
        <v>1</v>
      </c>
      <c r="E132">
        <v>0</v>
      </c>
      <c r="F132">
        <v>0</v>
      </c>
      <c r="G132">
        <v>1</v>
      </c>
      <c r="H132">
        <v>0</v>
      </c>
      <c r="I132" s="12">
        <f>+H132/G132*100</f>
        <v>0</v>
      </c>
      <c r="J132">
        <v>0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5" ht="12.75">
      <c r="A135" t="s">
        <v>134</v>
      </c>
      <c r="E135" s="12" t="e">
        <f>+D135/C135</f>
        <v>#DIV/0!</v>
      </c>
    </row>
    <row r="136" spans="1:8" ht="12.75">
      <c r="A136" t="s">
        <v>135</v>
      </c>
      <c r="C136">
        <v>1</v>
      </c>
      <c r="D136">
        <v>38</v>
      </c>
      <c r="E136" s="12">
        <f aca="true" t="shared" si="3" ref="E136:E143">+D136/C136</f>
        <v>38</v>
      </c>
      <c r="F136">
        <v>38</v>
      </c>
      <c r="G136">
        <v>0</v>
      </c>
      <c r="H136">
        <v>0</v>
      </c>
    </row>
    <row r="137" spans="1:5" ht="12.75">
      <c r="A137" t="s">
        <v>130</v>
      </c>
      <c r="E137" s="12" t="e">
        <f t="shared" si="3"/>
        <v>#DIV/0!</v>
      </c>
    </row>
    <row r="138" spans="1:5" ht="12.75">
      <c r="A138" t="s">
        <v>131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137</v>
      </c>
      <c r="E140" s="12" t="e">
        <f t="shared" si="3"/>
        <v>#DIV/0!</v>
      </c>
    </row>
    <row r="141" spans="1:5" ht="12.75">
      <c r="A141" t="s">
        <v>138</v>
      </c>
      <c r="E141" s="12" t="e">
        <f t="shared" si="3"/>
        <v>#DIV/0!</v>
      </c>
    </row>
    <row r="142" spans="1:5" ht="12.75">
      <c r="A142" t="s">
        <v>139</v>
      </c>
      <c r="E142" s="12" t="e">
        <f t="shared" si="3"/>
        <v>#DIV/0!</v>
      </c>
    </row>
    <row r="143" spans="1:5" ht="12.75">
      <c r="A143" t="s">
        <v>140</v>
      </c>
      <c r="E143" s="12" t="e">
        <f t="shared" si="3"/>
        <v>#DIV/0!</v>
      </c>
    </row>
    <row r="145" spans="1:4" ht="12.75">
      <c r="A145" s="2" t="s">
        <v>90</v>
      </c>
      <c r="C145" s="2" t="s">
        <v>68</v>
      </c>
      <c r="D145" s="2"/>
    </row>
    <row r="146" ht="12.75">
      <c r="A146" t="s">
        <v>117</v>
      </c>
    </row>
    <row r="147" ht="12.75">
      <c r="A147" t="s">
        <v>141</v>
      </c>
    </row>
    <row r="148" ht="12.75">
      <c r="A148" t="s">
        <v>142</v>
      </c>
    </row>
    <row r="149" ht="12.75">
      <c r="A149" t="s">
        <v>143</v>
      </c>
    </row>
    <row r="150" ht="12.75">
      <c r="A150" t="s">
        <v>144</v>
      </c>
    </row>
    <row r="151" ht="12.75">
      <c r="A151" t="s">
        <v>145</v>
      </c>
    </row>
    <row r="152" ht="12.75">
      <c r="A152" t="s">
        <v>140</v>
      </c>
    </row>
    <row r="153" ht="12.75">
      <c r="A153" t="s">
        <v>146</v>
      </c>
    </row>
    <row r="154" ht="12.75">
      <c r="A154" t="s">
        <v>138</v>
      </c>
    </row>
    <row r="155" ht="12.75">
      <c r="A155" t="s">
        <v>139</v>
      </c>
    </row>
    <row r="156" ht="12.75">
      <c r="A156" t="s">
        <v>147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13</v>
      </c>
      <c r="H159" t="s">
        <v>93</v>
      </c>
      <c r="M159">
        <v>16</v>
      </c>
    </row>
    <row r="160" spans="1:13" ht="12.75">
      <c r="A160" t="s">
        <v>94</v>
      </c>
      <c r="D160">
        <v>5</v>
      </c>
      <c r="H160" t="s">
        <v>94</v>
      </c>
      <c r="M160">
        <v>8</v>
      </c>
    </row>
    <row r="161" spans="1:13" ht="12.75">
      <c r="A161" t="s">
        <v>95</v>
      </c>
      <c r="D161">
        <f>D160/D159*100</f>
        <v>38.46153846153847</v>
      </c>
      <c r="H161" t="s">
        <v>95</v>
      </c>
      <c r="M161">
        <f>+M160/M159*100</f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Y161"/>
  <sheetViews>
    <sheetView zoomScalePageLayoutView="0" workbookViewId="0" topLeftCell="A76">
      <selection activeCell="W103" sqref="W103:W107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107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13</v>
      </c>
      <c r="H6" s="1" t="s">
        <v>29</v>
      </c>
      <c r="M6" s="2">
        <f>M7+M8+M9</f>
        <v>28</v>
      </c>
    </row>
    <row r="7" spans="1:13" ht="12.75">
      <c r="A7" s="1" t="s">
        <v>103</v>
      </c>
      <c r="D7" s="2">
        <v>4</v>
      </c>
      <c r="H7" s="1" t="s">
        <v>103</v>
      </c>
      <c r="M7" s="2">
        <v>18</v>
      </c>
    </row>
    <row r="8" spans="1:13" ht="12.75">
      <c r="A8" s="1" t="s">
        <v>105</v>
      </c>
      <c r="D8" s="2">
        <v>6</v>
      </c>
      <c r="H8" s="1" t="s">
        <v>105</v>
      </c>
      <c r="M8" s="2">
        <v>10</v>
      </c>
    </row>
    <row r="9" spans="1:13" ht="12.75">
      <c r="A9" s="1" t="s">
        <v>104</v>
      </c>
      <c r="D9" s="2">
        <v>3</v>
      </c>
      <c r="H9" s="1" t="s">
        <v>104</v>
      </c>
      <c r="M9" s="2">
        <v>0</v>
      </c>
    </row>
    <row r="11" spans="1:23" ht="12.75">
      <c r="A11" t="s">
        <v>1</v>
      </c>
      <c r="D11" s="2">
        <v>22</v>
      </c>
      <c r="H11" t="s">
        <v>1</v>
      </c>
      <c r="M11" s="2">
        <v>42</v>
      </c>
      <c r="V11">
        <f>+D11</f>
        <v>22</v>
      </c>
      <c r="W11">
        <f>+M11</f>
        <v>42</v>
      </c>
    </row>
    <row r="12" spans="1:23" ht="12.75">
      <c r="A12" t="s">
        <v>2</v>
      </c>
      <c r="D12" s="2">
        <v>75</v>
      </c>
      <c r="H12" t="s">
        <v>2</v>
      </c>
      <c r="M12" s="2">
        <v>305</v>
      </c>
      <c r="U12" s="13"/>
      <c r="V12">
        <f>+D16</f>
        <v>19</v>
      </c>
      <c r="W12">
        <f>+M16</f>
        <v>15</v>
      </c>
    </row>
    <row r="13" spans="1:23" ht="12.75">
      <c r="A13" s="1" t="s">
        <v>3</v>
      </c>
      <c r="D13" s="8">
        <f>+D12/D11</f>
        <v>3.409090909090909</v>
      </c>
      <c r="H13" s="1" t="s">
        <v>3</v>
      </c>
      <c r="M13" s="8">
        <f>M12/M11</f>
        <v>7.261904761904762</v>
      </c>
      <c r="V13">
        <f>+(D15-D16)/2</f>
        <v>10</v>
      </c>
      <c r="W13">
        <f>+(M15-M16)/2</f>
        <v>3.5</v>
      </c>
    </row>
    <row r="14" spans="22:23" ht="12.75">
      <c r="V14">
        <f>+D38/2</f>
        <v>3.5</v>
      </c>
      <c r="W14">
        <f>+M38/2</f>
        <v>2</v>
      </c>
    </row>
    <row r="15" spans="1:23" ht="12.75">
      <c r="A15" t="s">
        <v>4</v>
      </c>
      <c r="D15" s="2">
        <v>39</v>
      </c>
      <c r="H15" t="s">
        <v>4</v>
      </c>
      <c r="M15" s="2">
        <v>22</v>
      </c>
      <c r="V15">
        <f>+D42/2</f>
        <v>1.5</v>
      </c>
      <c r="W15">
        <f>+M42/2</f>
        <v>0.5</v>
      </c>
    </row>
    <row r="16" spans="1:23" ht="12.75">
      <c r="A16" t="s">
        <v>5</v>
      </c>
      <c r="D16" s="2">
        <v>19</v>
      </c>
      <c r="H16" t="s">
        <v>5</v>
      </c>
      <c r="M16" s="2">
        <v>15</v>
      </c>
      <c r="V16">
        <f>+D48/2</f>
        <v>3</v>
      </c>
      <c r="W16">
        <f>+M48/2</f>
        <v>1</v>
      </c>
    </row>
    <row r="17" spans="1:13" ht="12.75">
      <c r="A17" t="s">
        <v>6</v>
      </c>
      <c r="D17" s="8">
        <f>+D16/D15*100</f>
        <v>48.717948717948715</v>
      </c>
      <c r="H17" t="s">
        <v>6</v>
      </c>
      <c r="M17" s="8">
        <f>+M16/M15*100</f>
        <v>68.18181818181817</v>
      </c>
    </row>
    <row r="18" spans="1:24" ht="12.75">
      <c r="A18" t="s">
        <v>7</v>
      </c>
      <c r="D18" s="2">
        <v>177</v>
      </c>
      <c r="H18" t="s">
        <v>7</v>
      </c>
      <c r="M18" s="2">
        <v>121</v>
      </c>
      <c r="V18">
        <f>SUM(V11:V16)</f>
        <v>59</v>
      </c>
      <c r="W18">
        <f>SUM(W11:W16)</f>
        <v>64</v>
      </c>
      <c r="X18">
        <f>+W18+V18</f>
        <v>123</v>
      </c>
    </row>
    <row r="19" spans="1:23" ht="12.75">
      <c r="A19" t="s">
        <v>8</v>
      </c>
      <c r="D19" s="2">
        <v>2</v>
      </c>
      <c r="H19" t="s">
        <v>8</v>
      </c>
      <c r="M19" s="2">
        <v>2</v>
      </c>
      <c r="V19">
        <f>+V18/X18</f>
        <v>0.4796747967479675</v>
      </c>
      <c r="W19">
        <f>+W18/X18</f>
        <v>0.5203252032520326</v>
      </c>
    </row>
    <row r="20" spans="1:23" ht="12.75">
      <c r="A20" t="s">
        <v>9</v>
      </c>
      <c r="D20" s="2">
        <v>19</v>
      </c>
      <c r="H20" t="s">
        <v>9</v>
      </c>
      <c r="M20" s="2">
        <v>16</v>
      </c>
      <c r="V20">
        <f>+V19*60</f>
        <v>28.78048780487805</v>
      </c>
      <c r="W20">
        <f>+W19*60</f>
        <v>31.219512195121954</v>
      </c>
    </row>
    <row r="21" spans="1:23" ht="12.75">
      <c r="A21" t="s">
        <v>10</v>
      </c>
      <c r="D21">
        <f>+D18-D20</f>
        <v>158</v>
      </c>
      <c r="H21" t="s">
        <v>10</v>
      </c>
      <c r="M21">
        <f>+M18-M20</f>
        <v>105</v>
      </c>
      <c r="V21">
        <f>+V20-INT(V20)</f>
        <v>0.7804878048780495</v>
      </c>
      <c r="W21">
        <f>+W20-INT(W20)</f>
        <v>0.21951219512195408</v>
      </c>
    </row>
    <row r="22" spans="1:23" ht="12.75">
      <c r="A22" t="s">
        <v>11</v>
      </c>
      <c r="D22" s="7">
        <f>+D21/(D15+D19)</f>
        <v>3.8536585365853657</v>
      </c>
      <c r="H22" t="s">
        <v>11</v>
      </c>
      <c r="M22" s="7">
        <f>+M21/(M15+M19)</f>
        <v>4.375</v>
      </c>
      <c r="V22">
        <f>+V21*60</f>
        <v>46.82926829268297</v>
      </c>
      <c r="W22">
        <f>+W21*60</f>
        <v>13.170731707317245</v>
      </c>
    </row>
    <row r="23" spans="1:23" ht="12.75">
      <c r="A23" t="s">
        <v>12</v>
      </c>
      <c r="D23" s="7">
        <f>+D18/D16</f>
        <v>9.31578947368421</v>
      </c>
      <c r="H23" t="s">
        <v>12</v>
      </c>
      <c r="M23" s="7">
        <f>+M18/M16</f>
        <v>8.066666666666666</v>
      </c>
      <c r="U23">
        <v>0</v>
      </c>
      <c r="V23" s="11">
        <f>ROUND(V22,0)</f>
        <v>47</v>
      </c>
      <c r="W23">
        <f>ROUND(W22,0)</f>
        <v>13</v>
      </c>
    </row>
    <row r="24" spans="22:23" ht="12.75">
      <c r="V24">
        <f>INT(V20)</f>
        <v>28</v>
      </c>
      <c r="W24">
        <f>INT(W20)</f>
        <v>31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233</v>
      </c>
      <c r="H26" t="s">
        <v>14</v>
      </c>
      <c r="M26">
        <f>+M21+M12</f>
        <v>410</v>
      </c>
      <c r="Q26" s="9"/>
      <c r="R26" s="9"/>
      <c r="V26" s="14" t="str">
        <f>+V24&amp;V25&amp;V23</f>
        <v>28:47</v>
      </c>
      <c r="W26" s="9" t="str">
        <f>+W24&amp;W25&amp;W23</f>
        <v>31:13</v>
      </c>
    </row>
    <row r="27" spans="1:23" ht="12.75">
      <c r="A27" t="s">
        <v>15</v>
      </c>
      <c r="D27" s="7">
        <f>+D12/D26*100</f>
        <v>32.18884120171674</v>
      </c>
      <c r="H27" t="s">
        <v>15</v>
      </c>
      <c r="M27" s="7">
        <f>+M12/M26*100</f>
        <v>74.39024390243902</v>
      </c>
      <c r="V27" s="9" t="str">
        <f>IF(V23&lt;10,+V24&amp;V25&amp;$U$23&amp;V23,+V24&amp;V25&amp;V23)</f>
        <v>28:47</v>
      </c>
      <c r="W27" s="9" t="str">
        <f>IF(W23&lt;10,+W24&amp;W25&amp;$U$23&amp;W23,+W24&amp;W25&amp;W23)</f>
        <v>31:13</v>
      </c>
    </row>
    <row r="28" spans="1:13" ht="12.75">
      <c r="A28" s="1" t="s">
        <v>86</v>
      </c>
      <c r="D28" s="7">
        <f>+D21/D26*100</f>
        <v>67.81115879828327</v>
      </c>
      <c r="H28" s="1" t="s">
        <v>86</v>
      </c>
      <c r="M28" s="7">
        <f>+M21/M26*100</f>
        <v>25.609756097560975</v>
      </c>
    </row>
    <row r="30" spans="1:13" ht="12.75">
      <c r="A30" t="s">
        <v>16</v>
      </c>
      <c r="D30">
        <f>+D11+D15+D19</f>
        <v>63</v>
      </c>
      <c r="H30" t="s">
        <v>16</v>
      </c>
      <c r="M30">
        <f>+M11+M15+M19</f>
        <v>66</v>
      </c>
    </row>
    <row r="31" spans="1:13" ht="12.75">
      <c r="A31" t="s">
        <v>17</v>
      </c>
      <c r="D31" s="8">
        <f>+D26/D30</f>
        <v>3.6984126984126986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6.212121212121212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2</v>
      </c>
      <c r="H34" t="s">
        <v>19</v>
      </c>
      <c r="M34" s="2">
        <v>0</v>
      </c>
    </row>
    <row r="35" spans="1:13" ht="12.75">
      <c r="A35" t="s">
        <v>20</v>
      </c>
      <c r="D35" s="2">
        <v>-3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7</v>
      </c>
      <c r="H38" t="s">
        <v>22</v>
      </c>
      <c r="M38" s="2">
        <v>4</v>
      </c>
    </row>
    <row r="39" spans="1:13" ht="12.75">
      <c r="A39" t="s">
        <v>23</v>
      </c>
      <c r="D39" s="2">
        <v>303</v>
      </c>
      <c r="H39" t="s">
        <v>23</v>
      </c>
      <c r="M39" s="2">
        <v>199</v>
      </c>
    </row>
    <row r="40" spans="1:13" ht="12.75">
      <c r="A40" t="s">
        <v>24</v>
      </c>
      <c r="D40" s="8">
        <f>+D39/D38</f>
        <v>43.285714285714285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49.75</v>
      </c>
    </row>
    <row r="42" spans="1:13" ht="12.75">
      <c r="A42" t="s">
        <v>25</v>
      </c>
      <c r="D42" s="2">
        <v>3</v>
      </c>
      <c r="H42" t="s">
        <v>25</v>
      </c>
      <c r="M42" s="2">
        <v>1</v>
      </c>
    </row>
    <row r="43" spans="1:13" ht="12.75">
      <c r="A43" t="s">
        <v>26</v>
      </c>
      <c r="D43" s="2">
        <v>20</v>
      </c>
      <c r="H43" t="s">
        <v>26</v>
      </c>
      <c r="M43" s="2">
        <v>19</v>
      </c>
    </row>
    <row r="44" spans="1:13" ht="12.75">
      <c r="A44" t="s">
        <v>27</v>
      </c>
      <c r="D44" s="8">
        <f>+D43/D42</f>
        <v>6.666666666666667</v>
      </c>
      <c r="H44" t="s">
        <v>27</v>
      </c>
      <c r="M44" s="8">
        <f>+M43/M42</f>
        <v>19</v>
      </c>
    </row>
    <row r="45" spans="1:13" ht="12.75">
      <c r="A45" t="s">
        <v>108</v>
      </c>
      <c r="D45" s="2">
        <v>0</v>
      </c>
      <c r="H45" t="s">
        <v>108</v>
      </c>
      <c r="M45" s="2">
        <v>3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6</v>
      </c>
      <c r="H48" t="s">
        <v>30</v>
      </c>
      <c r="M48" s="2">
        <v>2</v>
      </c>
    </row>
    <row r="49" spans="1:13" ht="12.75">
      <c r="A49" t="s">
        <v>26</v>
      </c>
      <c r="D49" s="2">
        <v>94</v>
      </c>
      <c r="H49" t="s">
        <v>26</v>
      </c>
      <c r="M49" s="2">
        <v>96</v>
      </c>
    </row>
    <row r="50" spans="1:13" ht="12.75">
      <c r="A50" t="s">
        <v>27</v>
      </c>
      <c r="D50" s="8">
        <f>+D49/D48</f>
        <v>15.666666666666666</v>
      </c>
      <c r="H50" t="s">
        <v>27</v>
      </c>
      <c r="M50" s="8">
        <f>+M49/M48</f>
        <v>48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4</v>
      </c>
      <c r="H53" t="s">
        <v>31</v>
      </c>
      <c r="M53" s="2">
        <v>4</v>
      </c>
    </row>
    <row r="54" spans="1:13" ht="12.75">
      <c r="A54" t="s">
        <v>32</v>
      </c>
      <c r="D54" s="2">
        <v>31</v>
      </c>
      <c r="H54" t="s">
        <v>32</v>
      </c>
      <c r="M54" s="2">
        <v>40</v>
      </c>
    </row>
    <row r="56" spans="1:13" ht="12.75">
      <c r="A56" t="s">
        <v>33</v>
      </c>
      <c r="D56" s="2">
        <v>0</v>
      </c>
      <c r="H56" t="s">
        <v>33</v>
      </c>
      <c r="M56" s="2">
        <v>2</v>
      </c>
    </row>
    <row r="57" spans="1:13" ht="12.75">
      <c r="A57" t="s">
        <v>101</v>
      </c>
      <c r="D57" s="2">
        <v>0</v>
      </c>
      <c r="H57" t="s">
        <v>101</v>
      </c>
      <c r="M57" s="2">
        <v>2</v>
      </c>
    </row>
    <row r="59" spans="1:13" ht="12.75">
      <c r="A59" t="s">
        <v>34</v>
      </c>
      <c r="D59" s="2">
        <v>6</v>
      </c>
      <c r="H59" t="s">
        <v>34</v>
      </c>
      <c r="M59" s="2">
        <v>27</v>
      </c>
    </row>
    <row r="60" spans="1:13" ht="12.75">
      <c r="A60" t="s">
        <v>35</v>
      </c>
      <c r="D60" s="2">
        <v>0</v>
      </c>
      <c r="H60" t="s">
        <v>35</v>
      </c>
      <c r="M60" s="2">
        <v>3</v>
      </c>
    </row>
    <row r="61" spans="1:13" ht="12.75">
      <c r="A61" t="s">
        <v>36</v>
      </c>
      <c r="D61" s="2">
        <v>0</v>
      </c>
      <c r="H61" t="s">
        <v>36</v>
      </c>
      <c r="M61" s="2">
        <v>1</v>
      </c>
    </row>
    <row r="62" spans="1:13" ht="12.75">
      <c r="A62" t="s">
        <v>37</v>
      </c>
      <c r="D62" s="2">
        <v>0</v>
      </c>
      <c r="H62" t="s">
        <v>37</v>
      </c>
      <c r="M62" s="2">
        <v>2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0</v>
      </c>
      <c r="H64" t="s">
        <v>39</v>
      </c>
      <c r="M64" s="2">
        <v>3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2</v>
      </c>
      <c r="H66" t="s">
        <v>41</v>
      </c>
      <c r="M66" s="2">
        <v>2</v>
      </c>
    </row>
    <row r="67" spans="1:13" ht="12.75">
      <c r="A67" t="s">
        <v>42</v>
      </c>
      <c r="D67" s="2">
        <v>2</v>
      </c>
      <c r="H67" t="s">
        <v>42</v>
      </c>
      <c r="M67" s="2">
        <v>2</v>
      </c>
    </row>
    <row r="68" spans="1:13" ht="12.75">
      <c r="A68" t="s">
        <v>43</v>
      </c>
      <c r="D68" s="7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8">
        <f>+M66/M67*100</f>
        <v>100</v>
      </c>
    </row>
    <row r="69" spans="1:13" ht="12.75">
      <c r="A69" t="s">
        <v>89</v>
      </c>
      <c r="D69" s="10" t="str">
        <f>IF(V23&lt;10,V27,V26)</f>
        <v>28:47</v>
      </c>
      <c r="E69" s="8"/>
      <c r="F69" s="8"/>
      <c r="H69" t="s">
        <v>89</v>
      </c>
      <c r="M69" s="10" t="str">
        <f>IF(W23&lt;10,W27,W26)</f>
        <v>31:13</v>
      </c>
    </row>
    <row r="70" spans="1:13" ht="12.75">
      <c r="A70" t="s">
        <v>102</v>
      </c>
      <c r="D70" s="23">
        <f>D161</f>
        <v>6.25</v>
      </c>
      <c r="E70" s="8"/>
      <c r="F70" s="8"/>
      <c r="H70" t="s">
        <v>102</v>
      </c>
      <c r="M70" s="23">
        <f>M161</f>
        <v>36.36363636363637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2" t="s">
        <v>80</v>
      </c>
    </row>
    <row r="74" spans="1:8" ht="12.75">
      <c r="A74" t="s">
        <v>109</v>
      </c>
      <c r="C74">
        <v>15</v>
      </c>
      <c r="D74">
        <v>79</v>
      </c>
      <c r="E74" s="12">
        <f aca="true" t="shared" si="0" ref="E74:E83">+D74/C74</f>
        <v>5.266666666666667</v>
      </c>
      <c r="F74">
        <v>49</v>
      </c>
      <c r="G74">
        <v>0</v>
      </c>
      <c r="H74">
        <v>1</v>
      </c>
    </row>
    <row r="75" spans="1:5" ht="12.75">
      <c r="A75" t="s">
        <v>110</v>
      </c>
      <c r="E75" s="12" t="e">
        <f t="shared" si="0"/>
        <v>#DIV/0!</v>
      </c>
    </row>
    <row r="76" spans="1:5" ht="12.75">
      <c r="A76" t="s">
        <v>111</v>
      </c>
      <c r="E76" s="12" t="e">
        <f t="shared" si="0"/>
        <v>#DIV/0!</v>
      </c>
    </row>
    <row r="77" spans="1:5" ht="12.75">
      <c r="A77" t="s">
        <v>112</v>
      </c>
      <c r="E77" s="12" t="e">
        <f t="shared" si="0"/>
        <v>#DIV/0!</v>
      </c>
    </row>
    <row r="78" spans="1:8" ht="12.75">
      <c r="A78" t="s">
        <v>113</v>
      </c>
      <c r="C78">
        <v>6</v>
      </c>
      <c r="D78">
        <v>-6</v>
      </c>
      <c r="E78" s="12">
        <f t="shared" si="0"/>
        <v>-1</v>
      </c>
      <c r="F78">
        <v>1</v>
      </c>
      <c r="G78">
        <v>0</v>
      </c>
      <c r="H78">
        <v>0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8" ht="12.75">
      <c r="A83" t="s">
        <v>118</v>
      </c>
      <c r="C83">
        <v>1</v>
      </c>
      <c r="D83">
        <v>2</v>
      </c>
      <c r="E83" s="12">
        <f t="shared" si="0"/>
        <v>2</v>
      </c>
      <c r="F83">
        <v>2</v>
      </c>
      <c r="G83">
        <v>0</v>
      </c>
      <c r="H83">
        <v>0</v>
      </c>
    </row>
    <row r="84" ht="12.75">
      <c r="E84" s="8"/>
    </row>
    <row r="85" spans="1:8" ht="12.75">
      <c r="A85" s="2" t="s">
        <v>52</v>
      </c>
      <c r="C85" s="3" t="s">
        <v>53</v>
      </c>
      <c r="D85" s="3" t="s">
        <v>48</v>
      </c>
      <c r="E85" s="15" t="s">
        <v>49</v>
      </c>
      <c r="F85" s="3" t="s">
        <v>50</v>
      </c>
      <c r="G85" s="3" t="s">
        <v>51</v>
      </c>
      <c r="H85" s="3" t="s">
        <v>80</v>
      </c>
    </row>
    <row r="86" spans="1:8" ht="12.75">
      <c r="A86" t="s">
        <v>109</v>
      </c>
      <c r="C86">
        <v>8</v>
      </c>
      <c r="D86">
        <v>71</v>
      </c>
      <c r="E86" s="12">
        <f aca="true" t="shared" si="1" ref="E86:E96">+D86/C86</f>
        <v>8.875</v>
      </c>
      <c r="F86">
        <v>29</v>
      </c>
      <c r="G86">
        <v>0</v>
      </c>
      <c r="H86">
        <v>0</v>
      </c>
    </row>
    <row r="87" spans="1:8" ht="12.75">
      <c r="A87" t="s">
        <v>118</v>
      </c>
      <c r="C87">
        <v>5</v>
      </c>
      <c r="D87">
        <v>55</v>
      </c>
      <c r="E87" s="12">
        <f t="shared" si="1"/>
        <v>11</v>
      </c>
      <c r="F87">
        <v>24</v>
      </c>
      <c r="G87">
        <v>0</v>
      </c>
      <c r="H87">
        <v>0</v>
      </c>
    </row>
    <row r="88" spans="1:5" ht="12.75">
      <c r="A88" t="s">
        <v>119</v>
      </c>
      <c r="E88" s="12" t="e">
        <f t="shared" si="1"/>
        <v>#DIV/0!</v>
      </c>
    </row>
    <row r="89" spans="1:8" ht="12.75">
      <c r="A89" t="s">
        <v>120</v>
      </c>
      <c r="C89">
        <v>3</v>
      </c>
      <c r="D89">
        <v>28</v>
      </c>
      <c r="E89" s="12">
        <f t="shared" si="1"/>
        <v>9.333333333333334</v>
      </c>
      <c r="F89">
        <v>17</v>
      </c>
      <c r="G89">
        <v>0</v>
      </c>
      <c r="H89">
        <v>0</v>
      </c>
    </row>
    <row r="90" spans="1:5" ht="12.75">
      <c r="A90" t="s">
        <v>121</v>
      </c>
      <c r="E90" s="12" t="e">
        <f t="shared" si="1"/>
        <v>#DIV/0!</v>
      </c>
    </row>
    <row r="91" spans="1:8" ht="12.75">
      <c r="A91" t="s">
        <v>110</v>
      </c>
      <c r="C91">
        <v>2</v>
      </c>
      <c r="D91">
        <v>15</v>
      </c>
      <c r="E91" s="12">
        <f t="shared" si="1"/>
        <v>7.5</v>
      </c>
      <c r="F91">
        <v>9</v>
      </c>
      <c r="G91">
        <v>0</v>
      </c>
      <c r="H91">
        <v>0</v>
      </c>
    </row>
    <row r="92" spans="1:5" ht="12.75">
      <c r="A92" t="s">
        <v>122</v>
      </c>
      <c r="E92" s="12" t="e">
        <f t="shared" si="1"/>
        <v>#DIV/0!</v>
      </c>
    </row>
    <row r="93" spans="1:5" ht="12.75">
      <c r="A93" t="s">
        <v>123</v>
      </c>
      <c r="E93" s="12" t="e">
        <f t="shared" si="1"/>
        <v>#DIV/0!</v>
      </c>
    </row>
    <row r="94" spans="1:5" ht="12.75">
      <c r="A94" t="s">
        <v>114</v>
      </c>
      <c r="E94" s="12" t="e">
        <f t="shared" si="1"/>
        <v>#DIV/0!</v>
      </c>
    </row>
    <row r="95" spans="1:5" ht="12.75">
      <c r="A95" t="s">
        <v>124</v>
      </c>
      <c r="E95" s="12" t="e">
        <f t="shared" si="1"/>
        <v>#DIV/0!</v>
      </c>
    </row>
    <row r="96" spans="1:8" ht="12.75">
      <c r="A96" t="s">
        <v>125</v>
      </c>
      <c r="C96">
        <v>1</v>
      </c>
      <c r="D96">
        <v>8</v>
      </c>
      <c r="E96" s="12">
        <f t="shared" si="1"/>
        <v>8</v>
      </c>
      <c r="F96">
        <v>8</v>
      </c>
      <c r="G96">
        <v>0</v>
      </c>
      <c r="H96">
        <v>0</v>
      </c>
    </row>
    <row r="97" spans="1:5" ht="12.75">
      <c r="A97" t="s">
        <v>112</v>
      </c>
      <c r="E97" s="12"/>
    </row>
    <row r="98" spans="1:5" ht="12.75">
      <c r="A98" t="s">
        <v>126</v>
      </c>
      <c r="E98" s="12"/>
    </row>
    <row r="99" spans="1:5" ht="12.75">
      <c r="A99" t="s">
        <v>127</v>
      </c>
      <c r="E99" s="12"/>
    </row>
    <row r="100" ht="12.75">
      <c r="E100" s="8"/>
    </row>
    <row r="101" spans="1:13" ht="12.75">
      <c r="A101" s="2"/>
      <c r="B101" s="2"/>
      <c r="C101" s="3"/>
      <c r="D101" s="3"/>
      <c r="E101" s="15" t="s">
        <v>57</v>
      </c>
      <c r="F101" s="3" t="s">
        <v>58</v>
      </c>
      <c r="G101" s="3"/>
      <c r="H101" s="3"/>
      <c r="I101" s="3" t="s">
        <v>61</v>
      </c>
      <c r="J101" s="3" t="s">
        <v>63</v>
      </c>
      <c r="K101" s="3" t="s">
        <v>57</v>
      </c>
      <c r="L101" s="3" t="s">
        <v>49</v>
      </c>
      <c r="M101" s="3"/>
    </row>
    <row r="102" spans="1:14" ht="12.75">
      <c r="A102" s="2" t="s">
        <v>54</v>
      </c>
      <c r="B102" s="2"/>
      <c r="C102" s="3" t="s">
        <v>55</v>
      </c>
      <c r="D102" s="3" t="s">
        <v>56</v>
      </c>
      <c r="E102" s="15" t="s">
        <v>56</v>
      </c>
      <c r="F102" s="3" t="s">
        <v>59</v>
      </c>
      <c r="G102" s="3" t="s">
        <v>51</v>
      </c>
      <c r="H102" s="3" t="s">
        <v>60</v>
      </c>
      <c r="I102" s="5" t="s">
        <v>62</v>
      </c>
      <c r="J102" s="3" t="s">
        <v>51</v>
      </c>
      <c r="K102" s="3" t="s">
        <v>64</v>
      </c>
      <c r="L102" s="3" t="s">
        <v>65</v>
      </c>
      <c r="M102" s="3" t="s">
        <v>66</v>
      </c>
      <c r="N102" s="3" t="s">
        <v>80</v>
      </c>
    </row>
    <row r="103" spans="1:25" ht="12.75">
      <c r="A103" t="s">
        <v>115</v>
      </c>
      <c r="C103">
        <v>39</v>
      </c>
      <c r="D103">
        <v>19</v>
      </c>
      <c r="E103" s="12">
        <f>+D103/C103*100</f>
        <v>48.717948717948715</v>
      </c>
      <c r="F103">
        <v>177</v>
      </c>
      <c r="G103">
        <v>0</v>
      </c>
      <c r="H103">
        <v>29</v>
      </c>
      <c r="I103">
        <v>2</v>
      </c>
      <c r="J103" s="8">
        <f>+G103/C103*100</f>
        <v>0</v>
      </c>
      <c r="K103" s="12">
        <f>+I103/C103*100</f>
        <v>5.128205128205128</v>
      </c>
      <c r="L103" s="12">
        <f>+F103/C103</f>
        <v>4.538461538461538</v>
      </c>
      <c r="M103" s="12">
        <f>100*(S103+U103+W103+Y103)/6</f>
        <v>40.22435897435897</v>
      </c>
      <c r="R103">
        <f>+(E103-30)/20</f>
        <v>0.9358974358974358</v>
      </c>
      <c r="S103" s="2">
        <f>IF(R103&lt;0,0,IF(R103&gt;2.375,2.375,R103))</f>
        <v>0.9358974358974358</v>
      </c>
      <c r="T103" s="6">
        <f>+(L103-3)/4</f>
        <v>0.3846153846153846</v>
      </c>
      <c r="U103" s="2">
        <f>IF(T103&lt;0,0,IF(T103&gt;2.375,2.375,T103))</f>
        <v>0.3846153846153846</v>
      </c>
      <c r="V103">
        <f>+J103/5</f>
        <v>0</v>
      </c>
      <c r="W103" s="2">
        <f>IF(V103&lt;0,0,IF(V103&gt;2.375,2.375,V103))</f>
        <v>0</v>
      </c>
      <c r="X103">
        <f>(9.5-K103)/4</f>
        <v>1.092948717948718</v>
      </c>
      <c r="Y103" s="2">
        <f>IF(X103&lt;0,0,X103)</f>
        <v>1.092948717948718</v>
      </c>
    </row>
    <row r="104" spans="1:25" ht="12.75">
      <c r="A104" t="s">
        <v>111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128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109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7" spans="1:25" ht="12.75">
      <c r="A107" t="s">
        <v>129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10" spans="1:9" ht="12.75">
      <c r="A110" s="2" t="s">
        <v>67</v>
      </c>
      <c r="C110" s="3" t="s">
        <v>68</v>
      </c>
      <c r="D110" s="3" t="s">
        <v>69</v>
      </c>
      <c r="E110" s="3" t="s">
        <v>70</v>
      </c>
      <c r="F110" s="3" t="s">
        <v>49</v>
      </c>
      <c r="G110" s="3" t="s">
        <v>60</v>
      </c>
      <c r="H110" s="3" t="s">
        <v>51</v>
      </c>
      <c r="I110" s="3" t="s">
        <v>80</v>
      </c>
    </row>
    <row r="111" spans="1:6" ht="12.75">
      <c r="A111" t="s">
        <v>130</v>
      </c>
      <c r="F111" s="12" t="e">
        <f>+E111/C111</f>
        <v>#DIV/0!</v>
      </c>
    </row>
    <row r="112" spans="1:9" ht="12.75">
      <c r="A112" t="s">
        <v>131</v>
      </c>
      <c r="C112">
        <v>3</v>
      </c>
      <c r="D112">
        <v>0</v>
      </c>
      <c r="E112">
        <v>20</v>
      </c>
      <c r="F112" s="12">
        <f>+E112/C112</f>
        <v>6.666666666666667</v>
      </c>
      <c r="G112">
        <v>8</v>
      </c>
      <c r="H112">
        <v>0</v>
      </c>
      <c r="I112">
        <v>0</v>
      </c>
    </row>
    <row r="113" spans="1:6" ht="12.75">
      <c r="A113" t="s">
        <v>118</v>
      </c>
      <c r="F113" s="12" t="e">
        <f>+E113/C113</f>
        <v>#DIV/0!</v>
      </c>
    </row>
    <row r="114" spans="1:6" ht="12.75">
      <c r="A114" t="s">
        <v>132</v>
      </c>
      <c r="F114" s="12" t="e">
        <f>+E114/C114</f>
        <v>#DIV/0!</v>
      </c>
    </row>
    <row r="115" spans="1:6" ht="12.75">
      <c r="A115" t="s">
        <v>112</v>
      </c>
      <c r="F115" s="12" t="e">
        <f>+E115/C115</f>
        <v>#DIV/0!</v>
      </c>
    </row>
    <row r="117" spans="1:8" ht="12.75">
      <c r="A117" s="2" t="s">
        <v>30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51</v>
      </c>
      <c r="H117" s="3" t="s">
        <v>80</v>
      </c>
    </row>
    <row r="118" spans="1:5" ht="12.75">
      <c r="A118" t="s">
        <v>130</v>
      </c>
      <c r="E118" s="12" t="e">
        <f aca="true" t="shared" si="2" ref="E118:E126">+D118/C118</f>
        <v>#DIV/0!</v>
      </c>
    </row>
    <row r="119" spans="1:5" ht="12.75">
      <c r="A119" t="s">
        <v>112</v>
      </c>
      <c r="E119" s="12" t="e">
        <f t="shared" si="2"/>
        <v>#DIV/0!</v>
      </c>
    </row>
    <row r="120" spans="1:8" ht="12.75">
      <c r="A120" t="s">
        <v>116</v>
      </c>
      <c r="C120">
        <v>6</v>
      </c>
      <c r="D120">
        <v>94</v>
      </c>
      <c r="E120" s="12">
        <f t="shared" si="2"/>
        <v>15.666666666666666</v>
      </c>
      <c r="F120">
        <v>22</v>
      </c>
      <c r="G120">
        <v>0</v>
      </c>
      <c r="H120">
        <v>0</v>
      </c>
    </row>
    <row r="121" spans="1:5" ht="12.75">
      <c r="A121" t="s">
        <v>124</v>
      </c>
      <c r="E121" s="12" t="e">
        <f t="shared" si="2"/>
        <v>#DIV/0!</v>
      </c>
    </row>
    <row r="122" spans="1:5" ht="12.75">
      <c r="A122" t="s">
        <v>122</v>
      </c>
      <c r="E122" s="12" t="e">
        <f t="shared" si="2"/>
        <v>#DIV/0!</v>
      </c>
    </row>
    <row r="123" spans="1:5" ht="12.75">
      <c r="A123" t="s">
        <v>114</v>
      </c>
      <c r="E123" s="12" t="e">
        <f t="shared" si="2"/>
        <v>#DIV/0!</v>
      </c>
    </row>
    <row r="124" spans="1:5" ht="12.75">
      <c r="A124" t="s">
        <v>126</v>
      </c>
      <c r="E124" s="12" t="e">
        <f t="shared" si="2"/>
        <v>#DIV/0!</v>
      </c>
    </row>
    <row r="125" spans="1:5" ht="12.75">
      <c r="A125" t="s">
        <v>127</v>
      </c>
      <c r="E125" s="12" t="e">
        <f t="shared" si="2"/>
        <v>#DIV/0!</v>
      </c>
    </row>
    <row r="126" spans="1:5" ht="12.75">
      <c r="A126" t="s">
        <v>106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129</v>
      </c>
      <c r="C129">
        <v>7</v>
      </c>
      <c r="D129">
        <v>303</v>
      </c>
      <c r="E129" s="12">
        <f>+D129/C129</f>
        <v>43.285714285714285</v>
      </c>
      <c r="F129">
        <v>53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133</v>
      </c>
      <c r="C132">
        <v>3</v>
      </c>
      <c r="D132">
        <v>1</v>
      </c>
      <c r="E132">
        <v>0</v>
      </c>
      <c r="F132">
        <v>0</v>
      </c>
      <c r="G132">
        <v>2</v>
      </c>
      <c r="H132">
        <v>2</v>
      </c>
      <c r="I132" s="12">
        <f>+H132/G132*100</f>
        <v>100</v>
      </c>
      <c r="J132">
        <v>43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5" ht="12.75">
      <c r="A135" t="s">
        <v>134</v>
      </c>
      <c r="E135" s="12" t="e">
        <f>+D135/C135</f>
        <v>#DIV/0!</v>
      </c>
    </row>
    <row r="136" spans="1:5" ht="12.75">
      <c r="A136" t="s">
        <v>135</v>
      </c>
      <c r="E136" s="12" t="e">
        <f aca="true" t="shared" si="3" ref="E136:E143">+D136/C136</f>
        <v>#DIV/0!</v>
      </c>
    </row>
    <row r="137" spans="1:5" ht="12.75">
      <c r="A137" t="s">
        <v>130</v>
      </c>
      <c r="E137" s="12" t="e">
        <f t="shared" si="3"/>
        <v>#DIV/0!</v>
      </c>
    </row>
    <row r="138" spans="1:5" ht="12.75">
      <c r="A138" t="s">
        <v>131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137</v>
      </c>
      <c r="E140" s="12" t="e">
        <f t="shared" si="3"/>
        <v>#DIV/0!</v>
      </c>
    </row>
    <row r="141" spans="1:5" ht="12.75">
      <c r="A141" t="s">
        <v>138</v>
      </c>
      <c r="E141" s="12" t="e">
        <f t="shared" si="3"/>
        <v>#DIV/0!</v>
      </c>
    </row>
    <row r="142" spans="1:5" ht="12.75">
      <c r="A142" t="s">
        <v>139</v>
      </c>
      <c r="E142" s="12" t="e">
        <f t="shared" si="3"/>
        <v>#DIV/0!</v>
      </c>
    </row>
    <row r="143" spans="1:5" ht="12.75">
      <c r="A143" t="s">
        <v>140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spans="1:3" ht="12.75">
      <c r="A146" t="s">
        <v>117</v>
      </c>
      <c r="C146">
        <v>1</v>
      </c>
    </row>
    <row r="147" ht="12.75">
      <c r="A147" t="s">
        <v>141</v>
      </c>
    </row>
    <row r="148" ht="12.75">
      <c r="A148" t="s">
        <v>142</v>
      </c>
    </row>
    <row r="149" ht="12.75">
      <c r="A149" t="s">
        <v>143</v>
      </c>
    </row>
    <row r="150" ht="12.75">
      <c r="A150" t="s">
        <v>144</v>
      </c>
    </row>
    <row r="151" ht="12.75">
      <c r="A151" t="s">
        <v>145</v>
      </c>
    </row>
    <row r="152" ht="12.75">
      <c r="A152" t="s">
        <v>140</v>
      </c>
    </row>
    <row r="153" ht="12.75">
      <c r="A153" t="s">
        <v>146</v>
      </c>
    </row>
    <row r="154" spans="1:3" ht="12.75">
      <c r="A154" t="s">
        <v>138</v>
      </c>
      <c r="C154">
        <v>1</v>
      </c>
    </row>
    <row r="155" ht="12.75">
      <c r="A155" t="s">
        <v>139</v>
      </c>
    </row>
    <row r="156" ht="12.75">
      <c r="A156" t="s">
        <v>147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16</v>
      </c>
      <c r="H159" t="s">
        <v>93</v>
      </c>
      <c r="M159">
        <v>11</v>
      </c>
    </row>
    <row r="160" spans="1:13" ht="12.75">
      <c r="A160" t="s">
        <v>94</v>
      </c>
      <c r="D160">
        <v>1</v>
      </c>
      <c r="H160" t="s">
        <v>94</v>
      </c>
      <c r="M160">
        <v>4</v>
      </c>
    </row>
    <row r="161" spans="1:13" ht="12.75">
      <c r="A161" t="s">
        <v>95</v>
      </c>
      <c r="D161">
        <f>D160/D159*100</f>
        <v>6.25</v>
      </c>
      <c r="H161" t="s">
        <v>95</v>
      </c>
      <c r="M161">
        <f>+M160/M159*100</f>
        <v>36.36363636363637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Y161"/>
  <sheetViews>
    <sheetView zoomScalePageLayoutView="0" workbookViewId="0" topLeftCell="A78">
      <selection activeCell="W103" sqref="W103:W107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107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31</v>
      </c>
      <c r="H6" s="1" t="s">
        <v>29</v>
      </c>
      <c r="M6" s="2">
        <f>M7+M8+M9</f>
        <v>18</v>
      </c>
    </row>
    <row r="7" spans="1:13" ht="12.75">
      <c r="A7" s="1" t="s">
        <v>103</v>
      </c>
      <c r="D7" s="2">
        <v>17</v>
      </c>
      <c r="H7" s="1" t="s">
        <v>103</v>
      </c>
      <c r="M7" s="2">
        <v>6</v>
      </c>
    </row>
    <row r="8" spans="1:13" ht="12.75">
      <c r="A8" s="1" t="s">
        <v>105</v>
      </c>
      <c r="D8" s="2">
        <v>12</v>
      </c>
      <c r="H8" s="1" t="s">
        <v>105</v>
      </c>
      <c r="M8" s="2">
        <v>11</v>
      </c>
    </row>
    <row r="9" spans="1:13" ht="12.75">
      <c r="A9" s="1" t="s">
        <v>104</v>
      </c>
      <c r="D9" s="2">
        <v>2</v>
      </c>
      <c r="H9" s="1" t="s">
        <v>104</v>
      </c>
      <c r="M9" s="2">
        <v>1</v>
      </c>
    </row>
    <row r="11" spans="1:23" ht="12.75">
      <c r="A11" t="s">
        <v>1</v>
      </c>
      <c r="D11" s="2">
        <v>36</v>
      </c>
      <c r="H11" t="s">
        <v>1</v>
      </c>
      <c r="M11" s="2">
        <v>31</v>
      </c>
      <c r="V11">
        <f>+D11</f>
        <v>36</v>
      </c>
      <c r="W11">
        <f>+M11</f>
        <v>31</v>
      </c>
    </row>
    <row r="12" spans="1:23" ht="12.75">
      <c r="A12" t="s">
        <v>2</v>
      </c>
      <c r="D12" s="2">
        <v>244</v>
      </c>
      <c r="H12" t="s">
        <v>2</v>
      </c>
      <c r="M12" s="2">
        <v>79</v>
      </c>
      <c r="U12" s="13"/>
      <c r="V12">
        <f>+D16</f>
        <v>17</v>
      </c>
      <c r="W12">
        <f>+M16</f>
        <v>20</v>
      </c>
    </row>
    <row r="13" spans="1:23" ht="12.75">
      <c r="A13" s="1" t="s">
        <v>3</v>
      </c>
      <c r="D13" s="8">
        <f>+D12/D11</f>
        <v>6.777777777777778</v>
      </c>
      <c r="H13" s="1" t="s">
        <v>3</v>
      </c>
      <c r="M13" s="8">
        <f>+M12/M11</f>
        <v>2.5483870967741935</v>
      </c>
      <c r="V13">
        <f>+(D15-D16)/2</f>
        <v>6</v>
      </c>
      <c r="W13">
        <f>+(M15-M16)/2</f>
        <v>6.5</v>
      </c>
    </row>
    <row r="14" spans="22:23" ht="12.75">
      <c r="V14">
        <f>+D38/2</f>
        <v>1.5</v>
      </c>
      <c r="W14">
        <f>+M38/2</f>
        <v>2.5</v>
      </c>
    </row>
    <row r="15" spans="1:23" ht="12.75">
      <c r="A15" t="s">
        <v>4</v>
      </c>
      <c r="D15" s="2">
        <v>29</v>
      </c>
      <c r="H15" t="s">
        <v>4</v>
      </c>
      <c r="M15" s="2">
        <v>33</v>
      </c>
      <c r="V15">
        <f>+D42/2</f>
        <v>1.5</v>
      </c>
      <c r="W15">
        <f>+M42/2</f>
        <v>0.5</v>
      </c>
    </row>
    <row r="16" spans="1:23" ht="12.75">
      <c r="A16" t="s">
        <v>5</v>
      </c>
      <c r="D16" s="2">
        <v>17</v>
      </c>
      <c r="H16" t="s">
        <v>5</v>
      </c>
      <c r="M16" s="2">
        <v>20</v>
      </c>
      <c r="V16">
        <f>+D48/2</f>
        <v>2.5</v>
      </c>
      <c r="W16">
        <f>+M48/2</f>
        <v>2.5</v>
      </c>
    </row>
    <row r="17" spans="1:13" ht="12.75">
      <c r="A17" t="s">
        <v>6</v>
      </c>
      <c r="D17" s="8">
        <f>+D16/D15*100</f>
        <v>58.620689655172406</v>
      </c>
      <c r="H17" t="s">
        <v>6</v>
      </c>
      <c r="M17" s="8">
        <f>+M16/M15*100</f>
        <v>60.60606060606061</v>
      </c>
    </row>
    <row r="18" spans="1:24" ht="12.75">
      <c r="A18" t="s">
        <v>7</v>
      </c>
      <c r="D18" s="2">
        <v>269</v>
      </c>
      <c r="H18" t="s">
        <v>7</v>
      </c>
      <c r="M18" s="2">
        <v>278</v>
      </c>
      <c r="V18">
        <f>SUM(V11:V16)</f>
        <v>64.5</v>
      </c>
      <c r="W18">
        <f>SUM(W11:W16)</f>
        <v>63</v>
      </c>
      <c r="X18">
        <f>+W18+V18</f>
        <v>127.5</v>
      </c>
    </row>
    <row r="19" spans="1:23" ht="12.75">
      <c r="A19" t="s">
        <v>8</v>
      </c>
      <c r="D19" s="2">
        <v>0</v>
      </c>
      <c r="H19" t="s">
        <v>8</v>
      </c>
      <c r="M19" s="2">
        <v>1</v>
      </c>
      <c r="V19">
        <f>+V18/X18</f>
        <v>0.5058823529411764</v>
      </c>
      <c r="W19">
        <f>+W18/X18</f>
        <v>0.49411764705882355</v>
      </c>
    </row>
    <row r="20" spans="1:23" ht="12.75">
      <c r="A20" t="s">
        <v>9</v>
      </c>
      <c r="D20" s="2">
        <v>0</v>
      </c>
      <c r="H20" t="s">
        <v>9</v>
      </c>
      <c r="M20" s="2">
        <v>12</v>
      </c>
      <c r="V20">
        <f>+V19*60</f>
        <v>30.352941176470587</v>
      </c>
      <c r="W20">
        <f>+W19*60</f>
        <v>29.647058823529413</v>
      </c>
    </row>
    <row r="21" spans="1:23" ht="12.75">
      <c r="A21" t="s">
        <v>10</v>
      </c>
      <c r="D21">
        <f>+D18-D20</f>
        <v>269</v>
      </c>
      <c r="H21" t="s">
        <v>10</v>
      </c>
      <c r="M21">
        <f>+M18-M20</f>
        <v>266</v>
      </c>
      <c r="V21">
        <f>+V20-INT(V20)</f>
        <v>0.352941176470587</v>
      </c>
      <c r="W21">
        <f>+W20-INT(W20)</f>
        <v>0.647058823529413</v>
      </c>
    </row>
    <row r="22" spans="1:23" ht="12.75">
      <c r="A22" t="s">
        <v>11</v>
      </c>
      <c r="D22" s="7">
        <f>+D21/(D15+D19)</f>
        <v>9.275862068965518</v>
      </c>
      <c r="H22" t="s">
        <v>11</v>
      </c>
      <c r="M22" s="7">
        <f>+M21/(M15+M19)</f>
        <v>7.823529411764706</v>
      </c>
      <c r="V22">
        <f>+V21*60</f>
        <v>21.17647058823522</v>
      </c>
      <c r="W22">
        <f>+W21*60</f>
        <v>38.82352941176478</v>
      </c>
    </row>
    <row r="23" spans="1:23" ht="12.75">
      <c r="A23" t="s">
        <v>12</v>
      </c>
      <c r="D23" s="7">
        <f>+D18/D16</f>
        <v>15.823529411764707</v>
      </c>
      <c r="H23" t="s">
        <v>12</v>
      </c>
      <c r="M23" s="7">
        <f>+M18/M16</f>
        <v>13.9</v>
      </c>
      <c r="U23">
        <v>0</v>
      </c>
      <c r="V23" s="11">
        <f>ROUND(V22,0)</f>
        <v>21</v>
      </c>
      <c r="W23">
        <f>ROUND(W22,0)</f>
        <v>39</v>
      </c>
    </row>
    <row r="24" spans="22:23" ht="12.75">
      <c r="V24">
        <f>INT(V20)</f>
        <v>30</v>
      </c>
      <c r="W24">
        <f>INT(W20)</f>
        <v>29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513</v>
      </c>
      <c r="H26" t="s">
        <v>14</v>
      </c>
      <c r="M26">
        <f>+M21+M12</f>
        <v>345</v>
      </c>
      <c r="Q26" s="9"/>
      <c r="R26" s="9"/>
      <c r="V26" s="14" t="str">
        <f>+V24&amp;V25&amp;V23</f>
        <v>30:21</v>
      </c>
      <c r="W26" s="9" t="str">
        <f>+W24&amp;W25&amp;W23</f>
        <v>29:39</v>
      </c>
    </row>
    <row r="27" spans="1:23" ht="12.75">
      <c r="A27" t="s">
        <v>15</v>
      </c>
      <c r="D27" s="7">
        <f>+D12/D26*100</f>
        <v>47.563352826510716</v>
      </c>
      <c r="H27" t="s">
        <v>15</v>
      </c>
      <c r="M27" s="7">
        <f>+M12/M26*100</f>
        <v>22.89855072463768</v>
      </c>
      <c r="V27" s="9" t="str">
        <f>IF(V23&lt;10,+V24&amp;V25&amp;$U$23&amp;V23,+V24&amp;V25&amp;V23)</f>
        <v>30:21</v>
      </c>
      <c r="W27" s="9" t="str">
        <f>IF(W23&lt;10,+W24&amp;W25&amp;$U$23&amp;W23,+W24&amp;W25&amp;W23)</f>
        <v>29:39</v>
      </c>
    </row>
    <row r="28" spans="1:13" ht="12.75">
      <c r="A28" s="1" t="s">
        <v>86</v>
      </c>
      <c r="D28" s="7">
        <f>+D21/D26*100</f>
        <v>52.436647173489284</v>
      </c>
      <c r="H28" s="1" t="s">
        <v>86</v>
      </c>
      <c r="M28" s="7">
        <f>+M21/M26*100</f>
        <v>77.10144927536233</v>
      </c>
    </row>
    <row r="30" spans="1:13" ht="12.75">
      <c r="A30" t="s">
        <v>16</v>
      </c>
      <c r="D30">
        <f>+D11+D15+D19</f>
        <v>65</v>
      </c>
      <c r="H30" t="s">
        <v>16</v>
      </c>
      <c r="M30">
        <f>+M11+M15+M19</f>
        <v>65</v>
      </c>
    </row>
    <row r="31" spans="1:13" ht="12.75">
      <c r="A31" t="s">
        <v>17</v>
      </c>
      <c r="D31" s="8">
        <f>+D26/D30</f>
        <v>7.892307692307693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5.3076923076923075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2</v>
      </c>
      <c r="H34" t="s">
        <v>19</v>
      </c>
      <c r="M34" s="2">
        <v>2</v>
      </c>
    </row>
    <row r="35" spans="1:13" ht="12.75">
      <c r="A35" t="s">
        <v>20</v>
      </c>
      <c r="D35" s="2">
        <v>13</v>
      </c>
      <c r="H35" t="s">
        <v>20</v>
      </c>
      <c r="M35" s="2">
        <v>28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3</v>
      </c>
      <c r="H38" t="s">
        <v>22</v>
      </c>
      <c r="M38" s="2">
        <v>5</v>
      </c>
    </row>
    <row r="39" spans="1:13" ht="12.75">
      <c r="A39" t="s">
        <v>23</v>
      </c>
      <c r="D39" s="2">
        <v>101</v>
      </c>
      <c r="H39" t="s">
        <v>23</v>
      </c>
      <c r="M39" s="2">
        <v>206</v>
      </c>
    </row>
    <row r="40" spans="1:13" ht="12.75">
      <c r="A40" t="s">
        <v>24</v>
      </c>
      <c r="D40" s="8">
        <f>+D39/D38</f>
        <v>33.666666666666664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41.2</v>
      </c>
    </row>
    <row r="42" spans="1:13" ht="12.75">
      <c r="A42" t="s">
        <v>25</v>
      </c>
      <c r="D42" s="2">
        <v>3</v>
      </c>
      <c r="H42" t="s">
        <v>25</v>
      </c>
      <c r="M42" s="2">
        <v>1</v>
      </c>
    </row>
    <row r="43" spans="1:13" ht="12.75">
      <c r="A43" t="s">
        <v>26</v>
      </c>
      <c r="D43" s="2">
        <v>24</v>
      </c>
      <c r="H43" t="s">
        <v>26</v>
      </c>
      <c r="M43" s="2">
        <v>10</v>
      </c>
    </row>
    <row r="44" spans="1:13" ht="12.75">
      <c r="A44" t="s">
        <v>27</v>
      </c>
      <c r="D44" s="8">
        <f>+D43/D42</f>
        <v>8</v>
      </c>
      <c r="H44" t="s">
        <v>27</v>
      </c>
      <c r="M44" s="8">
        <f>+M43/M42</f>
        <v>10</v>
      </c>
    </row>
    <row r="45" spans="1:13" ht="12.75">
      <c r="A45" t="s">
        <v>108</v>
      </c>
      <c r="D45" s="2">
        <v>0</v>
      </c>
      <c r="H45" t="s">
        <v>108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5</v>
      </c>
      <c r="H48" t="s">
        <v>30</v>
      </c>
      <c r="M48" s="2">
        <v>5</v>
      </c>
    </row>
    <row r="49" spans="1:13" ht="12.75">
      <c r="A49" t="s">
        <v>26</v>
      </c>
      <c r="D49" s="2">
        <v>94</v>
      </c>
      <c r="H49" t="s">
        <v>26</v>
      </c>
      <c r="M49" s="2">
        <v>195</v>
      </c>
    </row>
    <row r="50" spans="1:13" ht="12.75">
      <c r="A50" t="s">
        <v>27</v>
      </c>
      <c r="D50" s="8">
        <f>+D49/D48</f>
        <v>18.8</v>
      </c>
      <c r="H50" t="s">
        <v>27</v>
      </c>
      <c r="M50" s="8">
        <f>+M49/M48</f>
        <v>39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6</v>
      </c>
      <c r="H53" t="s">
        <v>31</v>
      </c>
      <c r="M53" s="2">
        <v>9</v>
      </c>
    </row>
    <row r="54" spans="1:13" ht="12.75">
      <c r="A54" t="s">
        <v>32</v>
      </c>
      <c r="D54" s="2">
        <v>50</v>
      </c>
      <c r="H54" t="s">
        <v>32</v>
      </c>
      <c r="M54" s="2">
        <v>91</v>
      </c>
    </row>
    <row r="56" spans="1:13" ht="12.75">
      <c r="A56" t="s">
        <v>33</v>
      </c>
      <c r="D56" s="2">
        <v>5</v>
      </c>
      <c r="H56" t="s">
        <v>33</v>
      </c>
      <c r="M56" s="2">
        <v>1</v>
      </c>
    </row>
    <row r="57" spans="1:13" ht="12.75">
      <c r="A57" t="s">
        <v>101</v>
      </c>
      <c r="D57" s="2">
        <v>2</v>
      </c>
      <c r="H57" t="s">
        <v>101</v>
      </c>
      <c r="M57" s="2">
        <v>0</v>
      </c>
    </row>
    <row r="59" spans="1:13" ht="12.75">
      <c r="A59" t="s">
        <v>34</v>
      </c>
      <c r="D59" s="2">
        <v>38</v>
      </c>
      <c r="H59" t="s">
        <v>34</v>
      </c>
      <c r="M59" s="2">
        <v>23</v>
      </c>
    </row>
    <row r="60" spans="1:13" ht="12.75">
      <c r="A60" t="s">
        <v>35</v>
      </c>
      <c r="D60" s="2">
        <v>5</v>
      </c>
      <c r="H60" t="s">
        <v>35</v>
      </c>
      <c r="M60" s="2">
        <v>2</v>
      </c>
    </row>
    <row r="61" spans="1:13" ht="12.75">
      <c r="A61" t="s">
        <v>36</v>
      </c>
      <c r="D61" s="2">
        <v>5</v>
      </c>
      <c r="H61" t="s">
        <v>36</v>
      </c>
      <c r="M61" s="2">
        <v>0</v>
      </c>
    </row>
    <row r="62" spans="1:13" ht="12.75">
      <c r="A62" t="s">
        <v>37</v>
      </c>
      <c r="D62" s="2">
        <v>0</v>
      </c>
      <c r="H62" t="s">
        <v>37</v>
      </c>
      <c r="M62" s="2">
        <v>2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5</v>
      </c>
      <c r="H64" t="s">
        <v>39</v>
      </c>
      <c r="M64" s="2">
        <v>2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1</v>
      </c>
      <c r="H66" t="s">
        <v>41</v>
      </c>
      <c r="M66" s="2">
        <v>3</v>
      </c>
    </row>
    <row r="67" spans="1:13" ht="12.75">
      <c r="A67" t="s">
        <v>42</v>
      </c>
      <c r="D67" s="2">
        <v>1</v>
      </c>
      <c r="H67" t="s">
        <v>42</v>
      </c>
      <c r="M67" s="2">
        <v>3</v>
      </c>
    </row>
    <row r="68" spans="1:13" ht="12.75">
      <c r="A68" t="s">
        <v>43</v>
      </c>
      <c r="D68" s="7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8">
        <f>+M66/M67*100</f>
        <v>100</v>
      </c>
    </row>
    <row r="69" spans="1:13" ht="12.75">
      <c r="A69" t="s">
        <v>89</v>
      </c>
      <c r="D69" s="10" t="str">
        <f>IF(V23&lt;10,V27,V26)</f>
        <v>30:21</v>
      </c>
      <c r="E69" s="8"/>
      <c r="F69" s="8"/>
      <c r="H69" t="s">
        <v>89</v>
      </c>
      <c r="M69" s="10" t="str">
        <f>IF(W23&lt;10,W27,W26)</f>
        <v>29:39</v>
      </c>
    </row>
    <row r="70" spans="1:13" ht="12.75">
      <c r="A70" t="s">
        <v>102</v>
      </c>
      <c r="D70" s="23">
        <f>D161</f>
        <v>28.57142857142857</v>
      </c>
      <c r="E70" s="8"/>
      <c r="F70" s="8"/>
      <c r="H70" t="s">
        <v>102</v>
      </c>
      <c r="M70" s="23">
        <f>M161</f>
        <v>20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27</v>
      </c>
      <c r="D74">
        <v>203</v>
      </c>
      <c r="E74" s="12">
        <f aca="true" t="shared" si="0" ref="E74:E83">+D74/C74</f>
        <v>7.518518518518518</v>
      </c>
      <c r="F74">
        <v>77</v>
      </c>
      <c r="G74">
        <v>3</v>
      </c>
      <c r="H74">
        <v>2</v>
      </c>
    </row>
    <row r="75" spans="1:5" ht="12.75">
      <c r="A75" t="s">
        <v>110</v>
      </c>
      <c r="E75" s="12" t="e">
        <f t="shared" si="0"/>
        <v>#DIV/0!</v>
      </c>
    </row>
    <row r="76" spans="1:5" ht="12.75">
      <c r="A76" t="s">
        <v>111</v>
      </c>
      <c r="E76" s="12" t="e">
        <f t="shared" si="0"/>
        <v>#DIV/0!</v>
      </c>
    </row>
    <row r="77" spans="1:5" ht="12.75">
      <c r="A77" t="s">
        <v>112</v>
      </c>
      <c r="E77" s="12" t="e">
        <f t="shared" si="0"/>
        <v>#DIV/0!</v>
      </c>
    </row>
    <row r="78" spans="1:8" ht="12.75">
      <c r="A78" t="s">
        <v>113</v>
      </c>
      <c r="C78">
        <v>5</v>
      </c>
      <c r="D78">
        <v>13</v>
      </c>
      <c r="E78" s="12">
        <f t="shared" si="0"/>
        <v>2.6</v>
      </c>
      <c r="F78">
        <v>10</v>
      </c>
      <c r="G78">
        <v>1</v>
      </c>
      <c r="H78">
        <v>0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115</v>
      </c>
      <c r="E80" s="12" t="e">
        <f t="shared" si="0"/>
        <v>#DIV/0!</v>
      </c>
    </row>
    <row r="81" spans="1:8" ht="12.75">
      <c r="A81" t="s">
        <v>116</v>
      </c>
      <c r="C81">
        <v>4</v>
      </c>
      <c r="D81">
        <v>24</v>
      </c>
      <c r="E81" s="12">
        <f t="shared" si="0"/>
        <v>6</v>
      </c>
      <c r="F81">
        <v>19</v>
      </c>
      <c r="G81">
        <v>1</v>
      </c>
      <c r="H81">
        <v>0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ht="12.75">
      <c r="E84" s="8"/>
    </row>
    <row r="85" spans="1:8" ht="12.75">
      <c r="A85" s="2" t="s">
        <v>52</v>
      </c>
      <c r="C85" s="3" t="s">
        <v>53</v>
      </c>
      <c r="D85" s="3" t="s">
        <v>48</v>
      </c>
      <c r="E85" s="15" t="s">
        <v>49</v>
      </c>
      <c r="F85" s="3" t="s">
        <v>50</v>
      </c>
      <c r="G85" s="3" t="s">
        <v>51</v>
      </c>
      <c r="H85" s="3" t="s">
        <v>80</v>
      </c>
    </row>
    <row r="86" spans="1:8" ht="12.75">
      <c r="A86" t="s">
        <v>109</v>
      </c>
      <c r="C86">
        <v>4</v>
      </c>
      <c r="D86">
        <v>48</v>
      </c>
      <c r="E86" s="12">
        <f aca="true" t="shared" si="1" ref="E86:E99">+D86/C86</f>
        <v>12</v>
      </c>
      <c r="F86">
        <v>25</v>
      </c>
      <c r="G86">
        <v>0</v>
      </c>
      <c r="H86">
        <v>0</v>
      </c>
    </row>
    <row r="87" spans="1:8" ht="12.75">
      <c r="A87" t="s">
        <v>118</v>
      </c>
      <c r="C87">
        <v>5</v>
      </c>
      <c r="D87">
        <v>88</v>
      </c>
      <c r="E87" s="12">
        <f t="shared" si="1"/>
        <v>17.6</v>
      </c>
      <c r="F87">
        <v>25</v>
      </c>
      <c r="G87">
        <v>0</v>
      </c>
      <c r="H87">
        <v>0</v>
      </c>
    </row>
    <row r="88" spans="1:8" ht="12.75">
      <c r="A88" t="s">
        <v>119</v>
      </c>
      <c r="C88">
        <v>2</v>
      </c>
      <c r="D88">
        <v>37</v>
      </c>
      <c r="E88" s="12">
        <f t="shared" si="1"/>
        <v>18.5</v>
      </c>
      <c r="F88">
        <v>21</v>
      </c>
      <c r="G88">
        <v>0</v>
      </c>
      <c r="H88">
        <v>0</v>
      </c>
    </row>
    <row r="89" spans="1:8" ht="12.75">
      <c r="A89" t="s">
        <v>120</v>
      </c>
      <c r="C89">
        <v>3</v>
      </c>
      <c r="D89">
        <v>43</v>
      </c>
      <c r="E89" s="12">
        <f t="shared" si="1"/>
        <v>14.333333333333334</v>
      </c>
      <c r="F89">
        <v>23</v>
      </c>
      <c r="G89">
        <v>0</v>
      </c>
      <c r="H89">
        <v>1</v>
      </c>
    </row>
    <row r="90" spans="1:8" ht="12.75">
      <c r="A90" t="s">
        <v>121</v>
      </c>
      <c r="C90">
        <v>1</v>
      </c>
      <c r="D90">
        <v>17</v>
      </c>
      <c r="E90" s="12">
        <f t="shared" si="1"/>
        <v>17</v>
      </c>
      <c r="F90">
        <v>17</v>
      </c>
      <c r="G90">
        <v>0</v>
      </c>
      <c r="H90">
        <v>0</v>
      </c>
    </row>
    <row r="91" spans="1:8" ht="12.75">
      <c r="A91" t="s">
        <v>110</v>
      </c>
      <c r="C91">
        <v>1</v>
      </c>
      <c r="D91">
        <v>17</v>
      </c>
      <c r="E91" s="12">
        <f t="shared" si="1"/>
        <v>17</v>
      </c>
      <c r="F91">
        <v>17</v>
      </c>
      <c r="G91">
        <v>0</v>
      </c>
      <c r="H91">
        <v>0</v>
      </c>
    </row>
    <row r="92" spans="1:5" ht="12.75">
      <c r="A92" t="s">
        <v>122</v>
      </c>
      <c r="E92" s="12" t="e">
        <f t="shared" si="1"/>
        <v>#DIV/0!</v>
      </c>
    </row>
    <row r="93" spans="1:5" ht="12.75">
      <c r="A93" t="s">
        <v>123</v>
      </c>
      <c r="E93" s="12" t="e">
        <f t="shared" si="1"/>
        <v>#DIV/0!</v>
      </c>
    </row>
    <row r="94" spans="1:5" ht="12.75">
      <c r="A94" t="s">
        <v>114</v>
      </c>
      <c r="E94" s="12" t="e">
        <f t="shared" si="1"/>
        <v>#DIV/0!</v>
      </c>
    </row>
    <row r="95" spans="1:8" ht="12.75">
      <c r="A95" t="s">
        <v>124</v>
      </c>
      <c r="C95">
        <v>1</v>
      </c>
      <c r="D95">
        <v>19</v>
      </c>
      <c r="E95" s="12">
        <f t="shared" si="1"/>
        <v>19</v>
      </c>
      <c r="F95">
        <v>19</v>
      </c>
      <c r="G95">
        <v>0</v>
      </c>
      <c r="H95">
        <v>0</v>
      </c>
    </row>
    <row r="96" spans="1:5" ht="12.75">
      <c r="A96" t="s">
        <v>125</v>
      </c>
      <c r="E96" s="12" t="e">
        <f t="shared" si="1"/>
        <v>#DIV/0!</v>
      </c>
    </row>
    <row r="97" spans="1:5" ht="12.75">
      <c r="A97" t="s">
        <v>112</v>
      </c>
      <c r="E97" s="12" t="e">
        <f t="shared" si="1"/>
        <v>#DIV/0!</v>
      </c>
    </row>
    <row r="98" spans="1:5" ht="12.75">
      <c r="A98" t="s">
        <v>126</v>
      </c>
      <c r="E98" s="12" t="e">
        <f t="shared" si="1"/>
        <v>#DIV/0!</v>
      </c>
    </row>
    <row r="99" spans="1:5" ht="12.75">
      <c r="A99" t="s">
        <v>127</v>
      </c>
      <c r="E99" s="12" t="e">
        <f t="shared" si="1"/>
        <v>#DIV/0!</v>
      </c>
    </row>
    <row r="100" ht="12.75">
      <c r="E100" s="8"/>
    </row>
    <row r="101" spans="1:13" ht="12.75">
      <c r="A101" s="2"/>
      <c r="B101" s="2"/>
      <c r="C101" s="3"/>
      <c r="D101" s="3"/>
      <c r="E101" s="15" t="s">
        <v>57</v>
      </c>
      <c r="F101" s="3" t="s">
        <v>58</v>
      </c>
      <c r="G101" s="3"/>
      <c r="H101" s="3"/>
      <c r="I101" s="3" t="s">
        <v>61</v>
      </c>
      <c r="J101" s="3" t="s">
        <v>63</v>
      </c>
      <c r="K101" s="3" t="s">
        <v>57</v>
      </c>
      <c r="L101" s="3" t="s">
        <v>49</v>
      </c>
      <c r="M101" s="3"/>
    </row>
    <row r="102" spans="1:14" ht="12.75">
      <c r="A102" s="2" t="s">
        <v>54</v>
      </c>
      <c r="B102" s="2"/>
      <c r="C102" s="3" t="s">
        <v>55</v>
      </c>
      <c r="D102" s="3" t="s">
        <v>56</v>
      </c>
      <c r="E102" s="15" t="s">
        <v>56</v>
      </c>
      <c r="F102" s="3" t="s">
        <v>59</v>
      </c>
      <c r="G102" s="3" t="s">
        <v>51</v>
      </c>
      <c r="H102" s="3" t="s">
        <v>60</v>
      </c>
      <c r="I102" s="5" t="s">
        <v>62</v>
      </c>
      <c r="J102" s="3" t="s">
        <v>51</v>
      </c>
      <c r="K102" s="3" t="s">
        <v>64</v>
      </c>
      <c r="L102" s="3" t="s">
        <v>65</v>
      </c>
      <c r="M102" s="3" t="s">
        <v>66</v>
      </c>
      <c r="N102" s="3" t="s">
        <v>80</v>
      </c>
    </row>
    <row r="103" spans="1:25" ht="12.75">
      <c r="A103" t="s">
        <v>115</v>
      </c>
      <c r="C103">
        <v>29</v>
      </c>
      <c r="D103">
        <v>17</v>
      </c>
      <c r="E103" s="12">
        <f>+D103/C103*100</f>
        <v>58.620689655172406</v>
      </c>
      <c r="F103">
        <v>269</v>
      </c>
      <c r="G103">
        <v>0</v>
      </c>
      <c r="H103">
        <v>25</v>
      </c>
      <c r="I103">
        <v>2</v>
      </c>
      <c r="J103" s="8">
        <f>+G103/C103*100</f>
        <v>0</v>
      </c>
      <c r="K103" s="12">
        <f>+I103/C103*100</f>
        <v>6.896551724137931</v>
      </c>
      <c r="L103" s="12">
        <f>+F103/C103</f>
        <v>9.275862068965518</v>
      </c>
      <c r="M103" s="12">
        <f>100*(S103+U103+W103+Y103)/6</f>
        <v>60.84770114942529</v>
      </c>
      <c r="R103">
        <f>+(E103-30)/20</f>
        <v>1.4310344827586203</v>
      </c>
      <c r="S103" s="2">
        <f>IF(R103&lt;0,0,IF(R103&gt;2.375,2.375,R103))</f>
        <v>1.4310344827586203</v>
      </c>
      <c r="T103" s="6">
        <f>+(L103-3)/4</f>
        <v>1.5689655172413794</v>
      </c>
      <c r="U103" s="2">
        <f>IF(T103&lt;0,0,IF(T103&gt;2.375,2.375,T103))</f>
        <v>1.5689655172413794</v>
      </c>
      <c r="V103">
        <f>+J103/5</f>
        <v>0</v>
      </c>
      <c r="W103" s="2">
        <f>IF(V103&lt;0,0,IF(V103&gt;2.375,2.375,V103))</f>
        <v>0</v>
      </c>
      <c r="X103">
        <f>(9.5-K103)/4</f>
        <v>0.6508620689655173</v>
      </c>
      <c r="Y103" s="2">
        <f>IF(X103&lt;0,0,X103)</f>
        <v>0.6508620689655173</v>
      </c>
    </row>
    <row r="104" spans="1:25" ht="12.75">
      <c r="A104" t="s">
        <v>111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128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109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7" spans="1:25" ht="12.75">
      <c r="A107" t="s">
        <v>129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10" spans="1:9" ht="12.75">
      <c r="A110" s="2" t="s">
        <v>67</v>
      </c>
      <c r="C110" s="3" t="s">
        <v>68</v>
      </c>
      <c r="D110" s="3" t="s">
        <v>69</v>
      </c>
      <c r="E110" s="3" t="s">
        <v>70</v>
      </c>
      <c r="F110" s="3" t="s">
        <v>49</v>
      </c>
      <c r="G110" s="3" t="s">
        <v>60</v>
      </c>
      <c r="H110" s="3" t="s">
        <v>51</v>
      </c>
      <c r="I110" s="3" t="s">
        <v>80</v>
      </c>
    </row>
    <row r="111" spans="1:9" ht="12.75">
      <c r="A111" t="s">
        <v>130</v>
      </c>
      <c r="C111">
        <v>2</v>
      </c>
      <c r="D111">
        <v>0</v>
      </c>
      <c r="E111">
        <v>14</v>
      </c>
      <c r="F111" s="12">
        <f>+E111/C111</f>
        <v>7</v>
      </c>
      <c r="G111">
        <v>9</v>
      </c>
      <c r="H111">
        <v>0</v>
      </c>
      <c r="I111">
        <v>0</v>
      </c>
    </row>
    <row r="112" spans="1:9" ht="12.75">
      <c r="A112" t="s">
        <v>131</v>
      </c>
      <c r="C112">
        <v>1</v>
      </c>
      <c r="D112">
        <v>0</v>
      </c>
      <c r="E112">
        <v>10</v>
      </c>
      <c r="F112" s="12">
        <f>+E112/C112</f>
        <v>10</v>
      </c>
      <c r="G112">
        <v>10</v>
      </c>
      <c r="H112">
        <v>0</v>
      </c>
      <c r="I112">
        <v>0</v>
      </c>
    </row>
    <row r="113" spans="1:6" ht="12.75">
      <c r="A113" t="s">
        <v>118</v>
      </c>
      <c r="F113" s="12" t="e">
        <f>+E113/C113</f>
        <v>#DIV/0!</v>
      </c>
    </row>
    <row r="114" spans="1:6" ht="12.75">
      <c r="A114" t="s">
        <v>132</v>
      </c>
      <c r="F114" s="12" t="e">
        <f>+E114/C114</f>
        <v>#DIV/0!</v>
      </c>
    </row>
    <row r="115" spans="1:6" ht="12.75">
      <c r="A115" t="s">
        <v>112</v>
      </c>
      <c r="F115" s="12" t="e">
        <f>+E115/C115</f>
        <v>#DIV/0!</v>
      </c>
    </row>
    <row r="117" spans="1:8" ht="12.75">
      <c r="A117" s="2" t="s">
        <v>30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51</v>
      </c>
      <c r="H117" s="3" t="s">
        <v>80</v>
      </c>
    </row>
    <row r="118" spans="1:8" ht="12.75">
      <c r="A118" t="s">
        <v>130</v>
      </c>
      <c r="C118">
        <v>5</v>
      </c>
      <c r="D118">
        <v>94</v>
      </c>
      <c r="E118" s="12">
        <f aca="true" t="shared" si="2" ref="E118:E126">+D118/C118</f>
        <v>18.8</v>
      </c>
      <c r="F118">
        <v>22</v>
      </c>
      <c r="G118">
        <v>0</v>
      </c>
      <c r="H118">
        <v>1</v>
      </c>
    </row>
    <row r="119" spans="1:5" ht="12.75">
      <c r="A119" t="s">
        <v>112</v>
      </c>
      <c r="E119" s="12" t="e">
        <f t="shared" si="2"/>
        <v>#DIV/0!</v>
      </c>
    </row>
    <row r="120" spans="1:5" ht="12.75">
      <c r="A120" t="s">
        <v>116</v>
      </c>
      <c r="E120" s="12" t="e">
        <f t="shared" si="2"/>
        <v>#DIV/0!</v>
      </c>
    </row>
    <row r="121" spans="1:5" ht="12.75">
      <c r="A121" t="s">
        <v>124</v>
      </c>
      <c r="E121" s="12" t="e">
        <f t="shared" si="2"/>
        <v>#DIV/0!</v>
      </c>
    </row>
    <row r="122" spans="1:5" ht="12.75">
      <c r="A122" t="s">
        <v>122</v>
      </c>
      <c r="E122" s="12" t="e">
        <f t="shared" si="2"/>
        <v>#DIV/0!</v>
      </c>
    </row>
    <row r="123" spans="1:5" ht="12.75">
      <c r="A123" t="s">
        <v>114</v>
      </c>
      <c r="E123" s="12" t="e">
        <f t="shared" si="2"/>
        <v>#DIV/0!</v>
      </c>
    </row>
    <row r="124" spans="1:5" ht="12.75">
      <c r="A124" t="s">
        <v>126</v>
      </c>
      <c r="E124" s="12" t="e">
        <f t="shared" si="2"/>
        <v>#DIV/0!</v>
      </c>
    </row>
    <row r="125" spans="1:5" ht="12.75">
      <c r="A125" t="s">
        <v>127</v>
      </c>
      <c r="E125" s="12" t="e">
        <f t="shared" si="2"/>
        <v>#DIV/0!</v>
      </c>
    </row>
    <row r="126" spans="1:5" ht="12.75">
      <c r="A126" t="s">
        <v>106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129</v>
      </c>
      <c r="C129">
        <v>3</v>
      </c>
      <c r="D129">
        <v>101</v>
      </c>
      <c r="E129" s="12">
        <f>+D129/C129</f>
        <v>33.666666666666664</v>
      </c>
      <c r="F129">
        <v>39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133</v>
      </c>
      <c r="C132">
        <v>6</v>
      </c>
      <c r="D132">
        <v>2</v>
      </c>
      <c r="E132">
        <v>5</v>
      </c>
      <c r="F132">
        <v>5</v>
      </c>
      <c r="G132">
        <v>1</v>
      </c>
      <c r="H132">
        <v>1</v>
      </c>
      <c r="I132" s="12">
        <f>+H132/G132*100</f>
        <v>100</v>
      </c>
      <c r="J132">
        <v>23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8" ht="12.75">
      <c r="A135" t="s">
        <v>134</v>
      </c>
      <c r="C135">
        <v>1</v>
      </c>
      <c r="D135">
        <v>17</v>
      </c>
      <c r="E135" s="12">
        <f>+D135/C135</f>
        <v>17</v>
      </c>
      <c r="F135">
        <v>17</v>
      </c>
      <c r="G135">
        <v>0</v>
      </c>
      <c r="H135">
        <v>0</v>
      </c>
    </row>
    <row r="136" spans="1:5" ht="12.75">
      <c r="A136" t="s">
        <v>135</v>
      </c>
      <c r="E136" s="12" t="e">
        <f aca="true" t="shared" si="3" ref="E136:E143">+D136/C136</f>
        <v>#DIV/0!</v>
      </c>
    </row>
    <row r="137" spans="1:5" ht="12.75">
      <c r="A137" t="s">
        <v>130</v>
      </c>
      <c r="E137" s="12" t="e">
        <f t="shared" si="3"/>
        <v>#DIV/0!</v>
      </c>
    </row>
    <row r="138" spans="1:5" ht="12.75">
      <c r="A138" t="s">
        <v>131</v>
      </c>
      <c r="E138" s="12" t="e">
        <f t="shared" si="3"/>
        <v>#DIV/0!</v>
      </c>
    </row>
    <row r="139" spans="1:8" ht="12.75">
      <c r="A139" t="s">
        <v>136</v>
      </c>
      <c r="C139">
        <v>1</v>
      </c>
      <c r="D139">
        <v>11</v>
      </c>
      <c r="E139" s="12">
        <f t="shared" si="3"/>
        <v>11</v>
      </c>
      <c r="F139">
        <v>11</v>
      </c>
      <c r="G139">
        <v>0</v>
      </c>
      <c r="H139">
        <v>0</v>
      </c>
    </row>
    <row r="140" spans="1:5" ht="12.75">
      <c r="A140" t="s">
        <v>137</v>
      </c>
      <c r="E140" s="12" t="e">
        <f t="shared" si="3"/>
        <v>#DIV/0!</v>
      </c>
    </row>
    <row r="141" spans="1:5" ht="12.75">
      <c r="A141" t="s">
        <v>138</v>
      </c>
      <c r="E141" s="12" t="e">
        <f t="shared" si="3"/>
        <v>#DIV/0!</v>
      </c>
    </row>
    <row r="142" spans="1:5" ht="12.75">
      <c r="A142" t="s">
        <v>139</v>
      </c>
      <c r="E142" s="12" t="e">
        <f t="shared" si="3"/>
        <v>#DIV/0!</v>
      </c>
    </row>
    <row r="143" spans="1:5" ht="12.75">
      <c r="A143" t="s">
        <v>140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ht="12.75">
      <c r="A146" t="s">
        <v>117</v>
      </c>
    </row>
    <row r="147" spans="1:3" ht="12.75">
      <c r="A147" t="s">
        <v>141</v>
      </c>
      <c r="C147">
        <v>0.5</v>
      </c>
    </row>
    <row r="148" spans="1:3" ht="12.75">
      <c r="A148" t="s">
        <v>142</v>
      </c>
      <c r="C148">
        <v>0.5</v>
      </c>
    </row>
    <row r="149" ht="12.75">
      <c r="A149" t="s">
        <v>143</v>
      </c>
    </row>
    <row r="150" ht="12.75">
      <c r="A150" t="s">
        <v>144</v>
      </c>
    </row>
    <row r="151" ht="12.75">
      <c r="A151" t="s">
        <v>145</v>
      </c>
    </row>
    <row r="152" ht="12.75">
      <c r="A152" t="s">
        <v>140</v>
      </c>
    </row>
    <row r="153" ht="12.75">
      <c r="A153" t="s">
        <v>146</v>
      </c>
    </row>
    <row r="154" ht="12.75">
      <c r="A154" t="s">
        <v>138</v>
      </c>
    </row>
    <row r="155" ht="12.75">
      <c r="A155" t="s">
        <v>139</v>
      </c>
    </row>
    <row r="156" ht="12.75">
      <c r="A156" t="s">
        <v>147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7</v>
      </c>
      <c r="H159" t="s">
        <v>93</v>
      </c>
      <c r="M159">
        <v>15</v>
      </c>
    </row>
    <row r="160" spans="1:13" ht="12.75">
      <c r="A160" t="s">
        <v>94</v>
      </c>
      <c r="D160">
        <v>2</v>
      </c>
      <c r="H160" t="s">
        <v>94</v>
      </c>
      <c r="M160">
        <v>3</v>
      </c>
    </row>
    <row r="161" spans="1:13" ht="12.75">
      <c r="A161" t="s">
        <v>95</v>
      </c>
      <c r="D161" s="8">
        <f>D160/D159*100</f>
        <v>28.57142857142857</v>
      </c>
      <c r="H161" t="s">
        <v>95</v>
      </c>
      <c r="M161" s="8">
        <f>+M160/M159*100</f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Y161"/>
  <sheetViews>
    <sheetView zoomScalePageLayoutView="0" workbookViewId="0" topLeftCell="A76">
      <selection activeCell="S68" sqref="S68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107</v>
      </c>
      <c r="E1" s="2" t="s">
        <v>96</v>
      </c>
      <c r="F1" s="2" t="s">
        <v>97</v>
      </c>
    </row>
    <row r="2" ht="12.75">
      <c r="E2">
        <v>1</v>
      </c>
    </row>
    <row r="3" spans="1:16" ht="12.75">
      <c r="A3" s="2" t="s">
        <v>0</v>
      </c>
      <c r="H3" s="2" t="s">
        <v>44</v>
      </c>
      <c r="P3" s="16"/>
    </row>
    <row r="6" spans="1:13" ht="12.75">
      <c r="A6" s="1" t="s">
        <v>29</v>
      </c>
      <c r="D6" s="2">
        <f>D7+D8+D9</f>
        <v>15</v>
      </c>
      <c r="H6" s="1" t="s">
        <v>29</v>
      </c>
      <c r="M6" s="2">
        <f>M7+M8+M9</f>
        <v>23</v>
      </c>
    </row>
    <row r="7" spans="1:13" ht="12.75">
      <c r="A7" s="1" t="s">
        <v>103</v>
      </c>
      <c r="D7" s="2">
        <v>4</v>
      </c>
      <c r="H7" s="1" t="s">
        <v>103</v>
      </c>
      <c r="M7" s="2">
        <v>13</v>
      </c>
    </row>
    <row r="8" spans="1:13" ht="12.75">
      <c r="A8" s="1" t="s">
        <v>105</v>
      </c>
      <c r="D8" s="2">
        <v>10</v>
      </c>
      <c r="H8" s="1" t="s">
        <v>105</v>
      </c>
      <c r="M8" s="2">
        <v>8</v>
      </c>
    </row>
    <row r="9" spans="1:13" ht="12.75">
      <c r="A9" s="1" t="s">
        <v>104</v>
      </c>
      <c r="D9" s="2">
        <v>1</v>
      </c>
      <c r="H9" s="1" t="s">
        <v>104</v>
      </c>
      <c r="M9" s="2">
        <v>2</v>
      </c>
    </row>
    <row r="11" spans="1:23" ht="12.75">
      <c r="A11" t="s">
        <v>1</v>
      </c>
      <c r="D11" s="2">
        <v>21</v>
      </c>
      <c r="H11" t="s">
        <v>1</v>
      </c>
      <c r="M11" s="2">
        <v>42</v>
      </c>
      <c r="V11">
        <f>+D11</f>
        <v>21</v>
      </c>
      <c r="W11">
        <f>+M11</f>
        <v>42</v>
      </c>
    </row>
    <row r="12" spans="1:23" ht="12.75">
      <c r="A12" t="s">
        <v>2</v>
      </c>
      <c r="D12" s="2">
        <v>71</v>
      </c>
      <c r="H12" t="s">
        <v>2</v>
      </c>
      <c r="M12" s="2">
        <v>226</v>
      </c>
      <c r="U12" s="13"/>
      <c r="V12">
        <f>+D16</f>
        <v>14</v>
      </c>
      <c r="W12">
        <f>+M16</f>
        <v>15</v>
      </c>
    </row>
    <row r="13" spans="1:23" ht="12.75">
      <c r="A13" s="1" t="s">
        <v>3</v>
      </c>
      <c r="D13" s="8">
        <f>+D12/D11</f>
        <v>3.380952380952381</v>
      </c>
      <c r="H13" s="1" t="s">
        <v>3</v>
      </c>
      <c r="M13" s="8">
        <f>+M12/M11</f>
        <v>5.380952380952381</v>
      </c>
      <c r="V13">
        <f>+(D15-D16)/2</f>
        <v>7</v>
      </c>
      <c r="W13">
        <f>+(M15-M16)/2</f>
        <v>7</v>
      </c>
    </row>
    <row r="14" spans="16:23" ht="12.75">
      <c r="P14" s="18"/>
      <c r="V14">
        <f>+D38/2</f>
        <v>2.5</v>
      </c>
      <c r="W14">
        <f>+M38/2</f>
        <v>2</v>
      </c>
    </row>
    <row r="15" spans="1:23" ht="12.75">
      <c r="A15" t="s">
        <v>4</v>
      </c>
      <c r="D15" s="2">
        <v>28</v>
      </c>
      <c r="F15" s="17"/>
      <c r="H15" t="s">
        <v>4</v>
      </c>
      <c r="M15" s="2">
        <v>29</v>
      </c>
      <c r="V15">
        <f>+D42/2</f>
        <v>0</v>
      </c>
      <c r="W15">
        <f>+M42/2</f>
        <v>2.5</v>
      </c>
    </row>
    <row r="16" spans="1:23" ht="12.75">
      <c r="A16" t="s">
        <v>5</v>
      </c>
      <c r="D16" s="2">
        <v>14</v>
      </c>
      <c r="F16" s="19"/>
      <c r="H16" t="s">
        <v>5</v>
      </c>
      <c r="M16" s="2">
        <v>15</v>
      </c>
      <c r="V16">
        <f>+D48/2</f>
        <v>2</v>
      </c>
      <c r="W16">
        <f>+M48/2</f>
        <v>2.5</v>
      </c>
    </row>
    <row r="17" spans="1:13" ht="12.75">
      <c r="A17" t="s">
        <v>6</v>
      </c>
      <c r="D17" s="8">
        <f>+D16/D15*100</f>
        <v>50</v>
      </c>
      <c r="F17" s="19"/>
      <c r="H17" t="s">
        <v>6</v>
      </c>
      <c r="M17" s="8">
        <f>+M16/M15*100</f>
        <v>51.724137931034484</v>
      </c>
    </row>
    <row r="18" spans="1:24" ht="12.75">
      <c r="A18" t="s">
        <v>7</v>
      </c>
      <c r="D18" s="2">
        <v>205</v>
      </c>
      <c r="F18" s="19"/>
      <c r="H18" t="s">
        <v>7</v>
      </c>
      <c r="M18" s="2">
        <v>149</v>
      </c>
      <c r="V18">
        <f>SUM(V11:V16)</f>
        <v>46.5</v>
      </c>
      <c r="W18">
        <f>SUM(W11:W16)</f>
        <v>71</v>
      </c>
      <c r="X18">
        <f>+W18+V18</f>
        <v>117.5</v>
      </c>
    </row>
    <row r="19" spans="1:23" ht="12.75">
      <c r="A19" t="s">
        <v>8</v>
      </c>
      <c r="D19" s="2">
        <v>1</v>
      </c>
      <c r="F19" s="19"/>
      <c r="H19" t="s">
        <v>8</v>
      </c>
      <c r="M19" s="2">
        <v>4</v>
      </c>
      <c r="V19">
        <f>+V18/X18</f>
        <v>0.39574468085106385</v>
      </c>
      <c r="W19">
        <f>+W18/X18</f>
        <v>0.6042553191489362</v>
      </c>
    </row>
    <row r="20" spans="1:23" ht="12.75">
      <c r="A20" t="s">
        <v>9</v>
      </c>
      <c r="D20" s="2">
        <v>10</v>
      </c>
      <c r="F20" s="19"/>
      <c r="H20" t="s">
        <v>9</v>
      </c>
      <c r="M20" s="2">
        <v>28</v>
      </c>
      <c r="V20">
        <f>+V19*60</f>
        <v>23.74468085106383</v>
      </c>
      <c r="W20">
        <f>+W19*60</f>
        <v>36.25531914893617</v>
      </c>
    </row>
    <row r="21" spans="1:23" ht="12.75">
      <c r="A21" t="s">
        <v>10</v>
      </c>
      <c r="D21">
        <f>+D18-D20</f>
        <v>195</v>
      </c>
      <c r="F21" s="19"/>
      <c r="H21" t="s">
        <v>10</v>
      </c>
      <c r="M21">
        <f>+M18-M20</f>
        <v>121</v>
      </c>
      <c r="V21">
        <f>+V20-INT(V20)</f>
        <v>0.7446808510638299</v>
      </c>
      <c r="W21">
        <f>+W20-INT(W20)</f>
        <v>0.2553191489361666</v>
      </c>
    </row>
    <row r="22" spans="1:23" ht="12.75">
      <c r="A22" t="s">
        <v>11</v>
      </c>
      <c r="D22" s="7">
        <f>+D21/(D15+D19)</f>
        <v>6.724137931034483</v>
      </c>
      <c r="F22" s="19"/>
      <c r="H22" t="s">
        <v>11</v>
      </c>
      <c r="M22" s="7">
        <f>+M21/(M15+M19)</f>
        <v>3.6666666666666665</v>
      </c>
      <c r="V22">
        <f>+V21*60</f>
        <v>44.68085106382979</v>
      </c>
      <c r="W22">
        <f>+W21*60</f>
        <v>15.319148936169995</v>
      </c>
    </row>
    <row r="23" spans="1:23" ht="12.75">
      <c r="A23" t="s">
        <v>12</v>
      </c>
      <c r="D23" s="7">
        <f>+D18/D16</f>
        <v>14.642857142857142</v>
      </c>
      <c r="F23" s="19"/>
      <c r="H23" t="s">
        <v>12</v>
      </c>
      <c r="M23" s="7">
        <f>+M18/M16</f>
        <v>9.933333333333334</v>
      </c>
      <c r="U23">
        <v>0</v>
      </c>
      <c r="V23" s="11">
        <f>ROUND(V22,0)</f>
        <v>45</v>
      </c>
      <c r="W23">
        <f>ROUND(W22,0)</f>
        <v>15</v>
      </c>
    </row>
    <row r="24" spans="6:23" ht="12.75">
      <c r="F24" s="19"/>
      <c r="V24">
        <f>INT(V20)</f>
        <v>23</v>
      </c>
      <c r="W24">
        <f>INT(W20)</f>
        <v>36</v>
      </c>
    </row>
    <row r="25" spans="1:23" ht="12.75">
      <c r="A25" t="s">
        <v>13</v>
      </c>
      <c r="F25" s="19"/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266</v>
      </c>
      <c r="F26" s="19"/>
      <c r="H26" t="s">
        <v>14</v>
      </c>
      <c r="M26">
        <f>+M21+M12</f>
        <v>347</v>
      </c>
      <c r="Q26" s="9"/>
      <c r="R26" s="9"/>
      <c r="V26" s="14" t="str">
        <f>+V24&amp;V25&amp;V23</f>
        <v>23:45</v>
      </c>
      <c r="W26" s="9" t="str">
        <f>+W24&amp;W25&amp;W23</f>
        <v>36:15</v>
      </c>
    </row>
    <row r="27" spans="1:23" ht="12.75">
      <c r="A27" t="s">
        <v>15</v>
      </c>
      <c r="D27" s="7">
        <f>+D12/D26*100</f>
        <v>26.691729323308273</v>
      </c>
      <c r="F27" s="19"/>
      <c r="H27" t="s">
        <v>15</v>
      </c>
      <c r="M27" s="7">
        <f>+M12/M26*100</f>
        <v>65.12968299711815</v>
      </c>
      <c r="V27" s="9" t="str">
        <f>IF(V23&lt;10,+V24&amp;V25&amp;$U$23&amp;V23,+V24&amp;V25&amp;V23)</f>
        <v>23:45</v>
      </c>
      <c r="W27" s="9" t="str">
        <f>IF(W23&lt;10,+W24&amp;W25&amp;$U$23&amp;W23,+W24&amp;W25&amp;W23)</f>
        <v>36:15</v>
      </c>
    </row>
    <row r="28" spans="1:13" ht="12.75">
      <c r="A28" s="1" t="s">
        <v>86</v>
      </c>
      <c r="D28" s="7">
        <f>+D21/D26*100</f>
        <v>73.30827067669173</v>
      </c>
      <c r="F28" s="19"/>
      <c r="H28" s="1" t="s">
        <v>86</v>
      </c>
      <c r="M28" s="7">
        <f>+M21/M26*100</f>
        <v>34.87031700288185</v>
      </c>
    </row>
    <row r="29" ht="12.75">
      <c r="F29" s="19"/>
    </row>
    <row r="30" spans="1:13" ht="12.75">
      <c r="A30" t="s">
        <v>16</v>
      </c>
      <c r="D30">
        <f>+D11+D15+D19</f>
        <v>50</v>
      </c>
      <c r="F30" s="19"/>
      <c r="H30" t="s">
        <v>16</v>
      </c>
      <c r="M30">
        <f>+M6+M15+M19</f>
        <v>56</v>
      </c>
    </row>
    <row r="31" spans="1:13" ht="12.75">
      <c r="A31" t="s">
        <v>17</v>
      </c>
      <c r="D31" s="8">
        <f>+D26/D30</f>
        <v>5.32</v>
      </c>
      <c r="E31" s="7"/>
      <c r="F31" s="20"/>
      <c r="G31" s="7"/>
      <c r="H31" s="7" t="s">
        <v>17</v>
      </c>
      <c r="I31" s="7"/>
      <c r="J31" s="7"/>
      <c r="K31" s="7"/>
      <c r="L31" s="7"/>
      <c r="M31" s="8">
        <f>+M26/M30</f>
        <v>6.196428571428571</v>
      </c>
    </row>
    <row r="32" ht="12.75">
      <c r="F32" s="19"/>
    </row>
    <row r="33" spans="1:8" ht="12.75">
      <c r="A33" t="s">
        <v>18</v>
      </c>
      <c r="F33" s="17"/>
      <c r="H33" t="s">
        <v>18</v>
      </c>
    </row>
    <row r="34" spans="1:13" ht="12.75">
      <c r="A34" t="s">
        <v>19</v>
      </c>
      <c r="D34" s="2">
        <v>1</v>
      </c>
      <c r="H34" t="s">
        <v>19</v>
      </c>
      <c r="M34" s="2">
        <v>0</v>
      </c>
    </row>
    <row r="35" spans="1:13" ht="12.75">
      <c r="A35" t="s">
        <v>20</v>
      </c>
      <c r="D35" s="2">
        <v>28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5</v>
      </c>
      <c r="H38" t="s">
        <v>22</v>
      </c>
      <c r="M38" s="2">
        <v>4</v>
      </c>
    </row>
    <row r="39" spans="1:13" ht="12.75">
      <c r="A39" t="s">
        <v>23</v>
      </c>
      <c r="D39" s="2">
        <v>213</v>
      </c>
      <c r="H39" t="s">
        <v>23</v>
      </c>
      <c r="M39" s="2">
        <v>183</v>
      </c>
    </row>
    <row r="40" spans="1:13" ht="12.75">
      <c r="A40" t="s">
        <v>24</v>
      </c>
      <c r="D40" s="8">
        <f>+D39/D38</f>
        <v>42.6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45.75</v>
      </c>
    </row>
    <row r="42" spans="1:13" ht="12.75">
      <c r="A42" t="s">
        <v>25</v>
      </c>
      <c r="D42" s="2">
        <v>0</v>
      </c>
      <c r="H42" t="s">
        <v>25</v>
      </c>
      <c r="M42" s="2">
        <v>5</v>
      </c>
    </row>
    <row r="43" spans="1:13" ht="12.75">
      <c r="A43" t="s">
        <v>26</v>
      </c>
      <c r="D43" s="2">
        <v>0</v>
      </c>
      <c r="H43" t="s">
        <v>26</v>
      </c>
      <c r="M43" s="2">
        <v>23</v>
      </c>
    </row>
    <row r="44" spans="1:13" ht="12.75">
      <c r="A44" t="s">
        <v>27</v>
      </c>
      <c r="D44" s="8">
        <v>0</v>
      </c>
      <c r="H44" t="s">
        <v>27</v>
      </c>
      <c r="M44" s="8">
        <f>+M43/M42</f>
        <v>4.6</v>
      </c>
    </row>
    <row r="45" spans="1:13" ht="12.75">
      <c r="A45" t="s">
        <v>108</v>
      </c>
      <c r="D45" s="2">
        <v>0</v>
      </c>
      <c r="H45" t="s">
        <v>108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4</v>
      </c>
      <c r="H48" t="s">
        <v>30</v>
      </c>
      <c r="M48" s="2">
        <v>5</v>
      </c>
    </row>
    <row r="49" spans="1:13" ht="12.75">
      <c r="A49" t="s">
        <v>26</v>
      </c>
      <c r="D49" s="2">
        <v>72</v>
      </c>
      <c r="H49" t="s">
        <v>26</v>
      </c>
      <c r="M49" s="2">
        <v>101</v>
      </c>
    </row>
    <row r="50" spans="1:13" ht="12.75">
      <c r="A50" t="s">
        <v>27</v>
      </c>
      <c r="D50" s="8">
        <f>+D49/D48</f>
        <v>18</v>
      </c>
      <c r="H50" t="s">
        <v>27</v>
      </c>
      <c r="M50" s="8">
        <f>+M49/M48</f>
        <v>20.2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7</v>
      </c>
      <c r="H53" t="s">
        <v>31</v>
      </c>
      <c r="M53" s="2">
        <v>5</v>
      </c>
    </row>
    <row r="54" spans="1:13" ht="12.75">
      <c r="A54" t="s">
        <v>32</v>
      </c>
      <c r="D54" s="2">
        <v>45</v>
      </c>
      <c r="H54" t="s">
        <v>32</v>
      </c>
      <c r="M54" s="2">
        <v>31</v>
      </c>
    </row>
    <row r="56" spans="1:13" ht="12.75">
      <c r="A56" t="s">
        <v>33</v>
      </c>
      <c r="D56" s="2">
        <v>0</v>
      </c>
      <c r="H56" t="s">
        <v>33</v>
      </c>
      <c r="M56" s="2">
        <v>3</v>
      </c>
    </row>
    <row r="57" spans="1:13" ht="12.75">
      <c r="A57" t="s">
        <v>101</v>
      </c>
      <c r="D57" s="2">
        <v>0</v>
      </c>
      <c r="H57" t="s">
        <v>101</v>
      </c>
      <c r="M57" s="2">
        <v>2</v>
      </c>
    </row>
    <row r="59" spans="1:13" ht="12.75">
      <c r="A59" t="s">
        <v>34</v>
      </c>
      <c r="D59" s="2">
        <v>24</v>
      </c>
      <c r="H59" t="s">
        <v>34</v>
      </c>
      <c r="M59" s="2">
        <v>15</v>
      </c>
    </row>
    <row r="60" spans="1:13" ht="12.75">
      <c r="A60" t="s">
        <v>35</v>
      </c>
      <c r="D60" s="2">
        <v>3</v>
      </c>
      <c r="H60" t="s">
        <v>35</v>
      </c>
      <c r="M60" s="2">
        <v>1</v>
      </c>
    </row>
    <row r="61" spans="1:13" ht="12.75">
      <c r="A61" t="s">
        <v>36</v>
      </c>
      <c r="D61" s="2">
        <v>1</v>
      </c>
      <c r="H61" t="s">
        <v>36</v>
      </c>
      <c r="M61" s="2">
        <v>0</v>
      </c>
    </row>
    <row r="62" spans="1:13" ht="12.75">
      <c r="A62" t="s">
        <v>37</v>
      </c>
      <c r="D62" s="2">
        <v>2</v>
      </c>
      <c r="H62" t="s">
        <v>37</v>
      </c>
      <c r="M62" s="2">
        <v>1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3</v>
      </c>
      <c r="H64" t="s">
        <v>39</v>
      </c>
      <c r="M64" s="2">
        <v>1</v>
      </c>
    </row>
    <row r="65" spans="1:13" ht="12.75">
      <c r="A65" t="s">
        <v>40</v>
      </c>
      <c r="D65" s="2">
        <v>0</v>
      </c>
      <c r="H65" t="s">
        <v>40</v>
      </c>
      <c r="M65" s="2">
        <v>1</v>
      </c>
    </row>
    <row r="66" spans="1:13" ht="12.75">
      <c r="A66" t="s">
        <v>41</v>
      </c>
      <c r="D66" s="2">
        <v>1</v>
      </c>
      <c r="H66" t="s">
        <v>41</v>
      </c>
      <c r="M66" s="2">
        <v>2</v>
      </c>
    </row>
    <row r="67" spans="1:13" ht="12.75">
      <c r="A67" t="s">
        <v>42</v>
      </c>
      <c r="D67" s="2">
        <v>2</v>
      </c>
      <c r="H67" t="s">
        <v>42</v>
      </c>
      <c r="M67" s="2">
        <v>4</v>
      </c>
    </row>
    <row r="68" spans="1:13" ht="12.75">
      <c r="A68" t="s">
        <v>43</v>
      </c>
      <c r="D68" s="7">
        <f>+D66/D67*100</f>
        <v>50</v>
      </c>
      <c r="E68" s="7"/>
      <c r="F68" s="7"/>
      <c r="G68" s="7"/>
      <c r="H68" s="7" t="s">
        <v>43</v>
      </c>
      <c r="I68" s="7"/>
      <c r="J68" s="7"/>
      <c r="K68" s="7"/>
      <c r="L68" s="7"/>
      <c r="M68" s="8">
        <f>+M66/M67*100</f>
        <v>50</v>
      </c>
    </row>
    <row r="69" spans="1:13" ht="12.75">
      <c r="A69" t="s">
        <v>89</v>
      </c>
      <c r="D69" s="10" t="str">
        <f>IF(V23&lt;10,V27,V26)</f>
        <v>23:45</v>
      </c>
      <c r="E69" s="8"/>
      <c r="F69" s="8"/>
      <c r="H69" t="s">
        <v>89</v>
      </c>
      <c r="M69" s="10" t="str">
        <f>IF(W23&lt;10,W27,W26)</f>
        <v>36:15</v>
      </c>
    </row>
    <row r="70" spans="1:13" ht="12.75">
      <c r="A70" t="s">
        <v>102</v>
      </c>
      <c r="D70" s="23">
        <f>D161</f>
        <v>30</v>
      </c>
      <c r="E70" s="8"/>
      <c r="F70" s="8"/>
      <c r="H70" t="s">
        <v>102</v>
      </c>
      <c r="M70" s="23">
        <f>M161</f>
        <v>37.5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17</v>
      </c>
      <c r="D74">
        <v>75</v>
      </c>
      <c r="E74" s="12">
        <f aca="true" t="shared" si="0" ref="E74:E84">+D74/C74</f>
        <v>4.411764705882353</v>
      </c>
      <c r="F74">
        <v>22</v>
      </c>
      <c r="G74">
        <v>1</v>
      </c>
      <c r="H74">
        <v>0</v>
      </c>
    </row>
    <row r="75" spans="1:5" ht="12.75">
      <c r="A75" t="s">
        <v>110</v>
      </c>
      <c r="E75" s="12" t="e">
        <f t="shared" si="0"/>
        <v>#DIV/0!</v>
      </c>
    </row>
    <row r="76" spans="1:5" ht="12.75">
      <c r="A76" t="s">
        <v>111</v>
      </c>
      <c r="E76" s="12" t="e">
        <f t="shared" si="0"/>
        <v>#DIV/0!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8" ht="12.75">
      <c r="A80" t="s">
        <v>115</v>
      </c>
      <c r="C80">
        <v>3</v>
      </c>
      <c r="D80">
        <v>-4</v>
      </c>
      <c r="E80" s="12">
        <f t="shared" si="0"/>
        <v>-1.3333333333333333</v>
      </c>
      <c r="F80">
        <v>0</v>
      </c>
      <c r="G80">
        <v>0</v>
      </c>
      <c r="H80">
        <v>0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spans="1:8" ht="12.75">
      <c r="A84" t="s">
        <v>149</v>
      </c>
      <c r="C84">
        <v>1</v>
      </c>
      <c r="D84">
        <v>0</v>
      </c>
      <c r="E84" s="12">
        <f t="shared" si="0"/>
        <v>0</v>
      </c>
      <c r="F84">
        <v>0</v>
      </c>
      <c r="G84">
        <v>0</v>
      </c>
      <c r="H84">
        <v>0</v>
      </c>
    </row>
    <row r="85" spans="1:8" ht="12.75">
      <c r="A85" s="2" t="s">
        <v>52</v>
      </c>
      <c r="C85" s="3" t="s">
        <v>53</v>
      </c>
      <c r="D85" s="3" t="s">
        <v>48</v>
      </c>
      <c r="E85" s="15" t="s">
        <v>49</v>
      </c>
      <c r="F85" s="3" t="s">
        <v>50</v>
      </c>
      <c r="G85" s="3" t="s">
        <v>51</v>
      </c>
      <c r="H85" s="3" t="s">
        <v>80</v>
      </c>
    </row>
    <row r="86" spans="1:8" ht="12.75">
      <c r="A86" t="s">
        <v>109</v>
      </c>
      <c r="C86">
        <v>4</v>
      </c>
      <c r="D86">
        <v>35</v>
      </c>
      <c r="E86" s="12">
        <f aca="true" t="shared" si="1" ref="E86:E99">+D86/C86</f>
        <v>8.75</v>
      </c>
      <c r="F86">
        <v>17</v>
      </c>
      <c r="G86">
        <v>0</v>
      </c>
      <c r="H86">
        <v>0</v>
      </c>
    </row>
    <row r="87" spans="1:8" ht="12.75">
      <c r="A87" t="s">
        <v>118</v>
      </c>
      <c r="C87">
        <v>3</v>
      </c>
      <c r="D87">
        <v>34</v>
      </c>
      <c r="E87" s="12">
        <f t="shared" si="1"/>
        <v>11.333333333333334</v>
      </c>
      <c r="F87">
        <v>24</v>
      </c>
      <c r="G87">
        <v>1</v>
      </c>
      <c r="H87">
        <v>0</v>
      </c>
    </row>
    <row r="88" spans="1:8" ht="12.75">
      <c r="A88" t="s">
        <v>119</v>
      </c>
      <c r="C88">
        <v>5</v>
      </c>
      <c r="D88">
        <v>126</v>
      </c>
      <c r="E88" s="12">
        <f t="shared" si="1"/>
        <v>25.2</v>
      </c>
      <c r="F88">
        <v>35</v>
      </c>
      <c r="G88">
        <v>1</v>
      </c>
      <c r="H88">
        <v>0</v>
      </c>
    </row>
    <row r="89" spans="1:8" ht="12.75">
      <c r="A89" t="s">
        <v>120</v>
      </c>
      <c r="C89">
        <v>1</v>
      </c>
      <c r="D89">
        <v>9</v>
      </c>
      <c r="E89" s="12">
        <f t="shared" si="1"/>
        <v>9</v>
      </c>
      <c r="F89">
        <v>9</v>
      </c>
      <c r="G89">
        <v>0</v>
      </c>
      <c r="H89">
        <v>0</v>
      </c>
    </row>
    <row r="90" spans="1:5" ht="12.75">
      <c r="A90" t="s">
        <v>121</v>
      </c>
      <c r="E90" s="12" t="e">
        <f t="shared" si="1"/>
        <v>#DIV/0!</v>
      </c>
    </row>
    <row r="91" spans="1:8" ht="12.75">
      <c r="A91" t="s">
        <v>110</v>
      </c>
      <c r="C91">
        <v>1</v>
      </c>
      <c r="D91">
        <v>10</v>
      </c>
      <c r="E91" s="12">
        <f t="shared" si="1"/>
        <v>10</v>
      </c>
      <c r="F91">
        <v>10</v>
      </c>
      <c r="G91">
        <v>0</v>
      </c>
      <c r="H91">
        <v>0</v>
      </c>
    </row>
    <row r="92" spans="1:5" ht="12.75">
      <c r="A92" t="s">
        <v>122</v>
      </c>
      <c r="E92" s="12" t="e">
        <f t="shared" si="1"/>
        <v>#DIV/0!</v>
      </c>
    </row>
    <row r="93" spans="1:5" ht="12.75">
      <c r="A93" t="s">
        <v>123</v>
      </c>
      <c r="E93" s="12" t="e">
        <f t="shared" si="1"/>
        <v>#DIV/0!</v>
      </c>
    </row>
    <row r="94" spans="1:5" ht="12.75">
      <c r="A94" t="s">
        <v>114</v>
      </c>
      <c r="E94" s="12" t="e">
        <f t="shared" si="1"/>
        <v>#DIV/0!</v>
      </c>
    </row>
    <row r="95" spans="1:5" ht="12.75">
      <c r="A95" t="s">
        <v>124</v>
      </c>
      <c r="E95" s="12" t="e">
        <f t="shared" si="1"/>
        <v>#DIV/0!</v>
      </c>
    </row>
    <row r="96" spans="1:5" ht="12.75">
      <c r="A96" t="s">
        <v>125</v>
      </c>
      <c r="E96" s="12" t="e">
        <f t="shared" si="1"/>
        <v>#DIV/0!</v>
      </c>
    </row>
    <row r="97" spans="1:5" ht="12.75">
      <c r="A97" t="s">
        <v>112</v>
      </c>
      <c r="E97" s="12" t="e">
        <f t="shared" si="1"/>
        <v>#DIV/0!</v>
      </c>
    </row>
    <row r="98" spans="1:5" ht="12.75">
      <c r="A98" t="s">
        <v>126</v>
      </c>
      <c r="E98" s="12" t="e">
        <f t="shared" si="1"/>
        <v>#DIV/0!</v>
      </c>
    </row>
    <row r="99" spans="1:5" ht="12.75">
      <c r="A99" t="s">
        <v>127</v>
      </c>
      <c r="E99" s="12" t="e">
        <f t="shared" si="1"/>
        <v>#DIV/0!</v>
      </c>
    </row>
    <row r="100" ht="12.75">
      <c r="E100" s="8"/>
    </row>
    <row r="101" spans="1:13" ht="12.75">
      <c r="A101" s="2"/>
      <c r="B101" s="2"/>
      <c r="C101" s="3"/>
      <c r="D101" s="3"/>
      <c r="E101" s="15" t="s">
        <v>57</v>
      </c>
      <c r="F101" s="3" t="s">
        <v>58</v>
      </c>
      <c r="G101" s="3"/>
      <c r="H101" s="3"/>
      <c r="I101" s="3" t="s">
        <v>61</v>
      </c>
      <c r="J101" s="3" t="s">
        <v>63</v>
      </c>
      <c r="K101" s="3" t="s">
        <v>57</v>
      </c>
      <c r="L101" s="3" t="s">
        <v>49</v>
      </c>
      <c r="M101" s="3"/>
    </row>
    <row r="102" spans="1:14" ht="12.75">
      <c r="A102" s="2" t="s">
        <v>54</v>
      </c>
      <c r="B102" s="2"/>
      <c r="C102" s="3" t="s">
        <v>55</v>
      </c>
      <c r="D102" s="3" t="s">
        <v>56</v>
      </c>
      <c r="E102" s="15" t="s">
        <v>56</v>
      </c>
      <c r="F102" s="3" t="s">
        <v>59</v>
      </c>
      <c r="G102" s="3" t="s">
        <v>51</v>
      </c>
      <c r="H102" s="3" t="s">
        <v>60</v>
      </c>
      <c r="I102" s="5" t="s">
        <v>62</v>
      </c>
      <c r="J102" s="3" t="s">
        <v>51</v>
      </c>
      <c r="K102" s="3" t="s">
        <v>64</v>
      </c>
      <c r="L102" s="3" t="s">
        <v>65</v>
      </c>
      <c r="M102" s="3" t="s">
        <v>66</v>
      </c>
      <c r="N102" s="3" t="s">
        <v>80</v>
      </c>
    </row>
    <row r="103" spans="1:25" ht="12.75">
      <c r="A103" t="s">
        <v>115</v>
      </c>
      <c r="C103">
        <v>28</v>
      </c>
      <c r="D103">
        <v>14</v>
      </c>
      <c r="E103" s="12">
        <f>+D103/C103*100</f>
        <v>50</v>
      </c>
      <c r="F103">
        <v>205</v>
      </c>
      <c r="G103">
        <v>2</v>
      </c>
      <c r="H103">
        <v>35</v>
      </c>
      <c r="I103">
        <v>1</v>
      </c>
      <c r="J103" s="8">
        <f>+G103/C103*100</f>
        <v>7.142857142857142</v>
      </c>
      <c r="K103" s="12">
        <f>+I103/C103*100</f>
        <v>3.571428571428571</v>
      </c>
      <c r="L103" s="12">
        <f>+F103/C103</f>
        <v>7.321428571428571</v>
      </c>
      <c r="M103" s="12">
        <f>100*(S103+U103+W103+Y103)/6</f>
        <v>83.18452380952381</v>
      </c>
      <c r="R103">
        <f>+(E103-30)/20</f>
        <v>1</v>
      </c>
      <c r="S103" s="2">
        <f>IF(R103&lt;0,0,IF(R103&gt;2.375,2.375,R103))</f>
        <v>1</v>
      </c>
      <c r="T103" s="6">
        <f>+(L103-3)/4</f>
        <v>1.0803571428571428</v>
      </c>
      <c r="U103" s="2">
        <f>IF(T103&lt;0,0,IF(T103&gt;2.375,2.375,T103))</f>
        <v>1.0803571428571428</v>
      </c>
      <c r="V103">
        <f>+J103/5</f>
        <v>1.4285714285714284</v>
      </c>
      <c r="W103" s="2">
        <f>IF(V103&lt;0,0,IF(V103&gt;2.375,2.375,V103))</f>
        <v>1.4285714285714284</v>
      </c>
      <c r="X103">
        <f>(9.5-K103)/4</f>
        <v>1.4821428571428572</v>
      </c>
      <c r="Y103" s="2">
        <f>IF(X103&lt;0,0,X103)</f>
        <v>1.4821428571428572</v>
      </c>
    </row>
    <row r="104" spans="1:25" ht="12.75">
      <c r="A104" t="s">
        <v>111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128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109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7" spans="1:25" ht="12.75">
      <c r="A107" t="s">
        <v>129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10" spans="1:9" ht="12.75">
      <c r="A110" s="2" t="s">
        <v>67</v>
      </c>
      <c r="C110" s="3" t="s">
        <v>68</v>
      </c>
      <c r="D110" s="3" t="s">
        <v>69</v>
      </c>
      <c r="E110" s="3" t="s">
        <v>70</v>
      </c>
      <c r="F110" s="3" t="s">
        <v>49</v>
      </c>
      <c r="G110" s="3" t="s">
        <v>60</v>
      </c>
      <c r="H110" s="3" t="s">
        <v>51</v>
      </c>
      <c r="I110" s="3" t="s">
        <v>80</v>
      </c>
    </row>
    <row r="111" spans="1:6" ht="12.75">
      <c r="A111" t="s">
        <v>130</v>
      </c>
      <c r="F111" s="12" t="e">
        <f>+E111/C111</f>
        <v>#DIV/0!</v>
      </c>
    </row>
    <row r="112" spans="1:6" ht="12.75">
      <c r="A112" t="s">
        <v>131</v>
      </c>
      <c r="F112" s="12" t="e">
        <f>+E112/C112</f>
        <v>#DIV/0!</v>
      </c>
    </row>
    <row r="113" spans="1:6" ht="12.75">
      <c r="A113" t="s">
        <v>118</v>
      </c>
      <c r="F113" s="12" t="e">
        <f>+E113/C113</f>
        <v>#DIV/0!</v>
      </c>
    </row>
    <row r="114" spans="1:6" ht="12.75">
      <c r="A114" t="s">
        <v>132</v>
      </c>
      <c r="F114" s="12" t="e">
        <f>+E114/C114</f>
        <v>#DIV/0!</v>
      </c>
    </row>
    <row r="115" spans="1:6" ht="12.75">
      <c r="A115" t="s">
        <v>112</v>
      </c>
      <c r="F115" s="12" t="e">
        <f>+E115/C115</f>
        <v>#DIV/0!</v>
      </c>
    </row>
    <row r="117" spans="1:8" ht="12.75">
      <c r="A117" s="2" t="s">
        <v>30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51</v>
      </c>
      <c r="H117" s="3" t="s">
        <v>80</v>
      </c>
    </row>
    <row r="118" spans="1:8" ht="12.75">
      <c r="A118" t="s">
        <v>130</v>
      </c>
      <c r="C118">
        <v>3</v>
      </c>
      <c r="D118">
        <v>63</v>
      </c>
      <c r="E118" s="12">
        <f aca="true" t="shared" si="2" ref="E118:E126">+D118/C118</f>
        <v>21</v>
      </c>
      <c r="F118">
        <v>25</v>
      </c>
      <c r="G118">
        <v>0</v>
      </c>
      <c r="H118">
        <v>0</v>
      </c>
    </row>
    <row r="119" spans="1:8" ht="12.75">
      <c r="A119" t="s">
        <v>112</v>
      </c>
      <c r="C119">
        <v>1</v>
      </c>
      <c r="D119">
        <v>9</v>
      </c>
      <c r="E119" s="12">
        <f t="shared" si="2"/>
        <v>9</v>
      </c>
      <c r="F119">
        <v>9</v>
      </c>
      <c r="G119">
        <v>0</v>
      </c>
      <c r="H119">
        <v>0</v>
      </c>
    </row>
    <row r="120" spans="1:5" ht="12.75">
      <c r="A120" t="s">
        <v>116</v>
      </c>
      <c r="E120" s="12" t="e">
        <f t="shared" si="2"/>
        <v>#DIV/0!</v>
      </c>
    </row>
    <row r="121" spans="1:5" ht="12.75">
      <c r="A121" t="s">
        <v>124</v>
      </c>
      <c r="E121" s="12" t="e">
        <f t="shared" si="2"/>
        <v>#DIV/0!</v>
      </c>
    </row>
    <row r="122" spans="1:5" ht="12.75">
      <c r="A122" t="s">
        <v>122</v>
      </c>
      <c r="E122" s="12" t="e">
        <f t="shared" si="2"/>
        <v>#DIV/0!</v>
      </c>
    </row>
    <row r="123" spans="1:5" ht="12.75">
      <c r="A123" t="s">
        <v>114</v>
      </c>
      <c r="E123" s="12" t="e">
        <f t="shared" si="2"/>
        <v>#DIV/0!</v>
      </c>
    </row>
    <row r="124" spans="1:5" ht="12.75">
      <c r="A124" t="s">
        <v>126</v>
      </c>
      <c r="E124" s="12" t="e">
        <f t="shared" si="2"/>
        <v>#DIV/0!</v>
      </c>
    </row>
    <row r="125" spans="1:5" ht="12.75">
      <c r="A125" t="s">
        <v>127</v>
      </c>
      <c r="E125" s="12" t="e">
        <f t="shared" si="2"/>
        <v>#DIV/0!</v>
      </c>
    </row>
    <row r="126" spans="1:5" ht="12.75">
      <c r="A126" t="s">
        <v>106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129</v>
      </c>
      <c r="C129">
        <v>5</v>
      </c>
      <c r="D129">
        <v>213</v>
      </c>
      <c r="E129" s="12">
        <f>+D129/C129</f>
        <v>42.6</v>
      </c>
      <c r="F129">
        <v>55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133</v>
      </c>
      <c r="C132">
        <v>5</v>
      </c>
      <c r="D132">
        <v>1</v>
      </c>
      <c r="E132">
        <v>3</v>
      </c>
      <c r="F132">
        <v>3</v>
      </c>
      <c r="G132">
        <v>2</v>
      </c>
      <c r="H132">
        <v>1</v>
      </c>
      <c r="I132" s="12">
        <f>+H132/G132*100</f>
        <v>50</v>
      </c>
      <c r="J132">
        <v>52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5" ht="12.75">
      <c r="A135" t="s">
        <v>134</v>
      </c>
      <c r="E135" s="12" t="e">
        <f>+D135/C135</f>
        <v>#DIV/0!</v>
      </c>
    </row>
    <row r="136" spans="1:5" ht="12.75">
      <c r="A136" t="s">
        <v>135</v>
      </c>
      <c r="E136" s="12" t="e">
        <f aca="true" t="shared" si="3" ref="E136:E143">+D136/C136</f>
        <v>#DIV/0!</v>
      </c>
    </row>
    <row r="137" spans="1:5" ht="12.75">
      <c r="A137" t="s">
        <v>130</v>
      </c>
      <c r="E137" s="12" t="e">
        <f t="shared" si="3"/>
        <v>#DIV/0!</v>
      </c>
    </row>
    <row r="138" spans="1:5" ht="12.75">
      <c r="A138" t="s">
        <v>131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137</v>
      </c>
      <c r="E140" s="12" t="e">
        <f t="shared" si="3"/>
        <v>#DIV/0!</v>
      </c>
    </row>
    <row r="141" spans="1:5" ht="12.75">
      <c r="A141" t="s">
        <v>138</v>
      </c>
      <c r="E141" s="12" t="e">
        <f t="shared" si="3"/>
        <v>#DIV/0!</v>
      </c>
    </row>
    <row r="142" spans="1:5" ht="12.75">
      <c r="A142" t="s">
        <v>139</v>
      </c>
      <c r="E142" s="12" t="e">
        <f t="shared" si="3"/>
        <v>#DIV/0!</v>
      </c>
    </row>
    <row r="143" spans="1:5" ht="12.75">
      <c r="A143" t="s">
        <v>140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ht="12.75">
      <c r="A146" t="s">
        <v>117</v>
      </c>
    </row>
    <row r="147" spans="1:3" ht="12.75">
      <c r="A147" t="s">
        <v>141</v>
      </c>
      <c r="C147">
        <v>2</v>
      </c>
    </row>
    <row r="148" spans="1:3" ht="12.75">
      <c r="A148" t="s">
        <v>142</v>
      </c>
      <c r="C148">
        <v>1</v>
      </c>
    </row>
    <row r="149" ht="12.75">
      <c r="A149" t="s">
        <v>143</v>
      </c>
    </row>
    <row r="150" ht="12.75">
      <c r="A150" t="s">
        <v>144</v>
      </c>
    </row>
    <row r="151" spans="1:3" ht="12.75">
      <c r="A151" t="s">
        <v>145</v>
      </c>
      <c r="C151">
        <v>1</v>
      </c>
    </row>
    <row r="152" ht="12.75">
      <c r="A152" t="s">
        <v>140</v>
      </c>
    </row>
    <row r="153" ht="12.75">
      <c r="A153" t="s">
        <v>146</v>
      </c>
    </row>
    <row r="154" ht="12.75">
      <c r="A154" t="s">
        <v>138</v>
      </c>
    </row>
    <row r="155" ht="12.75">
      <c r="A155" t="s">
        <v>139</v>
      </c>
    </row>
    <row r="156" ht="12.75">
      <c r="A156" t="s">
        <v>147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10</v>
      </c>
      <c r="H159" t="s">
        <v>93</v>
      </c>
      <c r="M159">
        <v>16</v>
      </c>
    </row>
    <row r="160" spans="1:13" ht="12.75">
      <c r="A160" t="s">
        <v>94</v>
      </c>
      <c r="D160">
        <v>3</v>
      </c>
      <c r="H160" t="s">
        <v>94</v>
      </c>
      <c r="M160">
        <v>6</v>
      </c>
    </row>
    <row r="161" spans="1:13" ht="12.75">
      <c r="A161" t="s">
        <v>95</v>
      </c>
      <c r="D161">
        <f>D160/D159*100</f>
        <v>30</v>
      </c>
      <c r="H161" t="s">
        <v>95</v>
      </c>
      <c r="M161">
        <f>+M160/M159*100</f>
        <v>37.5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Y161"/>
  <sheetViews>
    <sheetView zoomScalePageLayoutView="0" workbookViewId="0" topLeftCell="A78">
      <selection activeCell="O63" sqref="O63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107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17</v>
      </c>
      <c r="H6" s="1" t="s">
        <v>29</v>
      </c>
      <c r="M6" s="2">
        <f>M7+M8+M9</f>
        <v>25</v>
      </c>
    </row>
    <row r="7" spans="1:13" ht="12.75">
      <c r="A7" s="1" t="s">
        <v>103</v>
      </c>
      <c r="D7" s="2">
        <v>1</v>
      </c>
      <c r="H7" s="1" t="s">
        <v>103</v>
      </c>
      <c r="M7" s="2">
        <v>10</v>
      </c>
    </row>
    <row r="8" spans="1:13" ht="12.75">
      <c r="A8" s="1" t="s">
        <v>105</v>
      </c>
      <c r="D8" s="2">
        <v>13</v>
      </c>
      <c r="H8" s="1" t="s">
        <v>105</v>
      </c>
      <c r="M8" s="2">
        <v>13</v>
      </c>
    </row>
    <row r="9" spans="1:13" ht="12.75">
      <c r="A9" s="1" t="s">
        <v>104</v>
      </c>
      <c r="D9" s="2">
        <v>3</v>
      </c>
      <c r="H9" s="1" t="s">
        <v>104</v>
      </c>
      <c r="M9" s="2">
        <v>2</v>
      </c>
    </row>
    <row r="11" spans="1:23" ht="12.75">
      <c r="A11" t="s">
        <v>1</v>
      </c>
      <c r="D11" s="2">
        <v>22</v>
      </c>
      <c r="H11" t="s">
        <v>1</v>
      </c>
      <c r="M11" s="2">
        <v>33</v>
      </c>
      <c r="V11">
        <f>+D11</f>
        <v>22</v>
      </c>
      <c r="W11">
        <f>+M11</f>
        <v>33</v>
      </c>
    </row>
    <row r="12" spans="1:23" ht="12.75">
      <c r="A12" t="s">
        <v>2</v>
      </c>
      <c r="D12" s="2">
        <v>31</v>
      </c>
      <c r="H12" t="s">
        <v>2</v>
      </c>
      <c r="M12" s="2">
        <v>179</v>
      </c>
      <c r="U12" s="13"/>
      <c r="V12">
        <f>+D16</f>
        <v>16</v>
      </c>
      <c r="W12">
        <f>+M16</f>
        <v>23</v>
      </c>
    </row>
    <row r="13" spans="1:23" ht="12.75">
      <c r="A13" s="1" t="s">
        <v>3</v>
      </c>
      <c r="D13" s="8">
        <f>+D12/D11</f>
        <v>1.4090909090909092</v>
      </c>
      <c r="H13" s="1" t="s">
        <v>3</v>
      </c>
      <c r="M13" s="8">
        <f>+M12/M11</f>
        <v>5.424242424242424</v>
      </c>
      <c r="V13">
        <f>+(D15-D16)/2</f>
        <v>11.5</v>
      </c>
      <c r="W13">
        <f>+(M15-M16)/2</f>
        <v>2.5</v>
      </c>
    </row>
    <row r="14" spans="22:23" ht="12.75">
      <c r="V14">
        <f>+D38/2</f>
        <v>2.5</v>
      </c>
      <c r="W14">
        <f>+M38/2</f>
        <v>1.5</v>
      </c>
    </row>
    <row r="15" spans="1:23" ht="12.75">
      <c r="A15" t="s">
        <v>4</v>
      </c>
      <c r="D15" s="2">
        <v>39</v>
      </c>
      <c r="H15" t="s">
        <v>4</v>
      </c>
      <c r="M15" s="2">
        <v>28</v>
      </c>
      <c r="V15">
        <f>+D42/2</f>
        <v>1</v>
      </c>
      <c r="W15">
        <f>+M42/2</f>
        <v>1.5</v>
      </c>
    </row>
    <row r="16" spans="1:23" ht="12.75">
      <c r="A16" t="s">
        <v>5</v>
      </c>
      <c r="D16" s="2">
        <v>16</v>
      </c>
      <c r="H16" t="s">
        <v>5</v>
      </c>
      <c r="M16" s="2">
        <v>23</v>
      </c>
      <c r="V16">
        <f>+D48/2</f>
        <v>3</v>
      </c>
      <c r="W16">
        <f>+M48/2</f>
        <v>2</v>
      </c>
    </row>
    <row r="17" spans="1:13" ht="12.75">
      <c r="A17" t="s">
        <v>6</v>
      </c>
      <c r="D17" s="8">
        <f>+D16/D15*100</f>
        <v>41.02564102564102</v>
      </c>
      <c r="H17" t="s">
        <v>6</v>
      </c>
      <c r="M17" s="8">
        <f>+M16/M15*100</f>
        <v>82.14285714285714</v>
      </c>
    </row>
    <row r="18" spans="1:24" ht="12.75">
      <c r="A18" t="s">
        <v>7</v>
      </c>
      <c r="D18" s="2">
        <v>229</v>
      </c>
      <c r="H18" t="s">
        <v>7</v>
      </c>
      <c r="M18" s="2">
        <v>338</v>
      </c>
      <c r="V18">
        <f>SUM(V11:V16)</f>
        <v>56</v>
      </c>
      <c r="W18">
        <f>SUM(W11:W16)</f>
        <v>63.5</v>
      </c>
      <c r="X18">
        <f>+W18+V18</f>
        <v>119.5</v>
      </c>
    </row>
    <row r="19" spans="1:23" ht="12.75">
      <c r="A19" t="s">
        <v>8</v>
      </c>
      <c r="D19" s="2">
        <v>2</v>
      </c>
      <c r="H19" t="s">
        <v>8</v>
      </c>
      <c r="M19" s="2">
        <v>3</v>
      </c>
      <c r="V19">
        <f>+V18/X18</f>
        <v>0.4686192468619247</v>
      </c>
      <c r="W19">
        <f>+W18/X18</f>
        <v>0.5313807531380753</v>
      </c>
    </row>
    <row r="20" spans="1:23" ht="12.75">
      <c r="A20" t="s">
        <v>9</v>
      </c>
      <c r="D20" s="2">
        <v>4</v>
      </c>
      <c r="H20" t="s">
        <v>9</v>
      </c>
      <c r="M20" s="2">
        <v>21</v>
      </c>
      <c r="V20">
        <f>+V19*60</f>
        <v>28.11715481171548</v>
      </c>
      <c r="W20">
        <f>+W19*60</f>
        <v>31.88284518828452</v>
      </c>
    </row>
    <row r="21" spans="1:23" ht="12.75">
      <c r="A21" t="s">
        <v>10</v>
      </c>
      <c r="D21">
        <f>+D18-D20</f>
        <v>225</v>
      </c>
      <c r="H21" t="s">
        <v>10</v>
      </c>
      <c r="M21">
        <f>+M18-M20</f>
        <v>317</v>
      </c>
      <c r="V21">
        <f>+V20-INT(V20)</f>
        <v>0.11715481171547992</v>
      </c>
      <c r="W21">
        <f>+W20-INT(W20)</f>
        <v>0.8828451882845201</v>
      </c>
    </row>
    <row r="22" spans="1:23" ht="12.75">
      <c r="A22" t="s">
        <v>11</v>
      </c>
      <c r="D22" s="7">
        <f>+D21/(D15+D19)</f>
        <v>5.487804878048781</v>
      </c>
      <c r="H22" t="s">
        <v>11</v>
      </c>
      <c r="M22" s="7">
        <f>+M21/(M15+M19)</f>
        <v>10.225806451612904</v>
      </c>
      <c r="V22">
        <f>+V21*60</f>
        <v>7.029288702928795</v>
      </c>
      <c r="W22">
        <f>+W21*60</f>
        <v>52.970711297071205</v>
      </c>
    </row>
    <row r="23" spans="1:23" ht="12.75">
      <c r="A23" t="s">
        <v>12</v>
      </c>
      <c r="D23" s="7">
        <f>+D18/D16</f>
        <v>14.3125</v>
      </c>
      <c r="H23" t="s">
        <v>12</v>
      </c>
      <c r="M23" s="7">
        <f>+M18/M16</f>
        <v>14.695652173913043</v>
      </c>
      <c r="U23">
        <v>0</v>
      </c>
      <c r="V23" s="11">
        <f>ROUND(V22,0)</f>
        <v>7</v>
      </c>
      <c r="W23">
        <f>ROUND(W22,0)</f>
        <v>53</v>
      </c>
    </row>
    <row r="24" spans="22:23" ht="12.75">
      <c r="V24">
        <f>INT(V20)</f>
        <v>28</v>
      </c>
      <c r="W24">
        <f>INT(W20)</f>
        <v>31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256</v>
      </c>
      <c r="H26" t="s">
        <v>14</v>
      </c>
      <c r="M26">
        <f>+M21+M12</f>
        <v>496</v>
      </c>
      <c r="Q26" s="9"/>
      <c r="R26" s="9"/>
      <c r="V26" s="14" t="str">
        <f>+V24&amp;V25&amp;V23</f>
        <v>28:7</v>
      </c>
      <c r="W26" s="9" t="str">
        <f>+W24&amp;W25&amp;W23</f>
        <v>31:53</v>
      </c>
    </row>
    <row r="27" spans="1:23" ht="12.75">
      <c r="A27" t="s">
        <v>15</v>
      </c>
      <c r="D27" s="7">
        <f>+D12/D26*100</f>
        <v>12.109375</v>
      </c>
      <c r="H27" t="s">
        <v>15</v>
      </c>
      <c r="M27" s="7">
        <f>+M12/M26*100</f>
        <v>36.08870967741936</v>
      </c>
      <c r="V27" s="9" t="str">
        <f>IF(V23&lt;10,+V24&amp;V25&amp;$U$23&amp;V23,+V24&amp;V25&amp;V23)</f>
        <v>28:07</v>
      </c>
      <c r="W27" s="9" t="str">
        <f>IF(W23&lt;10,+W24&amp;W25&amp;$U$23&amp;W23,+W24&amp;W25&amp;W23)</f>
        <v>31:53</v>
      </c>
    </row>
    <row r="28" spans="1:13" ht="12.75">
      <c r="A28" s="1" t="s">
        <v>86</v>
      </c>
      <c r="D28" s="7">
        <f>+D21/D26*100</f>
        <v>87.890625</v>
      </c>
      <c r="H28" s="1" t="s">
        <v>86</v>
      </c>
      <c r="M28" s="7">
        <f>+M21/M26*100</f>
        <v>63.91129032258065</v>
      </c>
    </row>
    <row r="30" spans="1:13" ht="12.75">
      <c r="A30" t="s">
        <v>16</v>
      </c>
      <c r="D30">
        <f>+D11+D15+D19</f>
        <v>63</v>
      </c>
      <c r="H30" t="s">
        <v>16</v>
      </c>
      <c r="M30">
        <f>+M11+M15+M19</f>
        <v>64</v>
      </c>
    </row>
    <row r="31" spans="1:13" ht="12.75">
      <c r="A31" t="s">
        <v>17</v>
      </c>
      <c r="D31" s="8">
        <f>+D26/D30</f>
        <v>4.063492063492063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7.75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4</v>
      </c>
      <c r="H34" t="s">
        <v>19</v>
      </c>
      <c r="M34" s="2">
        <v>1</v>
      </c>
    </row>
    <row r="35" spans="1:13" ht="12.75">
      <c r="A35" t="s">
        <v>20</v>
      </c>
      <c r="D35" s="2">
        <v>18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5</v>
      </c>
      <c r="H38" t="s">
        <v>22</v>
      </c>
      <c r="M38" s="2">
        <v>3</v>
      </c>
    </row>
    <row r="39" spans="1:13" ht="12.75">
      <c r="A39" t="s">
        <v>23</v>
      </c>
      <c r="D39" s="2">
        <v>193</v>
      </c>
      <c r="H39" t="s">
        <v>23</v>
      </c>
      <c r="M39" s="2">
        <v>147</v>
      </c>
    </row>
    <row r="40" spans="1:13" ht="12.75">
      <c r="A40" t="s">
        <v>24</v>
      </c>
      <c r="D40" s="8">
        <f>+D39/D38</f>
        <v>38.6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49</v>
      </c>
    </row>
    <row r="42" spans="1:13" ht="12.75">
      <c r="A42" t="s">
        <v>25</v>
      </c>
      <c r="D42" s="2">
        <v>2</v>
      </c>
      <c r="H42" t="s">
        <v>25</v>
      </c>
      <c r="M42" s="2">
        <v>3</v>
      </c>
    </row>
    <row r="43" spans="1:13" ht="12.75">
      <c r="A43" t="s">
        <v>26</v>
      </c>
      <c r="D43" s="2">
        <v>19</v>
      </c>
      <c r="H43" t="s">
        <v>26</v>
      </c>
      <c r="M43" s="2">
        <v>40</v>
      </c>
    </row>
    <row r="44" spans="1:13" ht="12.75">
      <c r="A44" t="s">
        <v>27</v>
      </c>
      <c r="D44" s="8">
        <f>+D43/D42</f>
        <v>9.5</v>
      </c>
      <c r="H44" t="s">
        <v>27</v>
      </c>
      <c r="M44" s="8">
        <f>+M43/M42</f>
        <v>13.333333333333334</v>
      </c>
    </row>
    <row r="45" spans="1:13" ht="12.75">
      <c r="A45" t="s">
        <v>108</v>
      </c>
      <c r="D45" s="2">
        <v>1</v>
      </c>
      <c r="H45" t="s">
        <v>108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6</v>
      </c>
      <c r="H48" t="s">
        <v>30</v>
      </c>
      <c r="M48" s="2">
        <v>4</v>
      </c>
    </row>
    <row r="49" spans="1:13" ht="12.75">
      <c r="A49" t="s">
        <v>26</v>
      </c>
      <c r="D49" s="2">
        <v>131</v>
      </c>
      <c r="H49" t="s">
        <v>26</v>
      </c>
      <c r="M49" s="2">
        <v>66</v>
      </c>
    </row>
    <row r="50" spans="1:13" ht="12.75">
      <c r="A50" t="s">
        <v>27</v>
      </c>
      <c r="D50" s="8">
        <f>+D49/D48</f>
        <v>21.833333333333332</v>
      </c>
      <c r="H50" t="s">
        <v>27</v>
      </c>
      <c r="M50" s="8">
        <f>+M49/M48</f>
        <v>16.5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11</v>
      </c>
      <c r="H53" t="s">
        <v>31</v>
      </c>
      <c r="M53" s="2">
        <v>9</v>
      </c>
    </row>
    <row r="54" spans="1:13" ht="12.75">
      <c r="A54" t="s">
        <v>32</v>
      </c>
      <c r="D54" s="2">
        <v>99</v>
      </c>
      <c r="H54" t="s">
        <v>32</v>
      </c>
      <c r="M54" s="2">
        <v>60</v>
      </c>
    </row>
    <row r="56" spans="1:13" ht="12.75">
      <c r="A56" t="s">
        <v>33</v>
      </c>
      <c r="D56" s="2">
        <v>3</v>
      </c>
      <c r="H56" t="s">
        <v>33</v>
      </c>
      <c r="M56" s="2">
        <v>6</v>
      </c>
    </row>
    <row r="57" spans="1:13" ht="12.75">
      <c r="A57" t="s">
        <v>101</v>
      </c>
      <c r="D57" s="2">
        <v>2</v>
      </c>
      <c r="H57" t="s">
        <v>101</v>
      </c>
      <c r="M57" s="2">
        <v>4</v>
      </c>
    </row>
    <row r="59" spans="1:13" ht="12.75">
      <c r="A59" t="s">
        <v>34</v>
      </c>
      <c r="D59" s="2">
        <v>9</v>
      </c>
      <c r="H59" t="s">
        <v>34</v>
      </c>
      <c r="M59" s="2">
        <v>33</v>
      </c>
    </row>
    <row r="60" spans="1:13" ht="12.75">
      <c r="A60" t="s">
        <v>35</v>
      </c>
      <c r="D60" s="2">
        <v>0</v>
      </c>
      <c r="H60" t="s">
        <v>35</v>
      </c>
      <c r="M60" s="2">
        <v>3</v>
      </c>
    </row>
    <row r="61" spans="1:13" ht="12.75">
      <c r="A61" t="s">
        <v>36</v>
      </c>
      <c r="D61" s="2">
        <v>0</v>
      </c>
      <c r="H61" t="s">
        <v>36</v>
      </c>
      <c r="M61" s="2">
        <v>2</v>
      </c>
    </row>
    <row r="62" spans="1:13" ht="12.75">
      <c r="A62" t="s">
        <v>37</v>
      </c>
      <c r="D62" s="2">
        <v>0</v>
      </c>
      <c r="H62" t="s">
        <v>37</v>
      </c>
      <c r="M62" s="2">
        <v>1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0</v>
      </c>
      <c r="H64" t="s">
        <v>39</v>
      </c>
      <c r="M64" s="2">
        <v>3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3</v>
      </c>
      <c r="H66" t="s">
        <v>41</v>
      </c>
      <c r="M66" s="2">
        <v>4</v>
      </c>
    </row>
    <row r="67" spans="1:13" ht="12.75">
      <c r="A67" t="s">
        <v>42</v>
      </c>
      <c r="D67" s="2">
        <v>4</v>
      </c>
      <c r="H67" t="s">
        <v>42</v>
      </c>
      <c r="M67" s="2">
        <v>4</v>
      </c>
    </row>
    <row r="68" spans="1:13" ht="12.75">
      <c r="A68" t="s">
        <v>43</v>
      </c>
      <c r="D68" s="8">
        <f>+D66/D67*100</f>
        <v>75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89</v>
      </c>
      <c r="D69" s="10" t="str">
        <f>IF(V23&lt;10,V27,V26)</f>
        <v>28:07</v>
      </c>
      <c r="E69" s="8"/>
      <c r="F69" s="8"/>
      <c r="H69" t="s">
        <v>89</v>
      </c>
      <c r="M69" s="10" t="str">
        <f>IF(W23&lt;10,W27,W26)</f>
        <v>31:53</v>
      </c>
    </row>
    <row r="70" spans="1:13" ht="12.75">
      <c r="A70" t="s">
        <v>102</v>
      </c>
      <c r="D70" s="23">
        <f>D161</f>
        <v>28.57142857142857</v>
      </c>
      <c r="E70" s="8"/>
      <c r="F70" s="8"/>
      <c r="H70" t="s">
        <v>102</v>
      </c>
      <c r="M70" s="23">
        <f>M161</f>
        <v>30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22</v>
      </c>
      <c r="D74">
        <v>31</v>
      </c>
      <c r="E74" s="12">
        <f aca="true" t="shared" si="0" ref="E74:E83">+D74/C74</f>
        <v>1.4090909090909092</v>
      </c>
      <c r="F74">
        <v>10</v>
      </c>
      <c r="G74">
        <v>0</v>
      </c>
      <c r="H74">
        <v>2</v>
      </c>
    </row>
    <row r="75" spans="1:5" ht="12.75">
      <c r="A75" t="s">
        <v>110</v>
      </c>
      <c r="E75" s="12" t="e">
        <f t="shared" si="0"/>
        <v>#DIV/0!</v>
      </c>
    </row>
    <row r="76" spans="1:5" ht="12.75">
      <c r="A76" t="s">
        <v>111</v>
      </c>
      <c r="E76" s="12" t="e">
        <f t="shared" si="0"/>
        <v>#DIV/0!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ht="12.75">
      <c r="E84" s="8"/>
    </row>
    <row r="85" spans="1:8" ht="12.75">
      <c r="A85" s="2" t="s">
        <v>52</v>
      </c>
      <c r="C85" s="3" t="s">
        <v>53</v>
      </c>
      <c r="D85" s="3" t="s">
        <v>48</v>
      </c>
      <c r="E85" s="15" t="s">
        <v>49</v>
      </c>
      <c r="F85" s="3" t="s">
        <v>50</v>
      </c>
      <c r="G85" s="3" t="s">
        <v>51</v>
      </c>
      <c r="H85" s="3" t="s">
        <v>80</v>
      </c>
    </row>
    <row r="86" spans="1:8" ht="12.75">
      <c r="A86" t="s">
        <v>109</v>
      </c>
      <c r="C86">
        <v>3</v>
      </c>
      <c r="D86">
        <v>45</v>
      </c>
      <c r="E86" s="12">
        <f aca="true" t="shared" si="1" ref="E86:E99">+D86/C86</f>
        <v>15</v>
      </c>
      <c r="F86">
        <v>18</v>
      </c>
      <c r="G86">
        <v>0</v>
      </c>
      <c r="H86">
        <v>0</v>
      </c>
    </row>
    <row r="87" spans="1:8" ht="12.75">
      <c r="A87" t="s">
        <v>118</v>
      </c>
      <c r="C87">
        <v>1</v>
      </c>
      <c r="D87">
        <v>29</v>
      </c>
      <c r="E87" s="12">
        <f t="shared" si="1"/>
        <v>29</v>
      </c>
      <c r="F87">
        <v>29</v>
      </c>
      <c r="G87">
        <v>0</v>
      </c>
      <c r="H87">
        <v>0</v>
      </c>
    </row>
    <row r="88" spans="1:8" ht="12.75">
      <c r="A88" t="s">
        <v>119</v>
      </c>
      <c r="C88">
        <v>3</v>
      </c>
      <c r="D88">
        <v>49</v>
      </c>
      <c r="E88" s="12">
        <f t="shared" si="1"/>
        <v>16.333333333333332</v>
      </c>
      <c r="F88">
        <v>21</v>
      </c>
      <c r="G88">
        <v>0</v>
      </c>
      <c r="H88">
        <v>0</v>
      </c>
    </row>
    <row r="89" spans="1:8" ht="12.75">
      <c r="A89" t="s">
        <v>120</v>
      </c>
      <c r="C89">
        <v>1</v>
      </c>
      <c r="D89">
        <v>5</v>
      </c>
      <c r="E89" s="12">
        <f t="shared" si="1"/>
        <v>5</v>
      </c>
      <c r="F89">
        <v>5</v>
      </c>
      <c r="G89">
        <v>0</v>
      </c>
      <c r="H89">
        <v>0</v>
      </c>
    </row>
    <row r="90" spans="1:8" ht="12.75">
      <c r="A90" t="s">
        <v>121</v>
      </c>
      <c r="C90">
        <v>5</v>
      </c>
      <c r="D90">
        <v>82</v>
      </c>
      <c r="E90" s="12">
        <f t="shared" si="1"/>
        <v>16.4</v>
      </c>
      <c r="F90">
        <v>23</v>
      </c>
      <c r="G90">
        <v>0</v>
      </c>
      <c r="H90">
        <v>0</v>
      </c>
    </row>
    <row r="91" spans="1:8" ht="12.75">
      <c r="A91" t="s">
        <v>110</v>
      </c>
      <c r="C91">
        <v>2</v>
      </c>
      <c r="D91">
        <v>19</v>
      </c>
      <c r="E91" s="12">
        <f t="shared" si="1"/>
        <v>9.5</v>
      </c>
      <c r="F91">
        <v>10</v>
      </c>
      <c r="G91">
        <v>0</v>
      </c>
      <c r="H91">
        <v>0</v>
      </c>
    </row>
    <row r="92" spans="1:5" ht="12.75">
      <c r="A92" t="s">
        <v>122</v>
      </c>
      <c r="E92" s="12" t="e">
        <f t="shared" si="1"/>
        <v>#DIV/0!</v>
      </c>
    </row>
    <row r="93" spans="1:5" ht="12.75">
      <c r="A93" t="s">
        <v>123</v>
      </c>
      <c r="E93" s="12" t="e">
        <f t="shared" si="1"/>
        <v>#DIV/0!</v>
      </c>
    </row>
    <row r="94" spans="1:5" ht="12.75">
      <c r="A94" t="s">
        <v>114</v>
      </c>
      <c r="E94" s="12" t="e">
        <f t="shared" si="1"/>
        <v>#DIV/0!</v>
      </c>
    </row>
    <row r="95" spans="1:5" ht="12.75">
      <c r="A95" t="s">
        <v>124</v>
      </c>
      <c r="E95" s="12" t="e">
        <f t="shared" si="1"/>
        <v>#DIV/0!</v>
      </c>
    </row>
    <row r="96" spans="1:8" ht="12.75">
      <c r="A96" t="s">
        <v>125</v>
      </c>
      <c r="C96">
        <v>1</v>
      </c>
      <c r="D96">
        <v>4</v>
      </c>
      <c r="E96" s="12">
        <f t="shared" si="1"/>
        <v>4</v>
      </c>
      <c r="F96">
        <v>4</v>
      </c>
      <c r="G96">
        <v>0</v>
      </c>
      <c r="H96">
        <v>0</v>
      </c>
    </row>
    <row r="97" spans="1:5" ht="12.75">
      <c r="A97" t="s">
        <v>112</v>
      </c>
      <c r="E97" s="12" t="e">
        <f t="shared" si="1"/>
        <v>#DIV/0!</v>
      </c>
    </row>
    <row r="98" spans="1:5" ht="12.75">
      <c r="A98" t="s">
        <v>126</v>
      </c>
      <c r="E98" s="12" t="e">
        <f t="shared" si="1"/>
        <v>#DIV/0!</v>
      </c>
    </row>
    <row r="99" spans="1:5" ht="12.75">
      <c r="A99" t="s">
        <v>127</v>
      </c>
      <c r="E99" s="12" t="e">
        <f t="shared" si="1"/>
        <v>#DIV/0!</v>
      </c>
    </row>
    <row r="100" ht="12.75">
      <c r="E100" s="8"/>
    </row>
    <row r="101" spans="1:13" ht="12.75">
      <c r="A101" s="2"/>
      <c r="B101" s="2"/>
      <c r="C101" s="3"/>
      <c r="D101" s="3"/>
      <c r="E101" s="15" t="s">
        <v>57</v>
      </c>
      <c r="F101" s="3" t="s">
        <v>58</v>
      </c>
      <c r="G101" s="3"/>
      <c r="H101" s="3"/>
      <c r="I101" s="3" t="s">
        <v>61</v>
      </c>
      <c r="J101" s="3" t="s">
        <v>63</v>
      </c>
      <c r="K101" s="3" t="s">
        <v>57</v>
      </c>
      <c r="L101" s="3" t="s">
        <v>49</v>
      </c>
      <c r="M101" s="3"/>
    </row>
    <row r="102" spans="1:14" ht="12.75">
      <c r="A102" s="2" t="s">
        <v>54</v>
      </c>
      <c r="B102" s="2"/>
      <c r="C102" s="3" t="s">
        <v>55</v>
      </c>
      <c r="D102" s="3" t="s">
        <v>56</v>
      </c>
      <c r="E102" s="15" t="s">
        <v>56</v>
      </c>
      <c r="F102" s="3" t="s">
        <v>59</v>
      </c>
      <c r="G102" s="3" t="s">
        <v>51</v>
      </c>
      <c r="H102" s="3" t="s">
        <v>60</v>
      </c>
      <c r="I102" s="5" t="s">
        <v>62</v>
      </c>
      <c r="J102" s="3" t="s">
        <v>51</v>
      </c>
      <c r="K102" s="3" t="s">
        <v>64</v>
      </c>
      <c r="L102" s="3" t="s">
        <v>65</v>
      </c>
      <c r="M102" s="3" t="s">
        <v>66</v>
      </c>
      <c r="N102" s="3" t="s">
        <v>80</v>
      </c>
    </row>
    <row r="103" spans="1:25" ht="12.75">
      <c r="A103" t="s">
        <v>115</v>
      </c>
      <c r="C103">
        <v>39</v>
      </c>
      <c r="D103">
        <v>16</v>
      </c>
      <c r="E103" s="12">
        <f>+D103/C103*100</f>
        <v>41.02564102564102</v>
      </c>
      <c r="F103">
        <v>229</v>
      </c>
      <c r="G103">
        <v>0</v>
      </c>
      <c r="H103">
        <v>29</v>
      </c>
      <c r="I103">
        <v>4</v>
      </c>
      <c r="J103" s="8">
        <f>+G103/C103*100</f>
        <v>0</v>
      </c>
      <c r="K103" s="12">
        <f>+I103/C103*100</f>
        <v>10.256410256410255</v>
      </c>
      <c r="L103" s="12">
        <f>+F103/C103</f>
        <v>5.871794871794871</v>
      </c>
      <c r="M103" s="12">
        <f>100*(S103+U103+W103+Y103)/6</f>
        <v>21.15384615384615</v>
      </c>
      <c r="R103">
        <f>+(E103-30)/20</f>
        <v>0.5512820512820511</v>
      </c>
      <c r="S103" s="2">
        <f>IF(R103&lt;0,0,IF(R103&gt;2.375,2.375,R103))</f>
        <v>0.5512820512820511</v>
      </c>
      <c r="T103" s="6">
        <f>+(L103-3)/4</f>
        <v>0.7179487179487178</v>
      </c>
      <c r="U103" s="2">
        <f>IF(T103&lt;0,0,IF(T103&gt;2.375,2.375,T103))</f>
        <v>0.7179487179487178</v>
      </c>
      <c r="V103">
        <f>+J103/5</f>
        <v>0</v>
      </c>
      <c r="W103" s="2">
        <f>IF(V103&lt;0,0,IF(V103&gt;2.375,2.375,V103))</f>
        <v>0</v>
      </c>
      <c r="X103">
        <f>(9.5-K103)/4</f>
        <v>-0.18910256410256387</v>
      </c>
      <c r="Y103" s="2">
        <f>IF(X103&lt;0,0,X103)</f>
        <v>0</v>
      </c>
    </row>
    <row r="104" spans="1:25" ht="12.75">
      <c r="A104" t="s">
        <v>111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128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109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7" spans="1:25" ht="12.75">
      <c r="A107" t="s">
        <v>129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10" spans="1:9" ht="12.75">
      <c r="A110" s="2" t="s">
        <v>67</v>
      </c>
      <c r="C110" s="3" t="s">
        <v>68</v>
      </c>
      <c r="D110" s="3" t="s">
        <v>69</v>
      </c>
      <c r="E110" s="3" t="s">
        <v>70</v>
      </c>
      <c r="F110" s="3" t="s">
        <v>49</v>
      </c>
      <c r="G110" s="3" t="s">
        <v>60</v>
      </c>
      <c r="H110" s="3" t="s">
        <v>51</v>
      </c>
      <c r="I110" s="3" t="s">
        <v>80</v>
      </c>
    </row>
    <row r="111" spans="1:9" ht="12.75">
      <c r="A111" t="s">
        <v>130</v>
      </c>
      <c r="C111">
        <v>2</v>
      </c>
      <c r="D111">
        <v>1</v>
      </c>
      <c r="E111">
        <v>19</v>
      </c>
      <c r="F111" s="12">
        <f>+E111/C111</f>
        <v>9.5</v>
      </c>
      <c r="G111">
        <v>11</v>
      </c>
      <c r="H111">
        <v>0</v>
      </c>
      <c r="I111">
        <v>0</v>
      </c>
    </row>
    <row r="112" spans="1:6" ht="12.75">
      <c r="A112" t="s">
        <v>131</v>
      </c>
      <c r="F112" s="12" t="e">
        <f>+E112/C112</f>
        <v>#DIV/0!</v>
      </c>
    </row>
    <row r="113" spans="1:6" ht="12.75">
      <c r="A113" t="s">
        <v>118</v>
      </c>
      <c r="F113" s="12" t="e">
        <f>+E113/C113</f>
        <v>#DIV/0!</v>
      </c>
    </row>
    <row r="114" spans="1:6" ht="12.75">
      <c r="A114" t="s">
        <v>132</v>
      </c>
      <c r="F114" s="12" t="e">
        <f>+E114/C114</f>
        <v>#DIV/0!</v>
      </c>
    </row>
    <row r="115" spans="1:6" ht="12.75">
      <c r="A115" t="s">
        <v>112</v>
      </c>
      <c r="F115" s="12" t="e">
        <f>+E115/C115</f>
        <v>#DIV/0!</v>
      </c>
    </row>
    <row r="117" spans="1:8" ht="12.75">
      <c r="A117" s="2" t="s">
        <v>30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51</v>
      </c>
      <c r="H117" s="3" t="s">
        <v>80</v>
      </c>
    </row>
    <row r="118" spans="1:8" ht="12.75">
      <c r="A118" t="s">
        <v>130</v>
      </c>
      <c r="C118">
        <v>3</v>
      </c>
      <c r="D118">
        <v>57</v>
      </c>
      <c r="E118" s="12">
        <f aca="true" t="shared" si="2" ref="E118:E126">+D118/C118</f>
        <v>19</v>
      </c>
      <c r="F118">
        <v>23</v>
      </c>
      <c r="G118">
        <v>0</v>
      </c>
      <c r="H118">
        <v>1</v>
      </c>
    </row>
    <row r="119" spans="1:8" ht="12.75">
      <c r="A119" t="s">
        <v>112</v>
      </c>
      <c r="C119">
        <v>3</v>
      </c>
      <c r="D119">
        <v>74</v>
      </c>
      <c r="E119" s="12">
        <f t="shared" si="2"/>
        <v>24.666666666666668</v>
      </c>
      <c r="F119">
        <v>31</v>
      </c>
      <c r="G119">
        <v>0</v>
      </c>
      <c r="H119">
        <v>0</v>
      </c>
    </row>
    <row r="120" spans="1:5" ht="12.75">
      <c r="A120" t="s">
        <v>116</v>
      </c>
      <c r="E120" s="12" t="e">
        <f t="shared" si="2"/>
        <v>#DIV/0!</v>
      </c>
    </row>
    <row r="121" spans="1:5" ht="12.75">
      <c r="A121" t="s">
        <v>124</v>
      </c>
      <c r="E121" s="12" t="e">
        <f t="shared" si="2"/>
        <v>#DIV/0!</v>
      </c>
    </row>
    <row r="122" spans="1:5" ht="12.75">
      <c r="A122" t="s">
        <v>122</v>
      </c>
      <c r="E122" s="12" t="e">
        <f t="shared" si="2"/>
        <v>#DIV/0!</v>
      </c>
    </row>
    <row r="123" spans="1:5" ht="12.75">
      <c r="A123" t="s">
        <v>114</v>
      </c>
      <c r="E123" s="12" t="e">
        <f t="shared" si="2"/>
        <v>#DIV/0!</v>
      </c>
    </row>
    <row r="124" spans="1:5" ht="12.75">
      <c r="A124" t="s">
        <v>126</v>
      </c>
      <c r="E124" s="12" t="e">
        <f t="shared" si="2"/>
        <v>#DIV/0!</v>
      </c>
    </row>
    <row r="125" spans="1:5" ht="12.75">
      <c r="A125" t="s">
        <v>127</v>
      </c>
      <c r="E125" s="12" t="e">
        <f t="shared" si="2"/>
        <v>#DIV/0!</v>
      </c>
    </row>
    <row r="126" spans="1:5" ht="12.75">
      <c r="A126" t="s">
        <v>106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129</v>
      </c>
      <c r="C129">
        <v>5</v>
      </c>
      <c r="D129">
        <v>193</v>
      </c>
      <c r="E129" s="12">
        <f>+D129/C129</f>
        <v>38.6</v>
      </c>
      <c r="F129">
        <v>47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133</v>
      </c>
      <c r="C132">
        <v>4</v>
      </c>
      <c r="D132">
        <v>0</v>
      </c>
      <c r="E132">
        <v>0</v>
      </c>
      <c r="F132">
        <v>0</v>
      </c>
      <c r="G132">
        <v>4</v>
      </c>
      <c r="H132">
        <v>3</v>
      </c>
      <c r="I132" s="12">
        <f>+H132/G132*100</f>
        <v>75</v>
      </c>
      <c r="J132">
        <v>45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5" ht="12.75">
      <c r="A135" t="s">
        <v>134</v>
      </c>
      <c r="E135" s="12" t="e">
        <f>+D135/C135</f>
        <v>#DIV/0!</v>
      </c>
    </row>
    <row r="136" spans="1:8" ht="12.75">
      <c r="A136" t="s">
        <v>135</v>
      </c>
      <c r="C136">
        <v>1</v>
      </c>
      <c r="D136">
        <v>0</v>
      </c>
      <c r="E136" s="12">
        <f aca="true" t="shared" si="3" ref="E136:E143">+D136/C136</f>
        <v>0</v>
      </c>
      <c r="F136">
        <v>0</v>
      </c>
      <c r="G136">
        <v>0</v>
      </c>
      <c r="H136">
        <v>0</v>
      </c>
    </row>
    <row r="137" spans="1:5" ht="12.75">
      <c r="A137" t="s">
        <v>130</v>
      </c>
      <c r="E137" s="12" t="e">
        <f t="shared" si="3"/>
        <v>#DIV/0!</v>
      </c>
    </row>
    <row r="138" spans="1:5" ht="12.75">
      <c r="A138" t="s">
        <v>131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137</v>
      </c>
      <c r="E140" s="12" t="e">
        <f t="shared" si="3"/>
        <v>#DIV/0!</v>
      </c>
    </row>
    <row r="141" spans="1:5" ht="12.75">
      <c r="A141" t="s">
        <v>138</v>
      </c>
      <c r="E141" s="12" t="e">
        <f t="shared" si="3"/>
        <v>#DIV/0!</v>
      </c>
    </row>
    <row r="142" spans="1:5" ht="12.75">
      <c r="A142" t="s">
        <v>139</v>
      </c>
      <c r="E142" s="12" t="e">
        <f t="shared" si="3"/>
        <v>#DIV/0!</v>
      </c>
    </row>
    <row r="143" spans="1:5" ht="12.75">
      <c r="A143" t="s">
        <v>140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spans="1:3" ht="12.75">
      <c r="A146" t="s">
        <v>117</v>
      </c>
      <c r="C146">
        <v>1</v>
      </c>
    </row>
    <row r="147" ht="12.75">
      <c r="A147" t="s">
        <v>141</v>
      </c>
    </row>
    <row r="148" spans="1:3" ht="12.75">
      <c r="A148" t="s">
        <v>142</v>
      </c>
      <c r="C148">
        <v>1</v>
      </c>
    </row>
    <row r="149" ht="12.75">
      <c r="A149" t="s">
        <v>143</v>
      </c>
    </row>
    <row r="150" spans="1:3" ht="12.75">
      <c r="A150" t="s">
        <v>144</v>
      </c>
      <c r="C150">
        <v>1</v>
      </c>
    </row>
    <row r="151" ht="12.75">
      <c r="A151" t="s">
        <v>145</v>
      </c>
    </row>
    <row r="152" ht="12.75">
      <c r="A152" t="s">
        <v>140</v>
      </c>
    </row>
    <row r="153" ht="12.75">
      <c r="A153" t="s">
        <v>146</v>
      </c>
    </row>
    <row r="154" ht="12.75">
      <c r="A154" t="s">
        <v>138</v>
      </c>
    </row>
    <row r="155" ht="12.75">
      <c r="A155" t="s">
        <v>139</v>
      </c>
    </row>
    <row r="156" ht="12.75">
      <c r="A156" t="s">
        <v>147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14</v>
      </c>
      <c r="H159" t="s">
        <v>93</v>
      </c>
      <c r="M159">
        <v>10</v>
      </c>
    </row>
    <row r="160" spans="1:13" ht="12.75">
      <c r="A160" t="s">
        <v>94</v>
      </c>
      <c r="D160">
        <v>4</v>
      </c>
      <c r="H160" t="s">
        <v>94</v>
      </c>
      <c r="M160">
        <v>3</v>
      </c>
    </row>
    <row r="161" spans="1:13" ht="12.75">
      <c r="A161" t="s">
        <v>95</v>
      </c>
      <c r="D161" s="8">
        <f>D160/D159*100</f>
        <v>28.57142857142857</v>
      </c>
      <c r="H161" t="s">
        <v>95</v>
      </c>
      <c r="M161" s="8">
        <f>+M160/M159*100</f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Y161"/>
  <sheetViews>
    <sheetView zoomScalePageLayoutView="0" workbookViewId="0" topLeftCell="A78">
      <selection activeCell="P124" sqref="P124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107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24</v>
      </c>
      <c r="H6" s="1" t="s">
        <v>29</v>
      </c>
      <c r="M6" s="2">
        <f>M7+M8+M9</f>
        <v>16</v>
      </c>
    </row>
    <row r="7" spans="1:13" ht="12.75">
      <c r="A7" s="1" t="s">
        <v>103</v>
      </c>
      <c r="D7" s="2">
        <v>9</v>
      </c>
      <c r="H7" s="1" t="s">
        <v>103</v>
      </c>
      <c r="M7" s="2">
        <v>12</v>
      </c>
    </row>
    <row r="8" spans="1:13" ht="12.75">
      <c r="A8" s="1" t="s">
        <v>105</v>
      </c>
      <c r="D8" s="2">
        <v>10</v>
      </c>
      <c r="H8" s="1" t="s">
        <v>105</v>
      </c>
      <c r="M8" s="2">
        <v>3</v>
      </c>
    </row>
    <row r="9" spans="1:13" ht="12.75">
      <c r="A9" s="1" t="s">
        <v>104</v>
      </c>
      <c r="D9" s="2">
        <v>5</v>
      </c>
      <c r="H9" s="1" t="s">
        <v>104</v>
      </c>
      <c r="M9" s="2">
        <v>1</v>
      </c>
    </row>
    <row r="11" spans="1:23" ht="12.75">
      <c r="A11" t="s">
        <v>1</v>
      </c>
      <c r="D11" s="2">
        <v>48</v>
      </c>
      <c r="H11" t="s">
        <v>1</v>
      </c>
      <c r="M11" s="2">
        <v>33</v>
      </c>
      <c r="V11">
        <f>+D11</f>
        <v>48</v>
      </c>
      <c r="W11">
        <f>+M11</f>
        <v>33</v>
      </c>
    </row>
    <row r="12" spans="1:23" ht="12.75">
      <c r="A12" t="s">
        <v>2</v>
      </c>
      <c r="D12" s="2">
        <v>126</v>
      </c>
      <c r="H12" t="s">
        <v>2</v>
      </c>
      <c r="M12" s="2">
        <v>214</v>
      </c>
      <c r="U12" s="13"/>
      <c r="V12">
        <f>+D16</f>
        <v>14</v>
      </c>
      <c r="W12">
        <f>+M16</f>
        <v>7</v>
      </c>
    </row>
    <row r="13" spans="1:23" ht="12.75">
      <c r="A13" s="1" t="s">
        <v>3</v>
      </c>
      <c r="D13" s="8">
        <f>+D12/D11</f>
        <v>2.625</v>
      </c>
      <c r="H13" s="1" t="s">
        <v>3</v>
      </c>
      <c r="M13" s="8">
        <f>+M12/M11</f>
        <v>6.484848484848484</v>
      </c>
      <c r="V13">
        <f>+(D15-D16)/2</f>
        <v>4</v>
      </c>
      <c r="W13">
        <f>+(M15-M16)/2</f>
        <v>6</v>
      </c>
    </row>
    <row r="14" spans="22:23" ht="12.75">
      <c r="V14">
        <f>+D38/2</f>
        <v>2</v>
      </c>
      <c r="W14">
        <f>+M38/2</f>
        <v>2</v>
      </c>
    </row>
    <row r="15" spans="1:23" ht="12.75">
      <c r="A15" t="s">
        <v>4</v>
      </c>
      <c r="D15" s="2">
        <v>22</v>
      </c>
      <c r="H15" t="s">
        <v>4</v>
      </c>
      <c r="M15" s="2">
        <v>19</v>
      </c>
      <c r="V15">
        <f>+D42/2</f>
        <v>1</v>
      </c>
      <c r="W15">
        <f>+M42/2</f>
        <v>1</v>
      </c>
    </row>
    <row r="16" spans="1:23" ht="12.75">
      <c r="A16" t="s">
        <v>5</v>
      </c>
      <c r="D16" s="2">
        <v>14</v>
      </c>
      <c r="H16" t="s">
        <v>5</v>
      </c>
      <c r="M16" s="2">
        <v>7</v>
      </c>
      <c r="V16">
        <f>+D48/2</f>
        <v>1.5</v>
      </c>
      <c r="W16">
        <f>+M48/2</f>
        <v>2.5</v>
      </c>
    </row>
    <row r="17" spans="1:13" ht="12.75">
      <c r="A17" t="s">
        <v>6</v>
      </c>
      <c r="D17" s="8">
        <f>+D16/D15*100</f>
        <v>63.63636363636363</v>
      </c>
      <c r="H17" t="s">
        <v>6</v>
      </c>
      <c r="M17" s="8">
        <f>+M16/M15*100</f>
        <v>36.84210526315789</v>
      </c>
    </row>
    <row r="18" spans="1:24" ht="12.75">
      <c r="A18" t="s">
        <v>7</v>
      </c>
      <c r="D18" s="2">
        <v>135</v>
      </c>
      <c r="H18" t="s">
        <v>7</v>
      </c>
      <c r="M18" s="2">
        <v>105</v>
      </c>
      <c r="V18">
        <f>SUM(V11:V16)</f>
        <v>70.5</v>
      </c>
      <c r="W18">
        <f>SUM(W11:W16)</f>
        <v>51.5</v>
      </c>
      <c r="X18">
        <f>+W18+V18</f>
        <v>122</v>
      </c>
    </row>
    <row r="19" spans="1:23" ht="12.75">
      <c r="A19" t="s">
        <v>8</v>
      </c>
      <c r="D19" s="2">
        <v>0</v>
      </c>
      <c r="H19" t="s">
        <v>8</v>
      </c>
      <c r="M19" s="2">
        <v>4</v>
      </c>
      <c r="V19">
        <f>+V18/X18</f>
        <v>0.5778688524590164</v>
      </c>
      <c r="W19">
        <f>+W18/X18</f>
        <v>0.42213114754098363</v>
      </c>
    </row>
    <row r="20" spans="1:23" ht="12.75">
      <c r="A20" t="s">
        <v>9</v>
      </c>
      <c r="D20" s="2">
        <v>0</v>
      </c>
      <c r="H20" t="s">
        <v>9</v>
      </c>
      <c r="M20" s="2">
        <v>45</v>
      </c>
      <c r="V20">
        <f>+V19*60</f>
        <v>34.67213114754099</v>
      </c>
      <c r="W20">
        <f>+W19*60</f>
        <v>25.32786885245902</v>
      </c>
    </row>
    <row r="21" spans="1:23" ht="12.75">
      <c r="A21" t="s">
        <v>10</v>
      </c>
      <c r="D21">
        <f>+D18-D20</f>
        <v>135</v>
      </c>
      <c r="H21" t="s">
        <v>10</v>
      </c>
      <c r="M21">
        <f>+M18-M20</f>
        <v>60</v>
      </c>
      <c r="V21">
        <f>+V20-INT(V20)</f>
        <v>0.6721311475409877</v>
      </c>
      <c r="W21">
        <f>+W20-INT(W20)</f>
        <v>0.3278688524590194</v>
      </c>
    </row>
    <row r="22" spans="1:23" ht="12.75">
      <c r="A22" t="s">
        <v>11</v>
      </c>
      <c r="D22" s="7">
        <f>+D21/(D15+D19)</f>
        <v>6.136363636363637</v>
      </c>
      <c r="H22" t="s">
        <v>11</v>
      </c>
      <c r="M22" s="7">
        <f>+M21/(M15+M19)</f>
        <v>2.608695652173913</v>
      </c>
      <c r="V22">
        <f>+V21*60</f>
        <v>40.32786885245926</v>
      </c>
      <c r="W22">
        <f>+W21*60</f>
        <v>19.672131147541165</v>
      </c>
    </row>
    <row r="23" spans="1:23" ht="12.75">
      <c r="A23" t="s">
        <v>12</v>
      </c>
      <c r="D23" s="7">
        <f>+D18/D16</f>
        <v>9.642857142857142</v>
      </c>
      <c r="H23" t="s">
        <v>12</v>
      </c>
      <c r="M23" s="7">
        <f>+M18/M16</f>
        <v>15</v>
      </c>
      <c r="U23">
        <v>0</v>
      </c>
      <c r="V23" s="11">
        <f>ROUND(V22,0)</f>
        <v>40</v>
      </c>
      <c r="W23">
        <f>ROUND(W22,0)</f>
        <v>20</v>
      </c>
    </row>
    <row r="24" spans="22:23" ht="12.75">
      <c r="V24">
        <f>INT(V20)</f>
        <v>34</v>
      </c>
      <c r="W24">
        <f>INT(W20)</f>
        <v>25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261</v>
      </c>
      <c r="H26" t="s">
        <v>14</v>
      </c>
      <c r="M26">
        <f>+M21+M12</f>
        <v>274</v>
      </c>
      <c r="Q26" s="9"/>
      <c r="R26" s="9"/>
      <c r="V26" s="14" t="str">
        <f>+V24&amp;V25&amp;V23</f>
        <v>34:40</v>
      </c>
      <c r="W26" s="9" t="str">
        <f>+W24&amp;W25&amp;W23</f>
        <v>25:20</v>
      </c>
    </row>
    <row r="27" spans="1:23" ht="12.75">
      <c r="A27" t="s">
        <v>15</v>
      </c>
      <c r="D27" s="7">
        <f>+D12/D26*100</f>
        <v>48.275862068965516</v>
      </c>
      <c r="H27" t="s">
        <v>15</v>
      </c>
      <c r="M27" s="7">
        <f>+M12/M26*100</f>
        <v>78.1021897810219</v>
      </c>
      <c r="V27" s="9" t="str">
        <f>IF(V23&lt;10,+V24&amp;V25&amp;$U$23&amp;V23,+V24&amp;V25&amp;V23)</f>
        <v>34:40</v>
      </c>
      <c r="W27" s="9" t="str">
        <f>IF(W23&lt;10,+W24&amp;W25&amp;$U$23&amp;W23,+W24&amp;W25&amp;W23)</f>
        <v>25:20</v>
      </c>
    </row>
    <row r="28" spans="1:13" ht="12.75">
      <c r="A28" s="1" t="s">
        <v>86</v>
      </c>
      <c r="D28" s="7">
        <f>+D21/D26*100</f>
        <v>51.724137931034484</v>
      </c>
      <c r="H28" s="1" t="s">
        <v>86</v>
      </c>
      <c r="M28" s="7">
        <f>+M21/M26*100</f>
        <v>21.897810218978105</v>
      </c>
    </row>
    <row r="30" spans="1:13" ht="12.75">
      <c r="A30" t="s">
        <v>16</v>
      </c>
      <c r="D30">
        <f>+D11+D15+D19</f>
        <v>70</v>
      </c>
      <c r="H30" t="s">
        <v>16</v>
      </c>
      <c r="M30">
        <f>+M11+M15+M19</f>
        <v>56</v>
      </c>
    </row>
    <row r="31" spans="1:13" ht="12.75">
      <c r="A31" t="s">
        <v>17</v>
      </c>
      <c r="D31" s="8">
        <f>+D26/D30</f>
        <v>3.7285714285714286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4.892857142857143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0</v>
      </c>
      <c r="H34" t="s">
        <v>19</v>
      </c>
      <c r="M34" s="2">
        <v>0</v>
      </c>
    </row>
    <row r="35" spans="1:13" ht="12.75">
      <c r="A35" t="s">
        <v>20</v>
      </c>
      <c r="D35" s="2">
        <v>0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4</v>
      </c>
      <c r="H38" t="s">
        <v>22</v>
      </c>
      <c r="M38" s="2">
        <v>4</v>
      </c>
    </row>
    <row r="39" spans="1:13" ht="12.75">
      <c r="A39" t="s">
        <v>23</v>
      </c>
      <c r="D39" s="2">
        <v>173</v>
      </c>
      <c r="H39" t="s">
        <v>23</v>
      </c>
      <c r="M39" s="2">
        <v>89</v>
      </c>
    </row>
    <row r="40" spans="1:13" ht="12.75">
      <c r="A40" t="s">
        <v>24</v>
      </c>
      <c r="D40" s="8">
        <f>+D39/D38</f>
        <v>43.25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22.25</v>
      </c>
    </row>
    <row r="41" ht="12.75">
      <c r="M41" s="2"/>
    </row>
    <row r="42" spans="1:13" ht="12.75">
      <c r="A42" t="s">
        <v>25</v>
      </c>
      <c r="D42" s="2">
        <v>2</v>
      </c>
      <c r="H42" t="s">
        <v>25</v>
      </c>
      <c r="M42" s="2">
        <v>2</v>
      </c>
    </row>
    <row r="43" spans="1:13" ht="12.75">
      <c r="A43" t="s">
        <v>26</v>
      </c>
      <c r="D43" s="2">
        <v>28</v>
      </c>
      <c r="H43" t="s">
        <v>26</v>
      </c>
      <c r="M43" s="2">
        <v>12</v>
      </c>
    </row>
    <row r="44" spans="1:13" ht="12.75">
      <c r="A44" t="s">
        <v>27</v>
      </c>
      <c r="D44" s="8">
        <f>+D43/D42</f>
        <v>14</v>
      </c>
      <c r="H44" t="s">
        <v>27</v>
      </c>
      <c r="M44" s="8">
        <f>+M43/M42</f>
        <v>6</v>
      </c>
    </row>
    <row r="45" spans="1:13" ht="12.75">
      <c r="A45" t="s">
        <v>108</v>
      </c>
      <c r="D45" s="2">
        <v>0</v>
      </c>
      <c r="H45" t="s">
        <v>108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3</v>
      </c>
      <c r="H48" t="s">
        <v>30</v>
      </c>
      <c r="M48" s="2">
        <v>5</v>
      </c>
    </row>
    <row r="49" spans="1:13" ht="12.75">
      <c r="A49" t="s">
        <v>26</v>
      </c>
      <c r="D49" s="2">
        <v>44</v>
      </c>
      <c r="H49" t="s">
        <v>26</v>
      </c>
      <c r="M49" s="2">
        <v>129</v>
      </c>
    </row>
    <row r="50" spans="1:13" ht="12.75">
      <c r="A50" t="s">
        <v>27</v>
      </c>
      <c r="D50" s="8">
        <f>+D49/D48</f>
        <v>14.666666666666666</v>
      </c>
      <c r="H50" t="s">
        <v>27</v>
      </c>
      <c r="M50" s="8">
        <f>+M49/M48</f>
        <v>25.8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7</v>
      </c>
      <c r="H53" t="s">
        <v>31</v>
      </c>
      <c r="M53" s="2">
        <v>14</v>
      </c>
    </row>
    <row r="54" spans="1:13" ht="12.75">
      <c r="A54" t="s">
        <v>32</v>
      </c>
      <c r="D54" s="2">
        <v>38</v>
      </c>
      <c r="H54" t="s">
        <v>32</v>
      </c>
      <c r="M54" s="2">
        <v>131</v>
      </c>
    </row>
    <row r="55" ht="12.75">
      <c r="D55" s="2"/>
    </row>
    <row r="56" spans="1:13" ht="12.75">
      <c r="A56" t="s">
        <v>33</v>
      </c>
      <c r="D56" s="2">
        <v>3</v>
      </c>
      <c r="H56" t="s">
        <v>33</v>
      </c>
      <c r="M56" s="2">
        <v>4</v>
      </c>
    </row>
    <row r="57" spans="1:13" ht="12.75">
      <c r="A57" t="s">
        <v>101</v>
      </c>
      <c r="D57" s="2">
        <v>1</v>
      </c>
      <c r="H57" t="s">
        <v>101</v>
      </c>
      <c r="M57" s="2">
        <v>3</v>
      </c>
    </row>
    <row r="59" spans="1:13" ht="12.75">
      <c r="A59" t="s">
        <v>34</v>
      </c>
      <c r="D59" s="2">
        <v>27</v>
      </c>
      <c r="H59" t="s">
        <v>34</v>
      </c>
      <c r="M59" s="2">
        <v>9</v>
      </c>
    </row>
    <row r="60" spans="1:13" ht="12.75">
      <c r="A60" t="s">
        <v>35</v>
      </c>
      <c r="D60" s="2">
        <v>3</v>
      </c>
      <c r="H60" t="s">
        <v>35</v>
      </c>
      <c r="M60" s="2">
        <v>1</v>
      </c>
    </row>
    <row r="61" spans="1:13" ht="12.75">
      <c r="A61" t="s">
        <v>36</v>
      </c>
      <c r="D61" s="2">
        <v>2</v>
      </c>
      <c r="H61" t="s">
        <v>36</v>
      </c>
      <c r="M61" s="2">
        <v>0</v>
      </c>
    </row>
    <row r="62" spans="1:13" ht="12.75">
      <c r="A62" t="s">
        <v>37</v>
      </c>
      <c r="D62" s="2">
        <v>1</v>
      </c>
      <c r="H62" t="s">
        <v>37</v>
      </c>
      <c r="M62" s="2">
        <v>1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3</v>
      </c>
      <c r="H64" t="s">
        <v>39</v>
      </c>
      <c r="M64" s="2">
        <v>0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2</v>
      </c>
      <c r="H66" t="s">
        <v>41</v>
      </c>
      <c r="M66" s="2">
        <v>1</v>
      </c>
    </row>
    <row r="67" spans="1:13" ht="12.75">
      <c r="A67" t="s">
        <v>42</v>
      </c>
      <c r="D67" s="2">
        <v>2</v>
      </c>
      <c r="H67" t="s">
        <v>42</v>
      </c>
      <c r="M67" s="2">
        <v>4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25</v>
      </c>
    </row>
    <row r="69" spans="1:13" ht="12.75">
      <c r="A69" t="s">
        <v>92</v>
      </c>
      <c r="D69" s="10" t="str">
        <f>IF(V23&lt;10,V27,V26)</f>
        <v>34:40</v>
      </c>
      <c r="E69" s="8"/>
      <c r="F69" s="8"/>
      <c r="H69" t="s">
        <v>92</v>
      </c>
      <c r="M69" s="10" t="str">
        <f>IF(W23&lt;10,W27,W26)</f>
        <v>25:20</v>
      </c>
    </row>
    <row r="70" spans="1:13" ht="12.75">
      <c r="A70" t="s">
        <v>102</v>
      </c>
      <c r="D70" s="23">
        <f>D161</f>
        <v>56.25</v>
      </c>
      <c r="E70" s="8"/>
      <c r="F70" s="8"/>
      <c r="H70" t="s">
        <v>102</v>
      </c>
      <c r="M70" s="23">
        <f>M161</f>
        <v>25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29</v>
      </c>
      <c r="D74">
        <v>70</v>
      </c>
      <c r="E74" s="12">
        <f aca="true" t="shared" si="0" ref="E74:E83">+D74/C74</f>
        <v>2.413793103448276</v>
      </c>
      <c r="F74">
        <v>9</v>
      </c>
      <c r="G74">
        <v>0</v>
      </c>
      <c r="H74">
        <v>1</v>
      </c>
    </row>
    <row r="75" spans="1:8" ht="12.75">
      <c r="A75" t="s">
        <v>110</v>
      </c>
      <c r="C75">
        <v>18</v>
      </c>
      <c r="D75">
        <v>53</v>
      </c>
      <c r="E75" s="12">
        <f t="shared" si="0"/>
        <v>2.9444444444444446</v>
      </c>
      <c r="F75">
        <v>10</v>
      </c>
      <c r="G75">
        <v>2</v>
      </c>
      <c r="H75">
        <v>1</v>
      </c>
    </row>
    <row r="76" spans="1:5" ht="12.75">
      <c r="A76" t="s">
        <v>111</v>
      </c>
      <c r="E76" s="12" t="e">
        <f t="shared" si="0"/>
        <v>#DIV/0!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8" ht="12.75">
      <c r="A80" t="s">
        <v>115</v>
      </c>
      <c r="C80">
        <v>1</v>
      </c>
      <c r="D80">
        <v>3</v>
      </c>
      <c r="E80" s="12">
        <f t="shared" si="0"/>
        <v>3</v>
      </c>
      <c r="F80">
        <v>3</v>
      </c>
      <c r="G80">
        <v>0</v>
      </c>
      <c r="H80">
        <v>0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ht="12.75">
      <c r="E84" s="8"/>
    </row>
    <row r="85" spans="1:8" ht="12.75">
      <c r="A85" s="2" t="s">
        <v>52</v>
      </c>
      <c r="C85" s="3" t="s">
        <v>53</v>
      </c>
      <c r="D85" s="3" t="s">
        <v>48</v>
      </c>
      <c r="E85" s="15" t="s">
        <v>49</v>
      </c>
      <c r="F85" s="3" t="s">
        <v>50</v>
      </c>
      <c r="G85" s="3" t="s">
        <v>51</v>
      </c>
      <c r="H85" s="3" t="s">
        <v>80</v>
      </c>
    </row>
    <row r="86" spans="1:8" ht="12.75">
      <c r="A86" t="s">
        <v>109</v>
      </c>
      <c r="C86">
        <v>1</v>
      </c>
      <c r="D86">
        <v>6</v>
      </c>
      <c r="E86" s="12">
        <f aca="true" t="shared" si="1" ref="E86:E99">+D86/C86</f>
        <v>6</v>
      </c>
      <c r="F86">
        <v>6</v>
      </c>
      <c r="G86">
        <v>0</v>
      </c>
      <c r="H86">
        <v>0</v>
      </c>
    </row>
    <row r="87" spans="1:8" ht="12.75">
      <c r="A87" t="s">
        <v>118</v>
      </c>
      <c r="C87">
        <v>4</v>
      </c>
      <c r="D87">
        <v>30</v>
      </c>
      <c r="E87" s="12">
        <f t="shared" si="1"/>
        <v>7.5</v>
      </c>
      <c r="F87">
        <v>10</v>
      </c>
      <c r="G87">
        <v>0</v>
      </c>
      <c r="H87">
        <v>0</v>
      </c>
    </row>
    <row r="88" spans="1:8" ht="12.75">
      <c r="A88" t="s">
        <v>119</v>
      </c>
      <c r="C88">
        <v>2</v>
      </c>
      <c r="D88">
        <v>44</v>
      </c>
      <c r="E88" s="12">
        <f t="shared" si="1"/>
        <v>22</v>
      </c>
      <c r="F88">
        <v>31</v>
      </c>
      <c r="G88">
        <v>0</v>
      </c>
      <c r="H88">
        <v>0</v>
      </c>
    </row>
    <row r="89" spans="1:8" ht="12.75">
      <c r="A89" t="s">
        <v>120</v>
      </c>
      <c r="C89">
        <v>2</v>
      </c>
      <c r="D89">
        <v>16</v>
      </c>
      <c r="E89" s="12">
        <f t="shared" si="1"/>
        <v>8</v>
      </c>
      <c r="F89">
        <v>12</v>
      </c>
      <c r="G89">
        <v>1</v>
      </c>
      <c r="H89">
        <v>0</v>
      </c>
    </row>
    <row r="90" spans="1:5" ht="12.75">
      <c r="A90" t="s">
        <v>121</v>
      </c>
      <c r="E90" s="12" t="e">
        <f t="shared" si="1"/>
        <v>#DIV/0!</v>
      </c>
    </row>
    <row r="91" spans="1:8" ht="12.75">
      <c r="A91" t="s">
        <v>110</v>
      </c>
      <c r="C91">
        <v>3</v>
      </c>
      <c r="D91">
        <v>32</v>
      </c>
      <c r="E91" s="12">
        <f t="shared" si="1"/>
        <v>10.666666666666666</v>
      </c>
      <c r="F91">
        <v>13</v>
      </c>
      <c r="G91">
        <v>0</v>
      </c>
      <c r="H91">
        <v>0</v>
      </c>
    </row>
    <row r="92" spans="1:5" ht="12.75">
      <c r="A92" t="s">
        <v>122</v>
      </c>
      <c r="E92" s="12" t="e">
        <f t="shared" si="1"/>
        <v>#DIV/0!</v>
      </c>
    </row>
    <row r="93" spans="1:8" ht="12.75">
      <c r="A93" t="s">
        <v>123</v>
      </c>
      <c r="C93">
        <v>1</v>
      </c>
      <c r="D93">
        <v>7</v>
      </c>
      <c r="E93" s="12">
        <f t="shared" si="1"/>
        <v>7</v>
      </c>
      <c r="F93">
        <v>7</v>
      </c>
      <c r="G93">
        <v>0</v>
      </c>
      <c r="H93">
        <v>0</v>
      </c>
    </row>
    <row r="94" spans="1:8" ht="12.75">
      <c r="A94" t="s">
        <v>114</v>
      </c>
      <c r="C94">
        <v>1</v>
      </c>
      <c r="D94">
        <v>0</v>
      </c>
      <c r="E94" s="12">
        <f t="shared" si="1"/>
        <v>0</v>
      </c>
      <c r="F94">
        <v>0</v>
      </c>
      <c r="G94">
        <v>0</v>
      </c>
      <c r="H94">
        <v>0</v>
      </c>
    </row>
    <row r="95" spans="1:5" ht="12.75">
      <c r="A95" t="s">
        <v>124</v>
      </c>
      <c r="E95" s="12" t="e">
        <f t="shared" si="1"/>
        <v>#DIV/0!</v>
      </c>
    </row>
    <row r="96" spans="1:5" ht="12.75">
      <c r="A96" t="s">
        <v>125</v>
      </c>
      <c r="E96" s="12" t="e">
        <f t="shared" si="1"/>
        <v>#DIV/0!</v>
      </c>
    </row>
    <row r="97" spans="1:5" ht="12.75">
      <c r="A97" t="s">
        <v>112</v>
      </c>
      <c r="E97" s="12" t="e">
        <f t="shared" si="1"/>
        <v>#DIV/0!</v>
      </c>
    </row>
    <row r="98" spans="1:5" ht="12.75">
      <c r="A98" t="s">
        <v>126</v>
      </c>
      <c r="E98" s="12" t="e">
        <f t="shared" si="1"/>
        <v>#DIV/0!</v>
      </c>
    </row>
    <row r="99" spans="1:5" ht="12.75">
      <c r="A99" t="s">
        <v>127</v>
      </c>
      <c r="E99" s="12" t="e">
        <f t="shared" si="1"/>
        <v>#DIV/0!</v>
      </c>
    </row>
    <row r="100" ht="12.75">
      <c r="E100" s="8"/>
    </row>
    <row r="101" spans="1:13" ht="12.75">
      <c r="A101" s="2"/>
      <c r="B101" s="2"/>
      <c r="C101" s="3"/>
      <c r="D101" s="3"/>
      <c r="E101" s="15" t="s">
        <v>57</v>
      </c>
      <c r="F101" s="3" t="s">
        <v>58</v>
      </c>
      <c r="G101" s="3"/>
      <c r="H101" s="3"/>
      <c r="I101" s="3" t="s">
        <v>61</v>
      </c>
      <c r="J101" s="3" t="s">
        <v>63</v>
      </c>
      <c r="K101" s="3" t="s">
        <v>57</v>
      </c>
      <c r="L101" s="3" t="s">
        <v>49</v>
      </c>
      <c r="M101" s="3"/>
    </row>
    <row r="102" spans="1:14" ht="12.75">
      <c r="A102" s="2" t="s">
        <v>54</v>
      </c>
      <c r="B102" s="2"/>
      <c r="C102" s="3" t="s">
        <v>55</v>
      </c>
      <c r="D102" s="3" t="s">
        <v>56</v>
      </c>
      <c r="E102" s="15" t="s">
        <v>56</v>
      </c>
      <c r="F102" s="3" t="s">
        <v>59</v>
      </c>
      <c r="G102" s="3" t="s">
        <v>51</v>
      </c>
      <c r="H102" s="3" t="s">
        <v>60</v>
      </c>
      <c r="I102" s="5" t="s">
        <v>62</v>
      </c>
      <c r="J102" s="3" t="s">
        <v>51</v>
      </c>
      <c r="K102" s="3" t="s">
        <v>64</v>
      </c>
      <c r="L102" s="3" t="s">
        <v>65</v>
      </c>
      <c r="M102" s="3" t="s">
        <v>66</v>
      </c>
      <c r="N102" s="3" t="s">
        <v>80</v>
      </c>
    </row>
    <row r="103" spans="1:25" ht="12.75">
      <c r="A103" t="s">
        <v>115</v>
      </c>
      <c r="C103">
        <v>22</v>
      </c>
      <c r="D103">
        <v>14</v>
      </c>
      <c r="E103" s="12">
        <f>+D103/C103*100</f>
        <v>63.63636363636363</v>
      </c>
      <c r="F103">
        <v>135</v>
      </c>
      <c r="G103">
        <v>1</v>
      </c>
      <c r="H103">
        <v>31</v>
      </c>
      <c r="I103">
        <v>0</v>
      </c>
      <c r="J103" s="8">
        <f>+G103/C103*100</f>
        <v>4.545454545454546</v>
      </c>
      <c r="K103" s="12">
        <f>+I103/C103*100</f>
        <v>0</v>
      </c>
      <c r="L103" s="12">
        <f>+F103/C103</f>
        <v>6.136363636363637</v>
      </c>
      <c r="M103" s="12">
        <f>100*(S103+U103+W103+Y103)/6</f>
        <v>95.83333333333333</v>
      </c>
      <c r="R103">
        <f>+(E103-30)/20</f>
        <v>1.6818181818181817</v>
      </c>
      <c r="S103" s="2">
        <f>IF(R103&lt;0,0,IF(R103&gt;2.375,2.375,R103))</f>
        <v>1.6818181818181817</v>
      </c>
      <c r="T103" s="6">
        <f>+(L103-3)/4</f>
        <v>0.7840909090909092</v>
      </c>
      <c r="U103" s="2">
        <f>IF(T103&lt;0,0,IF(T103&gt;2.375,2.375,T103))</f>
        <v>0.7840909090909092</v>
      </c>
      <c r="V103">
        <f>+J103/5</f>
        <v>0.9090909090909092</v>
      </c>
      <c r="W103" s="2">
        <f>IF(V103&lt;0,0,IF(V103&gt;2.375,2.375,V103))</f>
        <v>0.9090909090909092</v>
      </c>
      <c r="X103">
        <f>(9.5-K103)/4</f>
        <v>2.375</v>
      </c>
      <c r="Y103" s="2">
        <f>IF(X103&lt;0,0,X103)</f>
        <v>2.375</v>
      </c>
    </row>
    <row r="104" spans="1:25" ht="12.75">
      <c r="A104" t="s">
        <v>111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128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109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7" spans="1:25" ht="12.75">
      <c r="A107" t="s">
        <v>129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10" spans="1:9" ht="12.75">
      <c r="A110" s="2" t="s">
        <v>67</v>
      </c>
      <c r="C110" s="3" t="s">
        <v>68</v>
      </c>
      <c r="D110" s="3" t="s">
        <v>69</v>
      </c>
      <c r="E110" s="3" t="s">
        <v>70</v>
      </c>
      <c r="F110" s="3" t="s">
        <v>49</v>
      </c>
      <c r="G110" s="3" t="s">
        <v>60</v>
      </c>
      <c r="H110" s="3" t="s">
        <v>51</v>
      </c>
      <c r="I110" s="3" t="s">
        <v>80</v>
      </c>
    </row>
    <row r="111" spans="1:9" ht="12.75">
      <c r="A111" t="s">
        <v>130</v>
      </c>
      <c r="C111">
        <v>2</v>
      </c>
      <c r="D111">
        <v>0</v>
      </c>
      <c r="E111">
        <v>28</v>
      </c>
      <c r="F111" s="12">
        <f>+E111/C111</f>
        <v>14</v>
      </c>
      <c r="G111">
        <v>16</v>
      </c>
      <c r="H111">
        <v>0</v>
      </c>
      <c r="I111">
        <v>1</v>
      </c>
    </row>
    <row r="112" spans="1:6" ht="12.75">
      <c r="A112" t="s">
        <v>131</v>
      </c>
      <c r="F112" s="12" t="e">
        <f>+E112/C112</f>
        <v>#DIV/0!</v>
      </c>
    </row>
    <row r="113" spans="1:6" ht="12.75">
      <c r="A113" t="s">
        <v>118</v>
      </c>
      <c r="F113" s="12" t="e">
        <f>+E113/C113</f>
        <v>#DIV/0!</v>
      </c>
    </row>
    <row r="114" spans="1:6" ht="12.75">
      <c r="A114" t="s">
        <v>132</v>
      </c>
      <c r="F114" s="12" t="e">
        <f>+E114/C114</f>
        <v>#DIV/0!</v>
      </c>
    </row>
    <row r="115" spans="1:6" ht="12.75">
      <c r="A115" t="s">
        <v>112</v>
      </c>
      <c r="F115" s="12" t="e">
        <f>+E115/C115</f>
        <v>#DIV/0!</v>
      </c>
    </row>
    <row r="117" spans="1:8" ht="12.75">
      <c r="A117" s="2" t="s">
        <v>30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51</v>
      </c>
      <c r="H117" s="3" t="s">
        <v>80</v>
      </c>
    </row>
    <row r="118" spans="1:8" ht="12.75">
      <c r="A118" t="s">
        <v>130</v>
      </c>
      <c r="C118">
        <v>2</v>
      </c>
      <c r="D118">
        <v>33</v>
      </c>
      <c r="E118" s="12">
        <f aca="true" t="shared" si="2" ref="E118:E126">+D118/C118</f>
        <v>16.5</v>
      </c>
      <c r="F118">
        <v>27</v>
      </c>
      <c r="G118">
        <v>0</v>
      </c>
      <c r="H118">
        <v>0</v>
      </c>
    </row>
    <row r="119" spans="1:8" ht="12.75">
      <c r="A119" t="s">
        <v>112</v>
      </c>
      <c r="C119">
        <v>1</v>
      </c>
      <c r="D119">
        <v>11</v>
      </c>
      <c r="E119" s="12">
        <f t="shared" si="2"/>
        <v>11</v>
      </c>
      <c r="F119">
        <v>11</v>
      </c>
      <c r="G119">
        <v>0</v>
      </c>
      <c r="H119">
        <v>0</v>
      </c>
    </row>
    <row r="120" spans="1:5" ht="12.75">
      <c r="A120" t="s">
        <v>116</v>
      </c>
      <c r="E120" s="12" t="e">
        <f t="shared" si="2"/>
        <v>#DIV/0!</v>
      </c>
    </row>
    <row r="121" spans="1:5" ht="12.75">
      <c r="A121" t="s">
        <v>124</v>
      </c>
      <c r="E121" s="12" t="e">
        <f t="shared" si="2"/>
        <v>#DIV/0!</v>
      </c>
    </row>
    <row r="122" spans="1:5" ht="12.75">
      <c r="A122" t="s">
        <v>122</v>
      </c>
      <c r="E122" s="12" t="e">
        <f t="shared" si="2"/>
        <v>#DIV/0!</v>
      </c>
    </row>
    <row r="123" spans="1:5" ht="12.75">
      <c r="A123" t="s">
        <v>114</v>
      </c>
      <c r="E123" s="12" t="e">
        <f t="shared" si="2"/>
        <v>#DIV/0!</v>
      </c>
    </row>
    <row r="124" spans="1:5" ht="12.75">
      <c r="A124" t="s">
        <v>126</v>
      </c>
      <c r="E124" s="12" t="e">
        <f t="shared" si="2"/>
        <v>#DIV/0!</v>
      </c>
    </row>
    <row r="125" spans="1:5" ht="12.75">
      <c r="A125" t="s">
        <v>127</v>
      </c>
      <c r="E125" s="12" t="e">
        <f t="shared" si="2"/>
        <v>#DIV/0!</v>
      </c>
    </row>
    <row r="126" spans="1:5" ht="12.75">
      <c r="A126" t="s">
        <v>106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129</v>
      </c>
      <c r="C129">
        <v>4</v>
      </c>
      <c r="D129">
        <v>173</v>
      </c>
      <c r="E129" s="12">
        <f>+D129/C129</f>
        <v>43.25</v>
      </c>
      <c r="F129">
        <v>60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133</v>
      </c>
      <c r="C132">
        <v>6</v>
      </c>
      <c r="D132">
        <v>1</v>
      </c>
      <c r="E132">
        <v>3</v>
      </c>
      <c r="F132">
        <v>3</v>
      </c>
      <c r="G132">
        <v>2</v>
      </c>
      <c r="H132">
        <v>2</v>
      </c>
      <c r="I132" s="12">
        <f>+H132/G132*100</f>
        <v>100</v>
      </c>
      <c r="J132">
        <v>35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5" ht="12.75">
      <c r="A135" t="s">
        <v>134</v>
      </c>
      <c r="E135" s="12" t="e">
        <f>+D135/C135</f>
        <v>#DIV/0!</v>
      </c>
    </row>
    <row r="136" spans="1:5" ht="12.75">
      <c r="A136" t="s">
        <v>135</v>
      </c>
      <c r="E136" s="12" t="e">
        <f aca="true" t="shared" si="3" ref="E136:E143">+D136/C136</f>
        <v>#DIV/0!</v>
      </c>
    </row>
    <row r="137" spans="1:5" ht="12.75">
      <c r="A137" t="s">
        <v>130</v>
      </c>
      <c r="E137" s="12" t="e">
        <f t="shared" si="3"/>
        <v>#DIV/0!</v>
      </c>
    </row>
    <row r="138" spans="1:5" ht="12.75">
      <c r="A138" t="s">
        <v>131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137</v>
      </c>
      <c r="E140" s="12" t="e">
        <f t="shared" si="3"/>
        <v>#DIV/0!</v>
      </c>
    </row>
    <row r="141" spans="1:5" ht="12.75">
      <c r="A141" t="s">
        <v>138</v>
      </c>
      <c r="E141" s="12" t="e">
        <f t="shared" si="3"/>
        <v>#DIV/0!</v>
      </c>
    </row>
    <row r="142" spans="1:5" ht="12.75">
      <c r="A142" t="s">
        <v>139</v>
      </c>
      <c r="E142" s="12" t="e">
        <f t="shared" si="3"/>
        <v>#DIV/0!</v>
      </c>
    </row>
    <row r="143" spans="1:5" ht="12.75">
      <c r="A143" t="s">
        <v>140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spans="1:3" ht="12.75">
      <c r="A146" t="s">
        <v>117</v>
      </c>
      <c r="C146">
        <v>1</v>
      </c>
    </row>
    <row r="147" ht="12.75">
      <c r="A147" t="s">
        <v>141</v>
      </c>
    </row>
    <row r="148" spans="1:3" ht="12.75">
      <c r="A148" t="s">
        <v>142</v>
      </c>
      <c r="C148">
        <v>1</v>
      </c>
    </row>
    <row r="149" ht="12.75">
      <c r="A149" t="s">
        <v>143</v>
      </c>
    </row>
    <row r="150" spans="1:3" ht="12.75">
      <c r="A150" t="s">
        <v>144</v>
      </c>
      <c r="C150">
        <v>0.5</v>
      </c>
    </row>
    <row r="151" ht="12.75">
      <c r="A151" t="s">
        <v>145</v>
      </c>
    </row>
    <row r="152" ht="12.75">
      <c r="A152" t="s">
        <v>140</v>
      </c>
    </row>
    <row r="153" spans="1:3" ht="12.75">
      <c r="A153" t="s">
        <v>146</v>
      </c>
      <c r="C153">
        <v>1</v>
      </c>
    </row>
    <row r="154" spans="1:3" ht="12.75">
      <c r="A154" t="s">
        <v>138</v>
      </c>
      <c r="C154">
        <v>0.5</v>
      </c>
    </row>
    <row r="155" ht="12.75">
      <c r="A155" t="s">
        <v>139</v>
      </c>
    </row>
    <row r="156" ht="12.75">
      <c r="A156" t="s">
        <v>147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16</v>
      </c>
      <c r="H159" t="s">
        <v>93</v>
      </c>
      <c r="M159">
        <v>12</v>
      </c>
    </row>
    <row r="160" spans="1:13" ht="12.75">
      <c r="A160" t="s">
        <v>94</v>
      </c>
      <c r="D160">
        <v>9</v>
      </c>
      <c r="H160" t="s">
        <v>94</v>
      </c>
      <c r="M160">
        <v>3</v>
      </c>
    </row>
    <row r="161" spans="1:13" ht="12.75">
      <c r="A161" t="s">
        <v>95</v>
      </c>
      <c r="D161" s="8">
        <f>D160/D159*100</f>
        <v>56.25</v>
      </c>
      <c r="H161" t="s">
        <v>95</v>
      </c>
      <c r="M161" s="8">
        <f>+M160/M159*100</f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</sheetPr>
  <dimension ref="A1:Y161"/>
  <sheetViews>
    <sheetView zoomScalePageLayoutView="0" workbookViewId="0" topLeftCell="A75">
      <selection activeCell="U67" sqref="U67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107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16</v>
      </c>
      <c r="H6" s="1" t="s">
        <v>29</v>
      </c>
      <c r="M6" s="2">
        <f>M7+M8+M9</f>
        <v>30</v>
      </c>
    </row>
    <row r="7" spans="1:13" ht="12.75">
      <c r="A7" s="1" t="s">
        <v>103</v>
      </c>
      <c r="D7" s="2">
        <v>8</v>
      </c>
      <c r="H7" s="1" t="s">
        <v>103</v>
      </c>
      <c r="M7" s="2">
        <v>8</v>
      </c>
    </row>
    <row r="8" spans="1:13" ht="12.75">
      <c r="A8" s="1" t="s">
        <v>105</v>
      </c>
      <c r="D8" s="2">
        <v>5</v>
      </c>
      <c r="H8" s="1" t="s">
        <v>105</v>
      </c>
      <c r="M8" s="2">
        <v>18</v>
      </c>
    </row>
    <row r="9" spans="1:13" ht="12.75">
      <c r="A9" s="1" t="s">
        <v>104</v>
      </c>
      <c r="D9" s="2">
        <v>3</v>
      </c>
      <c r="H9" s="1" t="s">
        <v>104</v>
      </c>
      <c r="M9" s="2">
        <v>4</v>
      </c>
    </row>
    <row r="11" spans="1:23" ht="12.75">
      <c r="A11" t="s">
        <v>1</v>
      </c>
      <c r="D11" s="2">
        <v>23</v>
      </c>
      <c r="H11" t="s">
        <v>1</v>
      </c>
      <c r="M11" s="2">
        <v>25</v>
      </c>
      <c r="V11">
        <f>+D11</f>
        <v>23</v>
      </c>
      <c r="W11">
        <f>+M11</f>
        <v>25</v>
      </c>
    </row>
    <row r="12" spans="1:23" ht="12.75">
      <c r="A12" t="s">
        <v>2</v>
      </c>
      <c r="D12" s="2">
        <v>115</v>
      </c>
      <c r="H12" t="s">
        <v>2</v>
      </c>
      <c r="M12" s="2">
        <v>126</v>
      </c>
      <c r="U12" s="13"/>
      <c r="V12">
        <f>+D16</f>
        <v>12</v>
      </c>
      <c r="W12">
        <f>+M16</f>
        <v>23</v>
      </c>
    </row>
    <row r="13" spans="1:23" ht="12.75">
      <c r="A13" s="1" t="s">
        <v>3</v>
      </c>
      <c r="D13" s="8">
        <f>+D12/D11</f>
        <v>5</v>
      </c>
      <c r="H13" s="1" t="s">
        <v>3</v>
      </c>
      <c r="M13" s="8">
        <f>+M12/M11</f>
        <v>5.04</v>
      </c>
      <c r="V13">
        <f>+(D15-D16)/2</f>
        <v>8.5</v>
      </c>
      <c r="W13">
        <f>+(M15-M16)/2</f>
        <v>12</v>
      </c>
    </row>
    <row r="14" spans="22:23" ht="12.75">
      <c r="V14">
        <f>+D38/2</f>
        <v>2</v>
      </c>
      <c r="W14">
        <f>+M38/2</f>
        <v>2</v>
      </c>
    </row>
    <row r="15" spans="1:23" ht="12.75">
      <c r="A15" t="s">
        <v>4</v>
      </c>
      <c r="D15" s="2">
        <v>29</v>
      </c>
      <c r="H15" t="s">
        <v>4</v>
      </c>
      <c r="M15" s="2">
        <v>47</v>
      </c>
      <c r="V15">
        <f>+D42/2</f>
        <v>1</v>
      </c>
      <c r="W15">
        <f>+M42/2</f>
        <v>0.5</v>
      </c>
    </row>
    <row r="16" spans="1:23" ht="12.75">
      <c r="A16" t="s">
        <v>5</v>
      </c>
      <c r="D16" s="2">
        <v>12</v>
      </c>
      <c r="H16" t="s">
        <v>5</v>
      </c>
      <c r="M16" s="2">
        <v>23</v>
      </c>
      <c r="V16">
        <f>+D48/2</f>
        <v>3</v>
      </c>
      <c r="W16">
        <f>+M48/2</f>
        <v>2</v>
      </c>
    </row>
    <row r="17" spans="1:13" ht="12.75">
      <c r="A17" t="s">
        <v>6</v>
      </c>
      <c r="D17" s="8">
        <f>+D16/D15*100</f>
        <v>41.37931034482759</v>
      </c>
      <c r="H17" t="s">
        <v>6</v>
      </c>
      <c r="M17" s="8">
        <f>+M16/M15*100</f>
        <v>48.93617021276596</v>
      </c>
    </row>
    <row r="18" spans="1:24" ht="12.75">
      <c r="A18" t="s">
        <v>7</v>
      </c>
      <c r="D18" s="2">
        <v>170</v>
      </c>
      <c r="H18" t="s">
        <v>7</v>
      </c>
      <c r="M18" s="2">
        <v>349</v>
      </c>
      <c r="V18">
        <f>SUM(V11:V16)</f>
        <v>49.5</v>
      </c>
      <c r="W18">
        <f>SUM(W11:W16)</f>
        <v>64.5</v>
      </c>
      <c r="X18">
        <f>+W18+V18</f>
        <v>114</v>
      </c>
    </row>
    <row r="19" spans="1:23" ht="12.75">
      <c r="A19" t="s">
        <v>8</v>
      </c>
      <c r="D19" s="2">
        <v>5</v>
      </c>
      <c r="H19" t="s">
        <v>8</v>
      </c>
      <c r="M19" s="2">
        <v>4</v>
      </c>
      <c r="V19">
        <f>+V18/X18</f>
        <v>0.4342105263157895</v>
      </c>
      <c r="W19">
        <f>+W18/X18</f>
        <v>0.5657894736842105</v>
      </c>
    </row>
    <row r="20" spans="1:23" ht="12.75">
      <c r="A20" t="s">
        <v>9</v>
      </c>
      <c r="D20" s="2">
        <v>24</v>
      </c>
      <c r="H20" t="s">
        <v>9</v>
      </c>
      <c r="M20" s="2">
        <v>31</v>
      </c>
      <c r="V20">
        <f>+V19*60</f>
        <v>26.05263157894737</v>
      </c>
      <c r="W20">
        <f>+W19*60</f>
        <v>33.94736842105263</v>
      </c>
    </row>
    <row r="21" spans="1:23" ht="12.75">
      <c r="A21" t="s">
        <v>10</v>
      </c>
      <c r="D21">
        <f>+D18-D20</f>
        <v>146</v>
      </c>
      <c r="H21" t="s">
        <v>10</v>
      </c>
      <c r="M21">
        <f>+M18-M20</f>
        <v>318</v>
      </c>
      <c r="V21">
        <f>+V20-INT(V20)</f>
        <v>0.05263157894736992</v>
      </c>
      <c r="W21">
        <f>+W20-INT(W20)</f>
        <v>0.9473684210526301</v>
      </c>
    </row>
    <row r="22" spans="1:23" ht="12.75">
      <c r="A22" t="s">
        <v>11</v>
      </c>
      <c r="D22" s="7">
        <f>+D21/(D15+D19)</f>
        <v>4.294117647058823</v>
      </c>
      <c r="H22" t="s">
        <v>11</v>
      </c>
      <c r="M22" s="7">
        <f>+M21/(M15+M19)</f>
        <v>6.235294117647059</v>
      </c>
      <c r="V22">
        <f>+V21*60</f>
        <v>3.157894736842195</v>
      </c>
      <c r="W22">
        <f>+W21*60</f>
        <v>56.842105263157805</v>
      </c>
    </row>
    <row r="23" spans="1:23" ht="12.75">
      <c r="A23" t="s">
        <v>12</v>
      </c>
      <c r="D23" s="7">
        <f>+D18/D16</f>
        <v>14.166666666666666</v>
      </c>
      <c r="H23" t="s">
        <v>12</v>
      </c>
      <c r="M23" s="7">
        <f>+M18/M16</f>
        <v>15.173913043478262</v>
      </c>
      <c r="U23">
        <v>0</v>
      </c>
      <c r="V23" s="11">
        <f>ROUND(V22,0)</f>
        <v>3</v>
      </c>
      <c r="W23">
        <f>ROUND(W22,0)</f>
        <v>57</v>
      </c>
    </row>
    <row r="24" spans="22:23" ht="12.75">
      <c r="V24">
        <f>INT(V20)</f>
        <v>26</v>
      </c>
      <c r="W24">
        <f>INT(W20)</f>
        <v>33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261</v>
      </c>
      <c r="H26" t="s">
        <v>14</v>
      </c>
      <c r="M26">
        <f>+M21+M12</f>
        <v>444</v>
      </c>
      <c r="V26" s="14" t="str">
        <f>+V24&amp;V25&amp;V23</f>
        <v>26:3</v>
      </c>
      <c r="W26" s="9" t="str">
        <f>+W24&amp;W25&amp;W23</f>
        <v>33:57</v>
      </c>
    </row>
    <row r="27" spans="1:23" ht="12.75">
      <c r="A27" t="s">
        <v>15</v>
      </c>
      <c r="D27" s="7">
        <f>+D12/D26*100</f>
        <v>44.06130268199234</v>
      </c>
      <c r="H27" t="s">
        <v>15</v>
      </c>
      <c r="M27" s="7">
        <f>+M12/M26*100</f>
        <v>28.37837837837838</v>
      </c>
      <c r="V27" s="9" t="str">
        <f>IF(V23&lt;10,+V24&amp;V25&amp;$U$23&amp;V23,+V24&amp;V25&amp;V23)</f>
        <v>26:03</v>
      </c>
      <c r="W27" s="9" t="str">
        <f>IF(W23&lt;10,+W24&amp;W25&amp;$U$23&amp;W23,+W24&amp;W25&amp;W23)</f>
        <v>33:57</v>
      </c>
    </row>
    <row r="28" spans="1:13" ht="12.75">
      <c r="A28" s="1" t="s">
        <v>86</v>
      </c>
      <c r="D28" s="7">
        <f>+D21/D26*100</f>
        <v>55.938697318007655</v>
      </c>
      <c r="H28" s="1" t="s">
        <v>86</v>
      </c>
      <c r="M28" s="7">
        <f>+M21/M26*100</f>
        <v>71.62162162162163</v>
      </c>
    </row>
    <row r="30" spans="1:13" ht="12.75">
      <c r="A30" t="s">
        <v>16</v>
      </c>
      <c r="D30">
        <f>+D11+D15+D19</f>
        <v>57</v>
      </c>
      <c r="H30" t="s">
        <v>16</v>
      </c>
      <c r="M30">
        <f>+M11+M15+M19</f>
        <v>76</v>
      </c>
    </row>
    <row r="31" spans="1:13" ht="12.75">
      <c r="A31" t="s">
        <v>17</v>
      </c>
      <c r="D31" s="8">
        <f>+D26/D30</f>
        <v>4.578947368421052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5.842105263157895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1</v>
      </c>
      <c r="H34" t="s">
        <v>19</v>
      </c>
      <c r="M34" s="2">
        <v>0</v>
      </c>
    </row>
    <row r="35" spans="1:13" ht="12.75">
      <c r="A35" t="s">
        <v>20</v>
      </c>
      <c r="D35" s="2">
        <v>0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4</v>
      </c>
      <c r="H38" t="s">
        <v>22</v>
      </c>
      <c r="M38" s="2">
        <v>4</v>
      </c>
    </row>
    <row r="39" spans="1:13" ht="12.75">
      <c r="A39" t="s">
        <v>23</v>
      </c>
      <c r="D39" s="2">
        <v>179</v>
      </c>
      <c r="H39" t="s">
        <v>23</v>
      </c>
      <c r="M39" s="2">
        <v>177</v>
      </c>
    </row>
    <row r="40" spans="1:13" ht="12.75">
      <c r="A40" t="s">
        <v>24</v>
      </c>
      <c r="D40" s="8">
        <f>+D39/D38</f>
        <v>44.75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44.25</v>
      </c>
    </row>
    <row r="42" spans="1:13" ht="12.75">
      <c r="A42" t="s">
        <v>25</v>
      </c>
      <c r="D42" s="2">
        <v>2</v>
      </c>
      <c r="H42" t="s">
        <v>25</v>
      </c>
      <c r="M42" s="2">
        <v>1</v>
      </c>
    </row>
    <row r="43" spans="1:13" ht="12.75">
      <c r="A43" t="s">
        <v>26</v>
      </c>
      <c r="D43" s="2">
        <v>29</v>
      </c>
      <c r="H43" t="s">
        <v>26</v>
      </c>
      <c r="M43" s="2">
        <v>9</v>
      </c>
    </row>
    <row r="44" spans="1:13" ht="12.75">
      <c r="A44" t="s">
        <v>27</v>
      </c>
      <c r="D44" s="8">
        <f>+D43/D42</f>
        <v>14.5</v>
      </c>
      <c r="H44" t="s">
        <v>27</v>
      </c>
      <c r="M44" s="8">
        <f>+M43/M42</f>
        <v>9</v>
      </c>
    </row>
    <row r="45" spans="1:13" ht="12.75">
      <c r="A45" t="s">
        <v>108</v>
      </c>
      <c r="D45" s="2">
        <v>0</v>
      </c>
      <c r="H45" t="s">
        <v>108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6</v>
      </c>
      <c r="H48" t="s">
        <v>30</v>
      </c>
      <c r="M48" s="2">
        <v>4</v>
      </c>
    </row>
    <row r="49" spans="1:13" ht="12.75">
      <c r="A49" t="s">
        <v>26</v>
      </c>
      <c r="D49" s="2">
        <v>136</v>
      </c>
      <c r="H49" t="s">
        <v>26</v>
      </c>
      <c r="M49" s="2">
        <v>112</v>
      </c>
    </row>
    <row r="50" spans="1:13" ht="12.75">
      <c r="A50" t="s">
        <v>27</v>
      </c>
      <c r="D50" s="8">
        <f>+D49/D48</f>
        <v>22.666666666666668</v>
      </c>
      <c r="H50" t="s">
        <v>27</v>
      </c>
      <c r="M50" s="8">
        <f>+M49/M48</f>
        <v>28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7</v>
      </c>
      <c r="H53" t="s">
        <v>31</v>
      </c>
      <c r="M53" s="2">
        <v>7</v>
      </c>
    </row>
    <row r="54" spans="1:13" ht="12.75">
      <c r="A54" t="s">
        <v>32</v>
      </c>
      <c r="D54" s="2">
        <v>58</v>
      </c>
      <c r="H54" t="s">
        <v>32</v>
      </c>
      <c r="M54" s="2">
        <v>66</v>
      </c>
    </row>
    <row r="56" spans="1:13" ht="12.75">
      <c r="A56" t="s">
        <v>33</v>
      </c>
      <c r="D56" s="2">
        <v>2</v>
      </c>
      <c r="H56" t="s">
        <v>33</v>
      </c>
      <c r="M56" s="2">
        <v>2</v>
      </c>
    </row>
    <row r="57" spans="1:13" ht="12.75">
      <c r="A57" t="s">
        <v>101</v>
      </c>
      <c r="D57" s="2">
        <v>2</v>
      </c>
      <c r="H57" t="s">
        <v>101</v>
      </c>
      <c r="M57" s="2">
        <v>1</v>
      </c>
    </row>
    <row r="59" spans="1:13" ht="12.75">
      <c r="A59" t="s">
        <v>34</v>
      </c>
      <c r="D59" s="2">
        <v>20</v>
      </c>
      <c r="H59" t="s">
        <v>34</v>
      </c>
      <c r="M59" s="2">
        <v>29</v>
      </c>
    </row>
    <row r="60" spans="1:13" ht="12.75">
      <c r="A60" t="s">
        <v>35</v>
      </c>
      <c r="D60" s="2">
        <v>2</v>
      </c>
      <c r="H60" t="s">
        <v>35</v>
      </c>
      <c r="M60" s="2">
        <v>2</v>
      </c>
    </row>
    <row r="61" spans="1:13" ht="12.75">
      <c r="A61" t="s">
        <v>36</v>
      </c>
      <c r="D61" s="2">
        <v>1</v>
      </c>
      <c r="H61" t="s">
        <v>36</v>
      </c>
      <c r="M61" s="2">
        <v>0</v>
      </c>
    </row>
    <row r="62" spans="1:13" ht="12.75">
      <c r="A62" t="s">
        <v>37</v>
      </c>
      <c r="D62" s="2">
        <v>1</v>
      </c>
      <c r="H62" t="s">
        <v>37</v>
      </c>
      <c r="M62" s="2">
        <v>2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2</v>
      </c>
      <c r="H64" t="s">
        <v>39</v>
      </c>
      <c r="M64" s="2">
        <v>2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2</v>
      </c>
      <c r="H66" t="s">
        <v>41</v>
      </c>
      <c r="M66" s="2">
        <v>5</v>
      </c>
    </row>
    <row r="67" spans="1:13" ht="12.75">
      <c r="A67" t="s">
        <v>42</v>
      </c>
      <c r="D67" s="2">
        <v>3</v>
      </c>
      <c r="H67" t="s">
        <v>42</v>
      </c>
      <c r="M67" s="2">
        <v>5</v>
      </c>
    </row>
    <row r="68" spans="1:13" ht="12.75">
      <c r="A68" t="s">
        <v>43</v>
      </c>
      <c r="D68" s="8">
        <f>+D66/D67*100</f>
        <v>66.66666666666666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89</v>
      </c>
      <c r="D69" s="10" t="str">
        <f>IF(V23&lt;10,V27,V26)</f>
        <v>26:03</v>
      </c>
      <c r="E69" s="8"/>
      <c r="F69" s="8"/>
      <c r="H69" t="s">
        <v>89</v>
      </c>
      <c r="M69" s="10" t="str">
        <f>IF(W23&lt;10,W27,W26)</f>
        <v>33:57</v>
      </c>
    </row>
    <row r="70" spans="1:13" ht="12.75">
      <c r="A70" t="s">
        <v>102</v>
      </c>
      <c r="D70" s="23">
        <f>D161</f>
        <v>50</v>
      </c>
      <c r="E70" s="8"/>
      <c r="F70" s="8"/>
      <c r="H70" t="s">
        <v>102</v>
      </c>
      <c r="M70" s="23">
        <f>M161</f>
        <v>38.46153846153847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9</v>
      </c>
      <c r="D74">
        <v>48</v>
      </c>
      <c r="E74" s="12">
        <f aca="true" t="shared" si="0" ref="E74:E83">+D74/C74</f>
        <v>5.333333333333333</v>
      </c>
      <c r="F74">
        <v>16</v>
      </c>
      <c r="G74">
        <v>0</v>
      </c>
      <c r="H74">
        <v>0</v>
      </c>
    </row>
    <row r="75" spans="1:8" ht="12.75">
      <c r="A75" t="s">
        <v>110</v>
      </c>
      <c r="C75">
        <v>13</v>
      </c>
      <c r="D75">
        <v>69</v>
      </c>
      <c r="E75" s="12">
        <f t="shared" si="0"/>
        <v>5.3076923076923075</v>
      </c>
      <c r="F75">
        <v>14</v>
      </c>
      <c r="G75">
        <v>1</v>
      </c>
      <c r="H75">
        <v>1</v>
      </c>
    </row>
    <row r="76" spans="1:5" ht="12.75">
      <c r="A76" t="s">
        <v>111</v>
      </c>
      <c r="E76" s="12" t="e">
        <f t="shared" si="0"/>
        <v>#DIV/0!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8" ht="12.75">
      <c r="A83" t="s">
        <v>118</v>
      </c>
      <c r="C83">
        <v>1</v>
      </c>
      <c r="D83">
        <v>-2</v>
      </c>
      <c r="E83" s="12">
        <f t="shared" si="0"/>
        <v>-2</v>
      </c>
      <c r="F83">
        <v>-2</v>
      </c>
      <c r="G83">
        <v>0</v>
      </c>
      <c r="H83">
        <v>0</v>
      </c>
    </row>
    <row r="84" ht="12.75">
      <c r="E84" s="8"/>
    </row>
    <row r="85" spans="1:8" ht="12.75">
      <c r="A85" s="2" t="s">
        <v>52</v>
      </c>
      <c r="C85" s="3" t="s">
        <v>53</v>
      </c>
      <c r="D85" s="3" t="s">
        <v>48</v>
      </c>
      <c r="E85" s="15" t="s">
        <v>49</v>
      </c>
      <c r="F85" s="3" t="s">
        <v>50</v>
      </c>
      <c r="G85" s="3" t="s">
        <v>51</v>
      </c>
      <c r="H85" s="3" t="s">
        <v>80</v>
      </c>
    </row>
    <row r="86" spans="1:8" ht="12.75">
      <c r="A86" t="s">
        <v>109</v>
      </c>
      <c r="C86">
        <v>4</v>
      </c>
      <c r="D86">
        <v>42</v>
      </c>
      <c r="E86" s="12">
        <f aca="true" t="shared" si="1" ref="E86:E99">+D86/C86</f>
        <v>10.5</v>
      </c>
      <c r="F86">
        <v>14</v>
      </c>
      <c r="G86">
        <v>0</v>
      </c>
      <c r="H86">
        <v>0</v>
      </c>
    </row>
    <row r="87" spans="1:8" ht="12.75">
      <c r="A87" t="s">
        <v>118</v>
      </c>
      <c r="C87">
        <v>4</v>
      </c>
      <c r="D87">
        <v>93</v>
      </c>
      <c r="E87" s="12">
        <f t="shared" si="1"/>
        <v>23.25</v>
      </c>
      <c r="F87">
        <v>31</v>
      </c>
      <c r="G87">
        <v>1</v>
      </c>
      <c r="H87">
        <v>0</v>
      </c>
    </row>
    <row r="88" spans="1:5" ht="12.75">
      <c r="A88" t="s">
        <v>119</v>
      </c>
      <c r="E88" s="12" t="e">
        <f t="shared" si="1"/>
        <v>#DIV/0!</v>
      </c>
    </row>
    <row r="89" spans="1:8" ht="12.75">
      <c r="A89" t="s">
        <v>120</v>
      </c>
      <c r="C89">
        <v>2</v>
      </c>
      <c r="D89">
        <v>23</v>
      </c>
      <c r="E89" s="12">
        <f t="shared" si="1"/>
        <v>11.5</v>
      </c>
      <c r="F89">
        <v>15</v>
      </c>
      <c r="G89">
        <v>0</v>
      </c>
      <c r="H89">
        <v>0</v>
      </c>
    </row>
    <row r="90" spans="1:5" ht="12.75">
      <c r="A90" t="s">
        <v>121</v>
      </c>
      <c r="E90" s="12" t="e">
        <f t="shared" si="1"/>
        <v>#DIV/0!</v>
      </c>
    </row>
    <row r="91" spans="1:5" ht="12.75">
      <c r="A91" t="s">
        <v>110</v>
      </c>
      <c r="E91" s="12" t="e">
        <f t="shared" si="1"/>
        <v>#DIV/0!</v>
      </c>
    </row>
    <row r="92" spans="1:8" ht="12.75">
      <c r="A92" t="s">
        <v>122</v>
      </c>
      <c r="C92">
        <v>2</v>
      </c>
      <c r="D92">
        <v>12</v>
      </c>
      <c r="E92" s="12">
        <f t="shared" si="1"/>
        <v>6</v>
      </c>
      <c r="F92">
        <v>7</v>
      </c>
      <c r="G92">
        <v>0</v>
      </c>
      <c r="H92">
        <v>0</v>
      </c>
    </row>
    <row r="93" spans="1:5" ht="12.75">
      <c r="A93" t="s">
        <v>123</v>
      </c>
      <c r="E93" s="12" t="e">
        <f t="shared" si="1"/>
        <v>#DIV/0!</v>
      </c>
    </row>
    <row r="94" spans="1:5" ht="12.75">
      <c r="A94" t="s">
        <v>114</v>
      </c>
      <c r="E94" s="12" t="e">
        <f t="shared" si="1"/>
        <v>#DIV/0!</v>
      </c>
    </row>
    <row r="95" spans="1:5" ht="12.75">
      <c r="A95" t="s">
        <v>124</v>
      </c>
      <c r="E95" s="12" t="e">
        <f t="shared" si="1"/>
        <v>#DIV/0!</v>
      </c>
    </row>
    <row r="96" spans="1:5" ht="12.75">
      <c r="A96" t="s">
        <v>125</v>
      </c>
      <c r="E96" s="12" t="e">
        <f t="shared" si="1"/>
        <v>#DIV/0!</v>
      </c>
    </row>
    <row r="97" spans="1:5" ht="12.75">
      <c r="A97" t="s">
        <v>112</v>
      </c>
      <c r="E97" s="12" t="e">
        <f t="shared" si="1"/>
        <v>#DIV/0!</v>
      </c>
    </row>
    <row r="98" spans="1:5" ht="12.75">
      <c r="A98" t="s">
        <v>126</v>
      </c>
      <c r="E98" s="12" t="e">
        <f t="shared" si="1"/>
        <v>#DIV/0!</v>
      </c>
    </row>
    <row r="99" spans="1:5" ht="12.75">
      <c r="A99" t="s">
        <v>127</v>
      </c>
      <c r="E99" s="12" t="e">
        <f t="shared" si="1"/>
        <v>#DIV/0!</v>
      </c>
    </row>
    <row r="100" ht="12.75">
      <c r="E100" s="8"/>
    </row>
    <row r="101" spans="1:13" ht="12.75">
      <c r="A101" s="2"/>
      <c r="B101" s="2"/>
      <c r="C101" s="3"/>
      <c r="D101" s="3"/>
      <c r="E101" s="15" t="s">
        <v>57</v>
      </c>
      <c r="F101" s="3" t="s">
        <v>58</v>
      </c>
      <c r="G101" s="3"/>
      <c r="H101" s="3"/>
      <c r="I101" s="3" t="s">
        <v>61</v>
      </c>
      <c r="J101" s="3" t="s">
        <v>63</v>
      </c>
      <c r="K101" s="3" t="s">
        <v>57</v>
      </c>
      <c r="L101" s="3" t="s">
        <v>49</v>
      </c>
      <c r="M101" s="3"/>
    </row>
    <row r="102" spans="1:14" ht="12.75">
      <c r="A102" s="2" t="s">
        <v>54</v>
      </c>
      <c r="B102" s="2"/>
      <c r="C102" s="3" t="s">
        <v>55</v>
      </c>
      <c r="D102" s="3" t="s">
        <v>56</v>
      </c>
      <c r="E102" s="15" t="s">
        <v>56</v>
      </c>
      <c r="F102" s="3" t="s">
        <v>59</v>
      </c>
      <c r="G102" s="3" t="s">
        <v>51</v>
      </c>
      <c r="H102" s="3" t="s">
        <v>60</v>
      </c>
      <c r="I102" s="5" t="s">
        <v>62</v>
      </c>
      <c r="J102" s="3" t="s">
        <v>51</v>
      </c>
      <c r="K102" s="3" t="s">
        <v>64</v>
      </c>
      <c r="L102" s="3" t="s">
        <v>65</v>
      </c>
      <c r="M102" s="3" t="s">
        <v>66</v>
      </c>
      <c r="N102" s="3" t="s">
        <v>80</v>
      </c>
    </row>
    <row r="103" spans="1:25" ht="12.75">
      <c r="A103" t="s">
        <v>115</v>
      </c>
      <c r="C103">
        <v>29</v>
      </c>
      <c r="D103">
        <v>12</v>
      </c>
      <c r="E103" s="12">
        <f>+D103/C103*100</f>
        <v>41.37931034482759</v>
      </c>
      <c r="F103">
        <v>170</v>
      </c>
      <c r="G103">
        <v>1</v>
      </c>
      <c r="H103">
        <v>31</v>
      </c>
      <c r="I103">
        <v>1</v>
      </c>
      <c r="J103" s="8">
        <f>+G103/C103*100</f>
        <v>3.4482758620689653</v>
      </c>
      <c r="K103" s="12">
        <f>+I103/C103*100</f>
        <v>3.4482758620689653</v>
      </c>
      <c r="L103" s="12">
        <f>+F103/C103</f>
        <v>5.862068965517241</v>
      </c>
      <c r="M103" s="12">
        <f>100*(S103+U103+W103+Y103)/6</f>
        <v>58.11781609195402</v>
      </c>
      <c r="R103">
        <f>+(E103-30)/20</f>
        <v>0.5689655172413793</v>
      </c>
      <c r="S103" s="2">
        <f>IF(R103&lt;0,0,IF(R103&gt;2.375,2.375,R103))</f>
        <v>0.5689655172413793</v>
      </c>
      <c r="T103" s="6">
        <f>+(L103-3)/4</f>
        <v>0.7155172413793103</v>
      </c>
      <c r="U103" s="2">
        <f>IF(T103&lt;0,0,IF(T103&gt;2.375,2.375,T103))</f>
        <v>0.7155172413793103</v>
      </c>
      <c r="V103">
        <f>+J103/5</f>
        <v>0.689655172413793</v>
      </c>
      <c r="W103" s="2">
        <f>IF(V103&lt;0,0,IF(V103&gt;2.375,2.375,V103))</f>
        <v>0.689655172413793</v>
      </c>
      <c r="X103">
        <f>(9.5-K103)/4</f>
        <v>1.5129310344827587</v>
      </c>
      <c r="Y103" s="2">
        <f>IF(X103&lt;0,0,X103)</f>
        <v>1.5129310344827587</v>
      </c>
    </row>
    <row r="104" spans="1:25" ht="12.75">
      <c r="A104" t="s">
        <v>111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128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109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7" spans="1:25" ht="12.75">
      <c r="A107" t="s">
        <v>129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10" spans="1:9" ht="12.75">
      <c r="A110" s="2" t="s">
        <v>67</v>
      </c>
      <c r="C110" s="3" t="s">
        <v>68</v>
      </c>
      <c r="D110" s="3" t="s">
        <v>69</v>
      </c>
      <c r="E110" s="3" t="s">
        <v>70</v>
      </c>
      <c r="F110" s="3" t="s">
        <v>49</v>
      </c>
      <c r="G110" s="3" t="s">
        <v>60</v>
      </c>
      <c r="H110" s="3" t="s">
        <v>51</v>
      </c>
      <c r="I110" s="3" t="s">
        <v>80</v>
      </c>
    </row>
    <row r="111" spans="1:9" ht="12.75">
      <c r="A111" t="s">
        <v>130</v>
      </c>
      <c r="C111">
        <v>2</v>
      </c>
      <c r="D111">
        <v>0</v>
      </c>
      <c r="E111">
        <v>29</v>
      </c>
      <c r="F111" s="12">
        <f>+E111/C111</f>
        <v>14.5</v>
      </c>
      <c r="G111">
        <v>29</v>
      </c>
      <c r="H111">
        <v>0</v>
      </c>
      <c r="I111">
        <v>0</v>
      </c>
    </row>
    <row r="112" spans="1:6" ht="12.75">
      <c r="A112" t="s">
        <v>131</v>
      </c>
      <c r="F112" s="12" t="e">
        <f>+E112/C112</f>
        <v>#DIV/0!</v>
      </c>
    </row>
    <row r="113" spans="1:6" ht="12.75">
      <c r="A113" t="s">
        <v>118</v>
      </c>
      <c r="F113" s="12" t="e">
        <f>+E113/C113</f>
        <v>#DIV/0!</v>
      </c>
    </row>
    <row r="114" spans="1:6" ht="12.75">
      <c r="A114" t="s">
        <v>132</v>
      </c>
      <c r="F114" s="12" t="e">
        <f>+E114/C114</f>
        <v>#DIV/0!</v>
      </c>
    </row>
    <row r="115" spans="1:6" ht="12.75">
      <c r="A115" t="s">
        <v>112</v>
      </c>
      <c r="F115" s="12" t="e">
        <f>+E115/C115</f>
        <v>#DIV/0!</v>
      </c>
    </row>
    <row r="117" spans="1:8" ht="12.75">
      <c r="A117" s="2" t="s">
        <v>30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51</v>
      </c>
      <c r="H117" s="3" t="s">
        <v>80</v>
      </c>
    </row>
    <row r="118" spans="1:8" ht="12.75">
      <c r="A118" t="s">
        <v>130</v>
      </c>
      <c r="C118">
        <v>4</v>
      </c>
      <c r="D118">
        <v>100</v>
      </c>
      <c r="E118" s="12">
        <f aca="true" t="shared" si="2" ref="E118:E126">+D118/C118</f>
        <v>25</v>
      </c>
      <c r="F118">
        <v>33</v>
      </c>
      <c r="G118">
        <v>0</v>
      </c>
      <c r="H118">
        <v>1</v>
      </c>
    </row>
    <row r="119" spans="1:8" ht="12.75">
      <c r="A119" t="s">
        <v>112</v>
      </c>
      <c r="C119">
        <v>2</v>
      </c>
      <c r="D119">
        <v>36</v>
      </c>
      <c r="E119" s="12">
        <f t="shared" si="2"/>
        <v>18</v>
      </c>
      <c r="F119">
        <v>24</v>
      </c>
      <c r="G119">
        <v>0</v>
      </c>
      <c r="H119">
        <v>0</v>
      </c>
    </row>
    <row r="120" spans="1:5" ht="12.75">
      <c r="A120" t="s">
        <v>116</v>
      </c>
      <c r="E120" s="12" t="e">
        <f t="shared" si="2"/>
        <v>#DIV/0!</v>
      </c>
    </row>
    <row r="121" spans="1:5" ht="12.75">
      <c r="A121" t="s">
        <v>124</v>
      </c>
      <c r="E121" s="12" t="e">
        <f t="shared" si="2"/>
        <v>#DIV/0!</v>
      </c>
    </row>
    <row r="122" spans="1:5" ht="12.75">
      <c r="A122" t="s">
        <v>122</v>
      </c>
      <c r="E122" s="12" t="e">
        <f t="shared" si="2"/>
        <v>#DIV/0!</v>
      </c>
    </row>
    <row r="123" spans="1:5" ht="12.75">
      <c r="A123" t="s">
        <v>114</v>
      </c>
      <c r="E123" s="12" t="e">
        <f t="shared" si="2"/>
        <v>#DIV/0!</v>
      </c>
    </row>
    <row r="124" spans="1:5" ht="12.75">
      <c r="A124" t="s">
        <v>126</v>
      </c>
      <c r="E124" s="12" t="e">
        <f t="shared" si="2"/>
        <v>#DIV/0!</v>
      </c>
    </row>
    <row r="125" spans="1:5" ht="12.75">
      <c r="A125" t="s">
        <v>127</v>
      </c>
      <c r="E125" s="12" t="e">
        <f t="shared" si="2"/>
        <v>#DIV/0!</v>
      </c>
    </row>
    <row r="126" spans="1:5" ht="12.75">
      <c r="A126" t="s">
        <v>106</v>
      </c>
      <c r="E126" s="12" t="e">
        <f t="shared" si="2"/>
        <v>#DIV/0!</v>
      </c>
    </row>
    <row r="128" spans="1:8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  <c r="H128" s="3" t="s">
        <v>80</v>
      </c>
    </row>
    <row r="129" spans="1:8" ht="12.75">
      <c r="A129" t="s">
        <v>129</v>
      </c>
      <c r="C129">
        <v>4</v>
      </c>
      <c r="D129">
        <v>179</v>
      </c>
      <c r="E129" s="12">
        <f>+D129/C129</f>
        <v>44.75</v>
      </c>
      <c r="F129">
        <v>50</v>
      </c>
      <c r="G129">
        <v>0</v>
      </c>
      <c r="H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133</v>
      </c>
      <c r="C132">
        <v>5</v>
      </c>
      <c r="D132">
        <v>1</v>
      </c>
      <c r="E132">
        <v>2</v>
      </c>
      <c r="F132">
        <v>2</v>
      </c>
      <c r="G132">
        <v>3</v>
      </c>
      <c r="H132">
        <v>2</v>
      </c>
      <c r="I132" s="12">
        <f>+H132/G132*100</f>
        <v>66.66666666666666</v>
      </c>
      <c r="J132">
        <v>45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5" ht="12.75">
      <c r="A135" t="s">
        <v>134</v>
      </c>
      <c r="E135" s="12" t="e">
        <f>+D135/C135</f>
        <v>#DIV/0!</v>
      </c>
    </row>
    <row r="136" spans="1:5" ht="12.75">
      <c r="A136" t="s">
        <v>135</v>
      </c>
      <c r="E136" s="12" t="e">
        <f aca="true" t="shared" si="3" ref="E136:E143">+D136/C136</f>
        <v>#DIV/0!</v>
      </c>
    </row>
    <row r="137" spans="1:5" ht="12.75">
      <c r="A137" t="s">
        <v>130</v>
      </c>
      <c r="E137" s="12" t="e">
        <f t="shared" si="3"/>
        <v>#DIV/0!</v>
      </c>
    </row>
    <row r="138" spans="1:5" ht="12.75">
      <c r="A138" t="s">
        <v>131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137</v>
      </c>
      <c r="E140" s="12" t="e">
        <f t="shared" si="3"/>
        <v>#DIV/0!</v>
      </c>
    </row>
    <row r="141" spans="1:5" ht="12.75">
      <c r="A141" t="s">
        <v>138</v>
      </c>
      <c r="E141" s="12" t="e">
        <f t="shared" si="3"/>
        <v>#DIV/0!</v>
      </c>
    </row>
    <row r="142" spans="1:5" ht="12.75">
      <c r="A142" t="s">
        <v>139</v>
      </c>
      <c r="E142" s="12" t="e">
        <f t="shared" si="3"/>
        <v>#DIV/0!</v>
      </c>
    </row>
    <row r="143" spans="1:5" ht="12.75">
      <c r="A143" t="s">
        <v>140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spans="1:3" ht="12.75">
      <c r="A146" t="s">
        <v>117</v>
      </c>
      <c r="C146">
        <v>0.5</v>
      </c>
    </row>
    <row r="147" spans="1:3" ht="12.75">
      <c r="A147" t="s">
        <v>141</v>
      </c>
      <c r="C147">
        <v>1</v>
      </c>
    </row>
    <row r="148" spans="1:3" ht="12.75">
      <c r="A148" t="s">
        <v>142</v>
      </c>
      <c r="C148">
        <v>0.5</v>
      </c>
    </row>
    <row r="149" spans="1:3" ht="12.75">
      <c r="A149" t="s">
        <v>143</v>
      </c>
      <c r="C149">
        <v>0.5</v>
      </c>
    </row>
    <row r="150" ht="12.75">
      <c r="A150" t="s">
        <v>144</v>
      </c>
    </row>
    <row r="151" ht="12.75">
      <c r="A151" t="s">
        <v>145</v>
      </c>
    </row>
    <row r="152" spans="1:3" ht="12.75">
      <c r="A152" t="s">
        <v>140</v>
      </c>
      <c r="C152">
        <v>1</v>
      </c>
    </row>
    <row r="153" ht="12.75">
      <c r="A153" t="s">
        <v>146</v>
      </c>
    </row>
    <row r="154" ht="12.75">
      <c r="A154" t="s">
        <v>138</v>
      </c>
    </row>
    <row r="155" ht="12.75">
      <c r="A155" t="s">
        <v>139</v>
      </c>
    </row>
    <row r="156" spans="1:3" ht="12.75">
      <c r="A156" t="s">
        <v>147</v>
      </c>
      <c r="C156">
        <v>0.5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16</v>
      </c>
      <c r="H159" t="s">
        <v>93</v>
      </c>
      <c r="M159">
        <v>13</v>
      </c>
    </row>
    <row r="160" spans="1:13" ht="12.75">
      <c r="A160" t="s">
        <v>94</v>
      </c>
      <c r="D160">
        <v>8</v>
      </c>
      <c r="H160" t="s">
        <v>94</v>
      </c>
      <c r="M160">
        <v>5</v>
      </c>
    </row>
    <row r="161" spans="1:13" ht="12.75">
      <c r="A161" t="s">
        <v>95</v>
      </c>
      <c r="D161">
        <f>D160/D159*100</f>
        <v>50</v>
      </c>
      <c r="H161" t="s">
        <v>95</v>
      </c>
      <c r="M161">
        <f>+M160/M159*100</f>
        <v>38.46153846153847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Zarb</dc:creator>
  <cp:keywords/>
  <dc:description/>
  <cp:lastModifiedBy>Owner</cp:lastModifiedBy>
  <dcterms:created xsi:type="dcterms:W3CDTF">2004-12-04T00:48:17Z</dcterms:created>
  <dcterms:modified xsi:type="dcterms:W3CDTF">2015-03-22T20:29:02Z</dcterms:modified>
  <cp:category/>
  <cp:version/>
  <cp:contentType/>
  <cp:contentStatus/>
</cp:coreProperties>
</file>