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firstSheet="7" activeTab="17"/>
  </bookViews>
  <sheets>
    <sheet name="Cumulative Stats" sheetId="1" r:id="rId1"/>
    <sheet name="WAS" sheetId="2" r:id="rId2"/>
    <sheet name="@DET" sheetId="3" r:id="rId3"/>
    <sheet name="CLE" sheetId="4" r:id="rId4"/>
    <sheet name="@HOU" sheetId="5" r:id="rId5"/>
    <sheet name="@NYG" sheetId="6" r:id="rId6"/>
    <sheet name="PIT" sheetId="7" r:id="rId7"/>
    <sheet name="@PHI" sheetId="8" r:id="rId8"/>
    <sheet name="ATL" sheetId="9" r:id="rId9"/>
    <sheet name="@STL" sheetId="10" r:id="rId10"/>
    <sheet name="@WAS" sheetId="11" r:id="rId11"/>
    <sheet name="CHI" sheetId="12" r:id="rId12"/>
    <sheet name="PHI" sheetId="13" r:id="rId13"/>
    <sheet name="STL" sheetId="14" r:id="rId14"/>
    <sheet name="@CIN" sheetId="15" r:id="rId15"/>
    <sheet name="NYG" sheetId="16" r:id="rId16"/>
    <sheet name="@SFO" sheetId="17" r:id="rId17"/>
    <sheet name="Wildcard" sheetId="18" r:id="rId18"/>
  </sheets>
  <definedNames/>
  <calcPr fullCalcOnLoad="1"/>
</workbook>
</file>

<file path=xl/sharedStrings.xml><?xml version="1.0" encoding="utf-8"?>
<sst xmlns="http://schemas.openxmlformats.org/spreadsheetml/2006/main" count="4756" uniqueCount="145">
  <si>
    <t>Offensive Stats:</t>
  </si>
  <si>
    <t>Rushes</t>
  </si>
  <si>
    <t xml:space="preserve"> Yards Gained (Net)</t>
  </si>
  <si>
    <t xml:space="preserve"> Average Gain</t>
  </si>
  <si>
    <t>Passes Attempted</t>
  </si>
  <si>
    <t xml:space="preserve"> Completed</t>
  </si>
  <si>
    <t xml:space="preserve"> Percent Completed</t>
  </si>
  <si>
    <t xml:space="preserve"> Total Yards Gained</t>
  </si>
  <si>
    <t xml:space="preserve"> Passer Tackled</t>
  </si>
  <si>
    <t xml:space="preserve">    Yards Lost</t>
  </si>
  <si>
    <t xml:space="preserve"> Net Yards Gained</t>
  </si>
  <si>
    <t xml:space="preserve"> Yards Gained (Net) Per Pass Play</t>
  </si>
  <si>
    <t xml:space="preserve"> Yards Gained Per Completion</t>
  </si>
  <si>
    <t>Net Yards Gained</t>
  </si>
  <si>
    <t xml:space="preserve"> Rushing and Passing</t>
  </si>
  <si>
    <t xml:space="preserve"> Percent Total Yards - Rushing</t>
  </si>
  <si>
    <t>Ball Control Plays</t>
  </si>
  <si>
    <t xml:space="preserve"> Average Gain (Net)</t>
  </si>
  <si>
    <t>Interceptions</t>
  </si>
  <si>
    <t xml:space="preserve"> Had Intercepted</t>
  </si>
  <si>
    <t xml:space="preserve"> Yards Opponents Returned</t>
  </si>
  <si>
    <t xml:space="preserve"> Returned by Opponents for TD</t>
  </si>
  <si>
    <t>Punts</t>
  </si>
  <si>
    <t xml:space="preserve">  Yards Punted</t>
  </si>
  <si>
    <t xml:space="preserve">  Average Yards Per Punt</t>
  </si>
  <si>
    <t>Punt Returns</t>
  </si>
  <si>
    <t xml:space="preserve"> Yards Returned</t>
  </si>
  <si>
    <t xml:space="preserve"> Average Yards Per Return</t>
  </si>
  <si>
    <t xml:space="preserve"> Returned for TD</t>
  </si>
  <si>
    <t>First Downs</t>
  </si>
  <si>
    <t>Kickoff Returns</t>
  </si>
  <si>
    <t>Penalties</t>
  </si>
  <si>
    <t xml:space="preserve"> Yards Penalized</t>
  </si>
  <si>
    <t>Fumbles</t>
  </si>
  <si>
    <t>Total Points Scored</t>
  </si>
  <si>
    <t xml:space="preserve"> Touchdowns (Total)</t>
  </si>
  <si>
    <t xml:space="preserve"> Touchdowns Rushing</t>
  </si>
  <si>
    <t xml:space="preserve"> Touchdowns Passing</t>
  </si>
  <si>
    <t xml:space="preserve"> TD's on Returns and Recoveries</t>
  </si>
  <si>
    <t xml:space="preserve"> *Extra Points</t>
  </si>
  <si>
    <t xml:space="preserve"> Safeties</t>
  </si>
  <si>
    <t xml:space="preserve"> Field Goals</t>
  </si>
  <si>
    <t xml:space="preserve"> Field Goal Attempts</t>
  </si>
  <si>
    <t xml:space="preserve"> Percent Successful</t>
  </si>
  <si>
    <t>Defensive Stats:</t>
  </si>
  <si>
    <t>Individual Stats:</t>
  </si>
  <si>
    <t>Rushing:</t>
  </si>
  <si>
    <t xml:space="preserve">Att </t>
  </si>
  <si>
    <t>Yards</t>
  </si>
  <si>
    <t>Avg.</t>
  </si>
  <si>
    <t xml:space="preserve">Long </t>
  </si>
  <si>
    <t>TD</t>
  </si>
  <si>
    <t>Receiving:</t>
  </si>
  <si>
    <t>Rec.</t>
  </si>
  <si>
    <t>Passing:</t>
  </si>
  <si>
    <t>Att</t>
  </si>
  <si>
    <t>Com</t>
  </si>
  <si>
    <t>Pct</t>
  </si>
  <si>
    <t xml:space="preserve">Yards </t>
  </si>
  <si>
    <t>Gained</t>
  </si>
  <si>
    <t>Long</t>
  </si>
  <si>
    <t>Had</t>
  </si>
  <si>
    <t>Int.</t>
  </si>
  <si>
    <t xml:space="preserve">Pct </t>
  </si>
  <si>
    <t>Int</t>
  </si>
  <si>
    <t>Gain</t>
  </si>
  <si>
    <t>Rating</t>
  </si>
  <si>
    <t>Punt Returns:</t>
  </si>
  <si>
    <t>No.</t>
  </si>
  <si>
    <t>FC</t>
  </si>
  <si>
    <t>Yrds</t>
  </si>
  <si>
    <t>Punting:</t>
  </si>
  <si>
    <t>Blk</t>
  </si>
  <si>
    <t>KO</t>
  </si>
  <si>
    <t>TB</t>
  </si>
  <si>
    <t>XPA</t>
  </si>
  <si>
    <t>XPM</t>
  </si>
  <si>
    <t>FGA</t>
  </si>
  <si>
    <t>FGM</t>
  </si>
  <si>
    <t>Kicking:</t>
  </si>
  <si>
    <t>Fum</t>
  </si>
  <si>
    <t>Interceptions:</t>
  </si>
  <si>
    <t>Made</t>
  </si>
  <si>
    <t>Games Played</t>
  </si>
  <si>
    <t>Replay</t>
  </si>
  <si>
    <t>Actual</t>
  </si>
  <si>
    <t xml:space="preserve"> Percent Total Yards - Passing</t>
  </si>
  <si>
    <t>:</t>
  </si>
  <si>
    <t>Average Possesion:</t>
  </si>
  <si>
    <t>Possesion:</t>
  </si>
  <si>
    <t>Sacks:</t>
  </si>
  <si>
    <t>Possession</t>
  </si>
  <si>
    <t>Possession:</t>
  </si>
  <si>
    <t>3rd Down Attempts</t>
  </si>
  <si>
    <t>3rd Downs Converted</t>
  </si>
  <si>
    <t>% Converted</t>
  </si>
  <si>
    <t>Won</t>
  </si>
  <si>
    <t>Loss</t>
  </si>
  <si>
    <t>Takeaways</t>
  </si>
  <si>
    <t>Giveaways</t>
  </si>
  <si>
    <t>Ratio</t>
  </si>
  <si>
    <t>Lost</t>
  </si>
  <si>
    <t>Third Down Efficiency</t>
  </si>
  <si>
    <t xml:space="preserve">    Rushing</t>
  </si>
  <si>
    <t xml:space="preserve">    Penalty</t>
  </si>
  <si>
    <t xml:space="preserve">    Passing</t>
  </si>
  <si>
    <t>Fair Catch</t>
  </si>
  <si>
    <t>Hill</t>
  </si>
  <si>
    <t>Williams</t>
  </si>
  <si>
    <t>1985 Dallas Cowboys</t>
  </si>
  <si>
    <t>Dorsett</t>
  </si>
  <si>
    <t>Newsome</t>
  </si>
  <si>
    <t>Hogeboom</t>
  </si>
  <si>
    <t>D. White</t>
  </si>
  <si>
    <t>Lavette</t>
  </si>
  <si>
    <t>Fowler</t>
  </si>
  <si>
    <t>J. Jones</t>
  </si>
  <si>
    <t>Banks</t>
  </si>
  <si>
    <t>Pelluer</t>
  </si>
  <si>
    <t>Cosbie</t>
  </si>
  <si>
    <t>Renfro</t>
  </si>
  <si>
    <t>Powe</t>
  </si>
  <si>
    <t>Cornwell</t>
  </si>
  <si>
    <t>Gonzalez</t>
  </si>
  <si>
    <t>Bates</t>
  </si>
  <si>
    <t>Duckette</t>
  </si>
  <si>
    <t>Saxon</t>
  </si>
  <si>
    <t>Septien</t>
  </si>
  <si>
    <t>Walls</t>
  </si>
  <si>
    <t>Thurman</t>
  </si>
  <si>
    <t>Fellows</t>
  </si>
  <si>
    <t>Clinscale</t>
  </si>
  <si>
    <t>Downs</t>
  </si>
  <si>
    <t>Scott</t>
  </si>
  <si>
    <t>Jeffcoat</t>
  </si>
  <si>
    <t>Lockhart</t>
  </si>
  <si>
    <t>Hegman</t>
  </si>
  <si>
    <t>Too Tall Jones</t>
  </si>
  <si>
    <t>R. White</t>
  </si>
  <si>
    <t>Dutton</t>
  </si>
  <si>
    <t>Clinkscale</t>
  </si>
  <si>
    <t>Brooks</t>
  </si>
  <si>
    <t>Smerek</t>
  </si>
  <si>
    <t>Rohrer</t>
  </si>
  <si>
    <t>Ponder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</si>
</sst>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0"/>
    <numFmt numFmtId="167" formatCode="[$-409]h:mm:ss\ AM/PM"/>
    <numFmt numFmtId="168" formatCode="h:mm;@"/>
    <numFmt numFmtId="169" formatCode="mm:ss.0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"/>
    <numFmt numFmtId="175" formatCode="0.00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 quotePrefix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4"/>
  <sheetViews>
    <sheetView zoomScalePageLayoutView="0" workbookViewId="0" topLeftCell="E81">
      <selection activeCell="S88" sqref="S88:X100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109</v>
      </c>
      <c r="E1" s="2" t="s">
        <v>96</v>
      </c>
      <c r="F1" s="2" t="s">
        <v>97</v>
      </c>
    </row>
    <row r="2" spans="1:6" ht="12.75">
      <c r="A2" t="s">
        <v>83</v>
      </c>
      <c r="B2" s="2">
        <v>16</v>
      </c>
      <c r="E2">
        <f>WAS!E2+'@DET'!E2+CLE!E2+'@HOU'!E2+'@NYG'!E2+PIT!E2+'@PHI'!E2+ATL!E2+'@STL'!E2+'@WAS'!E2+CHI!E2+PHI!E2+STL!E2+'@CIN'!E2+NYG!E2+'@SFO'!E2</f>
        <v>10</v>
      </c>
      <c r="F2">
        <f>WAS!F2+'@DET'!F2+CLE!F2+'@HOU'!F2+'@NYG'!F2+PIT!F2+'@PHI'!F2+ATL!F2+'@STL'!F2+'@WAS'!F2+CHI!F2+PHI!F2+STL!F2+'@CIN'!F2+NYG!F2+'@SFO'!F2</f>
        <v>6</v>
      </c>
    </row>
    <row r="3" spans="1:8" ht="12.75">
      <c r="A3" s="2" t="s">
        <v>0</v>
      </c>
      <c r="H3" s="2" t="s">
        <v>44</v>
      </c>
    </row>
    <row r="4" spans="5:15" ht="12.75">
      <c r="E4" s="3" t="s">
        <v>84</v>
      </c>
      <c r="F4" s="3" t="s">
        <v>85</v>
      </c>
      <c r="N4" s="3" t="s">
        <v>84</v>
      </c>
      <c r="O4" s="3" t="s">
        <v>85</v>
      </c>
    </row>
    <row r="6" spans="1:15" ht="12.75">
      <c r="A6" s="1" t="s">
        <v>29</v>
      </c>
      <c r="D6" s="2">
        <f>D7+D8+D9</f>
        <v>288</v>
      </c>
      <c r="E6" s="8">
        <f>+D6/$B$2</f>
        <v>18</v>
      </c>
      <c r="F6" s="8">
        <f>336/16</f>
        <v>21</v>
      </c>
      <c r="H6" s="1" t="s">
        <v>29</v>
      </c>
      <c r="M6" s="2">
        <f>M7+M8+M9</f>
        <v>298</v>
      </c>
      <c r="N6" s="8">
        <f>+M6/$B$2</f>
        <v>18.625</v>
      </c>
      <c r="O6" s="8">
        <f>312/16</f>
        <v>19.5</v>
      </c>
    </row>
    <row r="7" spans="1:15" ht="12.75">
      <c r="A7" s="1" t="s">
        <v>103</v>
      </c>
      <c r="D7" s="2">
        <f>+WAS!D7+'@DET'!D7+CLE!D7+'@HOU'!D7+'@NYG'!D7+PIT!D7+'@PHI'!D7+ATL!D7+'@STL'!D7+'@WAS'!D7+CHI!D7+PHI!D7+STL!D7+'@CIN'!D7+NYG!D7+'@SFO'!D7</f>
        <v>89</v>
      </c>
      <c r="E7" s="8">
        <f>+D7/$B$2</f>
        <v>5.5625</v>
      </c>
      <c r="F7" s="8">
        <f>95/16</f>
        <v>5.9375</v>
      </c>
      <c r="H7" s="1" t="s">
        <v>103</v>
      </c>
      <c r="M7" s="2">
        <f>+WAS!M7+'@DET'!M7+CLE!M7+'@HOU'!M7+'@NYG'!M7+PIT!M7+'@PHI'!M7+ATL!M7+'@STL'!M7+'@WAS'!M7+CHI!M7+PHI!M7+STL!M7+'@CIN'!M7+NYG!M7+'@SFO'!M7</f>
        <v>108</v>
      </c>
      <c r="N7" s="8">
        <f>+M7/$B$2</f>
        <v>6.75</v>
      </c>
      <c r="O7" s="21">
        <f>98/16</f>
        <v>6.125</v>
      </c>
    </row>
    <row r="8" spans="1:15" ht="12.75">
      <c r="A8" s="1" t="s">
        <v>105</v>
      </c>
      <c r="D8" s="2">
        <f>+WAS!D8+'@DET'!D8+CLE!D8+'@HOU'!D8+'@NYG'!D8+PIT!D8+'@PHI'!D8+ATL!D8+'@STL'!D8+'@WAS'!D8+CHI!D8+PHI!D8+STL!D8+'@CIN'!D8+NYG!D8+'@SFO'!D8</f>
        <v>175</v>
      </c>
      <c r="E8" s="8">
        <f>+D8/$B$2</f>
        <v>10.9375</v>
      </c>
      <c r="F8" s="8">
        <f>208/16</f>
        <v>13</v>
      </c>
      <c r="H8" s="1" t="s">
        <v>105</v>
      </c>
      <c r="M8" s="2">
        <f>+WAS!M8+'@DET'!M8+CLE!M8+'@HOU'!M8+'@NYG'!M8+PIT!M8+'@PHI'!M8+ATL!M8+'@STL'!M8+'@WAS'!M8+CHI!M8+PHI!M8+STL!M8+'@CIN'!M8+NYG!M8+'@SFO'!M8</f>
        <v>164</v>
      </c>
      <c r="N8" s="8">
        <f>+M8/$B$2</f>
        <v>10.25</v>
      </c>
      <c r="O8" s="21">
        <f>193/16</f>
        <v>12.0625</v>
      </c>
    </row>
    <row r="9" spans="1:15" ht="12.75">
      <c r="A9" s="1" t="s">
        <v>104</v>
      </c>
      <c r="D9" s="2">
        <f>+WAS!D9+'@DET'!D9+CLE!D9+'@HOU'!D9+'@NYG'!D9+PIT!D9+'@PHI'!D9+ATL!D9+'@STL'!D9+'@WAS'!D9+CHI!D9+PHI!D9+STL!D9+'@CIN'!D9+NYG!D9+'@SFO'!D9</f>
        <v>24</v>
      </c>
      <c r="E9" s="8">
        <f>+D9/$B$2</f>
        <v>1.5</v>
      </c>
      <c r="F9" s="8">
        <f>33/16</f>
        <v>2.0625</v>
      </c>
      <c r="H9" s="1" t="s">
        <v>104</v>
      </c>
      <c r="M9" s="2">
        <f>+WAS!M9+'@DET'!M9+CLE!M9+'@HOU'!M9+'@NYG'!M9+PIT!M9+'@PHI'!M9+ATL!M9+'@STL'!M9+'@WAS'!M9+CHI!M9+PHI!M9+STL!M9+'@CIN'!M9+NYG!M9+'@SFO'!M9</f>
        <v>26</v>
      </c>
      <c r="N9" s="8">
        <f>+M9/$B$2</f>
        <v>1.625</v>
      </c>
      <c r="O9" s="21">
        <f>21/16</f>
        <v>1.3125</v>
      </c>
    </row>
    <row r="10" spans="5:15" ht="12.75">
      <c r="E10" s="8"/>
      <c r="F10" s="8"/>
      <c r="N10" s="8"/>
      <c r="O10" s="21"/>
    </row>
    <row r="11" spans="1:23" ht="12.75">
      <c r="A11" t="s">
        <v>1</v>
      </c>
      <c r="D11" s="2">
        <f>+WAS!D11+'@DET'!D11+CLE!D11+'@HOU'!D11+'@NYG'!D11+PIT!D11+'@PHI'!D11+ATL!D11+'@STL'!D11+'@WAS'!D11+CHI!D11+PHI!D11+STL!D11+'@CIN'!D11+NYG!D11+'@SFO'!D11</f>
        <v>454</v>
      </c>
      <c r="E11" s="8">
        <f>+D11/$B$2</f>
        <v>28.375</v>
      </c>
      <c r="F11" s="8">
        <f>462/16</f>
        <v>28.875</v>
      </c>
      <c r="H11" t="s">
        <v>1</v>
      </c>
      <c r="M11" s="2">
        <f>+WAS!M11+'@DET'!M11+CLE!M11+'@HOU'!M11+'@NYG'!M11+PIT!M11+'@PHI'!M11+ATL!M11+'@STL'!M11+'@WAS'!M11+CHI!M11+PHI!M11+STL!M11+'@CIN'!M11+NYG!M11+'@SFO'!M11</f>
        <v>491</v>
      </c>
      <c r="N11" s="8">
        <f>+M11/$B$2</f>
        <v>30.6875</v>
      </c>
      <c r="O11" s="21">
        <f>465/16</f>
        <v>29.0625</v>
      </c>
      <c r="V11">
        <f>+D11</f>
        <v>454</v>
      </c>
      <c r="W11">
        <f>+M11</f>
        <v>491</v>
      </c>
    </row>
    <row r="12" spans="1:23" ht="12.75">
      <c r="A12" t="s">
        <v>2</v>
      </c>
      <c r="D12" s="2">
        <f>+WAS!D12+'@DET'!D12+CLE!D12+'@HOU'!D12+'@NYG'!D12+PIT!D12+'@PHI'!D12+ATL!D12+'@STL'!D12+'@WAS'!D12+CHI!D12+PHI!D12+STL!D12+'@CIN'!D12+NYG!D12+'@SFO'!D12</f>
        <v>1597</v>
      </c>
      <c r="E12" s="8">
        <f>+D12/$B$2</f>
        <v>99.8125</v>
      </c>
      <c r="F12" s="8">
        <f>1741/16</f>
        <v>108.8125</v>
      </c>
      <c r="H12" t="s">
        <v>2</v>
      </c>
      <c r="M12" s="2">
        <f>+WAS!M12+'@DET'!M12+CLE!M12+'@HOU'!M12+'@NYG'!M12+PIT!M12+'@PHI'!M12+ATL!M12+'@STL'!M12+'@WAS'!M12+CHI!M12+PHI!M12+STL!M12+'@CIN'!M12+NYG!M12+'@SFO'!M12</f>
        <v>1952</v>
      </c>
      <c r="N12" s="8">
        <f>+M12/$B$2</f>
        <v>122</v>
      </c>
      <c r="O12" s="21">
        <f>1853/16</f>
        <v>115.8125</v>
      </c>
      <c r="U12" s="13"/>
      <c r="V12">
        <f>+D16</f>
        <v>275</v>
      </c>
      <c r="W12">
        <f>+M16</f>
        <v>303</v>
      </c>
    </row>
    <row r="13" spans="1:23" ht="12.75">
      <c r="A13" s="1" t="s">
        <v>3</v>
      </c>
      <c r="D13" s="8">
        <f>+D12/D11</f>
        <v>3.5176211453744495</v>
      </c>
      <c r="E13" s="8"/>
      <c r="F13" s="8">
        <f>F12/F11</f>
        <v>3.7683982683982684</v>
      </c>
      <c r="H13" s="1" t="s">
        <v>3</v>
      </c>
      <c r="M13" s="8">
        <f>+M12/M11</f>
        <v>3.975560081466395</v>
      </c>
      <c r="N13" s="8"/>
      <c r="O13" s="21">
        <f>+O12/O11</f>
        <v>3.9849462365591397</v>
      </c>
      <c r="V13">
        <f>+(D15-D16)/2</f>
        <v>109.5</v>
      </c>
      <c r="W13">
        <f>+(M15-M16)/2</f>
        <v>102.5</v>
      </c>
    </row>
    <row r="14" spans="5:23" ht="12.75">
      <c r="E14" s="8"/>
      <c r="F14" s="8"/>
      <c r="N14" s="8"/>
      <c r="O14" s="21"/>
      <c r="V14">
        <f>+D38/2</f>
        <v>47</v>
      </c>
      <c r="W14">
        <f>+M38/2</f>
        <v>46</v>
      </c>
    </row>
    <row r="15" spans="1:23" ht="12.75">
      <c r="A15" t="s">
        <v>4</v>
      </c>
      <c r="D15" s="2">
        <f>+WAS!D15+'@DET'!D15+CLE!D15+'@HOU'!D15+'@NYG'!D15+PIT!D15+'@PHI'!D15+ATL!D15+'@STL'!D15+'@WAS'!D15+CHI!D15+PHI!D15+STL!D15+'@CIN'!D15+NYG!D15+'@SFO'!D15</f>
        <v>494</v>
      </c>
      <c r="E15" s="8">
        <f>+D15/$B$2</f>
        <v>30.875</v>
      </c>
      <c r="F15" s="8">
        <f>587/16</f>
        <v>36.6875</v>
      </c>
      <c r="H15" t="s">
        <v>4</v>
      </c>
      <c r="M15" s="2">
        <f>+WAS!M15+'@DET'!M15+CLE!M15+'@HOU'!M15+'@NYG'!M15+PIT!M15+'@PHI'!M15+ATL!M15+'@STL'!M15+'@WAS'!M15+CHI!M15+PHI!M15+STL!M15+'@CIN'!M15+NYG!M15+'@SFO'!M15</f>
        <v>508</v>
      </c>
      <c r="N15" s="8">
        <f>+M15/$B$2</f>
        <v>31.75</v>
      </c>
      <c r="O15" s="21">
        <f>549/16</f>
        <v>34.3125</v>
      </c>
      <c r="V15">
        <f>+D42/2</f>
        <v>22.5</v>
      </c>
      <c r="W15">
        <f>+M42/2</f>
        <v>27</v>
      </c>
    </row>
    <row r="16" spans="1:23" ht="12.75">
      <c r="A16" t="s">
        <v>5</v>
      </c>
      <c r="D16" s="2">
        <f>+WAS!D16+'@DET'!D16+CLE!D16+'@HOU'!D16+'@NYG'!D16+PIT!D16+'@PHI'!D16+ATL!D16+'@STL'!D16+'@WAS'!D16+CHI!D16+PHI!D16+STL!D16+'@CIN'!D16+NYG!D16+'@SFO'!D16</f>
        <v>275</v>
      </c>
      <c r="E16" s="8">
        <f>+D16/$B$2</f>
        <v>17.1875</v>
      </c>
      <c r="F16" s="8">
        <f>344/16</f>
        <v>21.5</v>
      </c>
      <c r="H16" t="s">
        <v>5</v>
      </c>
      <c r="M16" s="2">
        <f>+WAS!M16+'@DET'!M16+CLE!M16+'@HOU'!M16+'@NYG'!M16+PIT!M16+'@PHI'!M16+ATL!M16+'@STL'!M16+'@WAS'!M16+CHI!M16+PHI!M16+STL!M16+'@CIN'!M16+NYG!M15+'@SFO'!M15</f>
        <v>303</v>
      </c>
      <c r="N16" s="8">
        <f>+M16/$B$2</f>
        <v>18.9375</v>
      </c>
      <c r="O16" s="21">
        <f>279/16</f>
        <v>17.4375</v>
      </c>
      <c r="V16">
        <f>+D48/2</f>
        <v>27.5</v>
      </c>
      <c r="W16">
        <f>+M48/2</f>
        <v>31</v>
      </c>
    </row>
    <row r="17" spans="1:15" ht="12.75">
      <c r="A17" t="s">
        <v>6</v>
      </c>
      <c r="D17" s="8">
        <f>+D16/D15*100</f>
        <v>55.66801619433198</v>
      </c>
      <c r="E17" s="8">
        <f>+E16/E15*100</f>
        <v>55.66801619433198</v>
      </c>
      <c r="F17" s="8">
        <f>+F16/F15*100</f>
        <v>58.603066439523</v>
      </c>
      <c r="H17" t="s">
        <v>6</v>
      </c>
      <c r="M17" s="8">
        <f>+M16/M15*100</f>
        <v>59.645669291338585</v>
      </c>
      <c r="N17" s="8">
        <f>+N16/N15*100</f>
        <v>59.645669291338585</v>
      </c>
      <c r="O17" s="21">
        <f>+O16/O15*100</f>
        <v>50.81967213114754</v>
      </c>
    </row>
    <row r="18" spans="1:24" ht="12.75">
      <c r="A18" t="s">
        <v>7</v>
      </c>
      <c r="D18" s="2">
        <f>+WAS!D18+'@DET'!D18+CLE!D18+'@HOU'!D18+'@NYG'!D18+PIT!D18+'@PHI'!D18+ATL!D18+'@STL'!D18+'@WAS'!D18+CHI!D18+PHI!D18+STL!D18+'@CIN'!D18+NYG!D18+'@SFO'!D18</f>
        <v>3762</v>
      </c>
      <c r="E18" s="8">
        <f>+D18/$B$2</f>
        <v>235.125</v>
      </c>
      <c r="F18" s="8">
        <f>4236/16</f>
        <v>264.75</v>
      </c>
      <c r="H18" t="s">
        <v>7</v>
      </c>
      <c r="M18" s="2">
        <f>+WAS!M18+'@DET'!M18+CLE!M18+'@HOU'!M18+'@NYG'!M18+PIT!M18+'@PHI'!M18+ATL!M18+'@STL'!M18+'@WAS'!M18+CHI!M18+PHI!M18+STL!M18+'@CIN'!M18+NYG!M18+'@SFO'!M18</f>
        <v>3636</v>
      </c>
      <c r="N18" s="8">
        <f>+M18/$B$2</f>
        <v>227.25</v>
      </c>
      <c r="O18" s="21">
        <f>4214/16</f>
        <v>263.375</v>
      </c>
      <c r="V18">
        <f>SUM(V11:V16)</f>
        <v>935.5</v>
      </c>
      <c r="W18">
        <f>SUM(W11:W16)</f>
        <v>1000.5</v>
      </c>
      <c r="X18">
        <f>+W18+V18</f>
        <v>1936</v>
      </c>
    </row>
    <row r="19" spans="1:23" ht="12.75">
      <c r="A19" t="s">
        <v>8</v>
      </c>
      <c r="D19" s="2">
        <f>+WAS!D19+'@DET'!D19+CLE!D19+'@HOU'!D19+'@NYG'!D19+PIT!D19+'@PHI'!D19+ATL!D19+'@STL'!D19+'@WAS'!D19+CHI!D19+PHI!D19+STL!D19+'@CIN'!D19+NYG!D19+'@SFO'!D19</f>
        <v>62</v>
      </c>
      <c r="E19" s="8">
        <f>+D19/$B$2</f>
        <v>3.875</v>
      </c>
      <c r="F19" s="8">
        <f>44/16</f>
        <v>2.75</v>
      </c>
      <c r="H19" t="s">
        <v>8</v>
      </c>
      <c r="M19" s="2">
        <f>+WAS!M19+'@DET'!M19+CLE!M19+'@HOU'!M19+'@NYG'!M19+PIT!M19+'@PHI'!M19+ATL!M19+'@STL'!M19+'@WAS'!M19+CHI!M19+PHI!M19+STL!M19+'@CIN'!M19+NYG!M19+'@SFO'!M19</f>
        <v>62</v>
      </c>
      <c r="N19" s="8">
        <f>+M19/$B$2</f>
        <v>3.875</v>
      </c>
      <c r="O19" s="21">
        <f>62/16</f>
        <v>3.875</v>
      </c>
      <c r="V19">
        <f>+V18/X18</f>
        <v>0.4832128099173554</v>
      </c>
      <c r="W19">
        <f>+W18/X18</f>
        <v>0.5167871900826446</v>
      </c>
    </row>
    <row r="20" spans="1:23" ht="12.75">
      <c r="A20" t="s">
        <v>9</v>
      </c>
      <c r="D20" s="2">
        <f>+WAS!D20+'@DET'!D20+CLE!D20+'@HOU'!D20+'@NYG'!D20+PIT!D20+'@PHI'!D20+ATL!D20+'@STL'!D20+'@WAS'!D20+CHI!D20+PHI!D20+STL!D20+'@CIN'!D20+NYG!D20+'@SFO'!D20</f>
        <v>448</v>
      </c>
      <c r="E20" s="8"/>
      <c r="F20" s="8">
        <f>375/16</f>
        <v>23.4375</v>
      </c>
      <c r="H20" t="s">
        <v>9</v>
      </c>
      <c r="M20" s="2">
        <f>+WAS!M20+'@DET'!M20+CLE!M20+'@HOU'!M20+'@NYG'!M20+PIT!M20+'@PHI'!M20+ATL!M20+'@STL'!M20+'@WAS'!M20+CHI!M20+PHI!M20+STL!M20+'@CIN'!M20+NYG!M20+'@SFO'!M20</f>
        <v>514</v>
      </c>
      <c r="N20" s="8"/>
      <c r="O20" s="21">
        <f>459/16</f>
        <v>28.6875</v>
      </c>
      <c r="V20">
        <f>+V19*60</f>
        <v>28.992768595041323</v>
      </c>
      <c r="W20">
        <f>+W19*60</f>
        <v>31.007231404958677</v>
      </c>
    </row>
    <row r="21" spans="1:23" ht="12.75">
      <c r="A21" t="s">
        <v>10</v>
      </c>
      <c r="D21">
        <f>+D18-D20</f>
        <v>3314</v>
      </c>
      <c r="E21" s="8">
        <f>+D21/B2</f>
        <v>207.125</v>
      </c>
      <c r="F21" s="8">
        <f>F18-F20</f>
        <v>241.3125</v>
      </c>
      <c r="H21" t="s">
        <v>10</v>
      </c>
      <c r="M21">
        <f>+M18-M20</f>
        <v>3122</v>
      </c>
      <c r="N21" s="8">
        <f>+M21/B2</f>
        <v>195.125</v>
      </c>
      <c r="O21" s="21">
        <f>O18-O20</f>
        <v>234.6875</v>
      </c>
      <c r="V21">
        <f>+V20-INT(V20)</f>
        <v>0.9927685950413228</v>
      </c>
      <c r="W21">
        <f>+W20-INT(W20)</f>
        <v>0.0072314049586772455</v>
      </c>
    </row>
    <row r="22" spans="1:23" ht="12.75">
      <c r="A22" t="s">
        <v>11</v>
      </c>
      <c r="D22" s="7">
        <f>+D21/(D15+D19)</f>
        <v>5.960431654676259</v>
      </c>
      <c r="E22" s="8"/>
      <c r="F22" s="8">
        <f>F21/(F15+F19)</f>
        <v>6.118858954041205</v>
      </c>
      <c r="H22" t="s">
        <v>11</v>
      </c>
      <c r="M22" s="7">
        <f>+M21/(M15+M19)</f>
        <v>5.47719298245614</v>
      </c>
      <c r="N22" s="8"/>
      <c r="O22" s="21">
        <f>O21/(O15+O19)</f>
        <v>6.145662847790508</v>
      </c>
      <c r="V22">
        <f>+V21*60</f>
        <v>59.566115702479365</v>
      </c>
      <c r="W22">
        <f>+W21*60</f>
        <v>0.43388429752063473</v>
      </c>
    </row>
    <row r="23" spans="1:23" ht="12.75">
      <c r="A23" t="s">
        <v>12</v>
      </c>
      <c r="D23" s="7">
        <f>+D18/D16</f>
        <v>13.68</v>
      </c>
      <c r="E23" s="8"/>
      <c r="F23" s="8">
        <f>F18/F16</f>
        <v>12.313953488372093</v>
      </c>
      <c r="H23" t="s">
        <v>12</v>
      </c>
      <c r="M23" s="7">
        <f>+M18/M16</f>
        <v>12</v>
      </c>
      <c r="N23" s="8"/>
      <c r="O23" s="21">
        <f>O18/O16</f>
        <v>15.10394265232975</v>
      </c>
      <c r="U23">
        <v>0</v>
      </c>
      <c r="V23" s="11">
        <f>ROUND(V22,0)</f>
        <v>60</v>
      </c>
      <c r="W23">
        <f>ROUND(W22,0)</f>
        <v>0</v>
      </c>
    </row>
    <row r="24" spans="5:23" ht="12.75">
      <c r="E24" s="8"/>
      <c r="F24" s="8"/>
      <c r="N24" s="8"/>
      <c r="O24" s="21"/>
      <c r="V24">
        <f>INT(V20)</f>
        <v>28</v>
      </c>
      <c r="W24">
        <f>INT(W20)</f>
        <v>31</v>
      </c>
    </row>
    <row r="25" spans="1:23" ht="12.75">
      <c r="A25" t="s">
        <v>13</v>
      </c>
      <c r="E25" s="8"/>
      <c r="F25" s="8"/>
      <c r="H25" t="s">
        <v>13</v>
      </c>
      <c r="N25" s="8"/>
      <c r="O25" s="21"/>
      <c r="V25" t="s">
        <v>87</v>
      </c>
      <c r="W25" t="s">
        <v>87</v>
      </c>
    </row>
    <row r="26" spans="1:23" ht="12.75">
      <c r="A26" t="s">
        <v>14</v>
      </c>
      <c r="D26">
        <f>+D21+D12</f>
        <v>4911</v>
      </c>
      <c r="E26" s="8">
        <f>+D26/B2</f>
        <v>306.9375</v>
      </c>
      <c r="F26" s="8">
        <f>F12+F21</f>
        <v>350.125</v>
      </c>
      <c r="H26" t="s">
        <v>14</v>
      </c>
      <c r="M26">
        <f>+M21+M12</f>
        <v>5074</v>
      </c>
      <c r="N26" s="8">
        <f>+M26/B2</f>
        <v>317.125</v>
      </c>
      <c r="O26" s="21">
        <f>O12+O21</f>
        <v>350.5</v>
      </c>
      <c r="V26" s="14" t="str">
        <f>+V24&amp;V25&amp;V23</f>
        <v>28:60</v>
      </c>
      <c r="W26" s="9" t="str">
        <f>+W24&amp;W25&amp;W23</f>
        <v>31:0</v>
      </c>
    </row>
    <row r="27" spans="1:23" ht="12.75">
      <c r="A27" t="s">
        <v>15</v>
      </c>
      <c r="D27" s="7">
        <f>+D12/D26*100</f>
        <v>32.518835267766235</v>
      </c>
      <c r="E27" s="8"/>
      <c r="F27" s="8">
        <f>+F12/F26*100</f>
        <v>31.078186362013565</v>
      </c>
      <c r="H27" t="s">
        <v>15</v>
      </c>
      <c r="M27" s="7">
        <f>+M12/M26*100</f>
        <v>38.47063460780449</v>
      </c>
      <c r="N27" s="8"/>
      <c r="O27" s="21">
        <f>+O12/O26*100</f>
        <v>33.042082738944366</v>
      </c>
      <c r="V27" s="9" t="str">
        <f>IF(V23&lt;10,+V24&amp;V25&amp;$U$23&amp;V23,+V24&amp;V25&amp;V23)</f>
        <v>28:60</v>
      </c>
      <c r="W27" s="9" t="str">
        <f>IF(W23&lt;10,+W24&amp;W25&amp;$U$23&amp;W23,+W24&amp;W25&amp;W23)</f>
        <v>31:00</v>
      </c>
    </row>
    <row r="28" spans="1:15" ht="12.75">
      <c r="A28" s="1" t="s">
        <v>86</v>
      </c>
      <c r="D28" s="7">
        <f>+D21/D26*100</f>
        <v>67.48116473223375</v>
      </c>
      <c r="E28" s="8"/>
      <c r="F28" s="8">
        <f>+F21/F26*100</f>
        <v>68.92181363798643</v>
      </c>
      <c r="H28" s="1" t="s">
        <v>86</v>
      </c>
      <c r="M28" s="7">
        <f>+M21/M26*100</f>
        <v>61.529365392195515</v>
      </c>
      <c r="N28" s="8"/>
      <c r="O28" s="21">
        <f>O21/O26*100</f>
        <v>66.95791726105563</v>
      </c>
    </row>
    <row r="29" spans="5:15" ht="12.75">
      <c r="E29" s="8"/>
      <c r="F29" s="8"/>
      <c r="N29" s="8"/>
      <c r="O29" s="21"/>
    </row>
    <row r="30" spans="1:15" ht="12.75">
      <c r="A30" t="s">
        <v>16</v>
      </c>
      <c r="D30">
        <f>+D11+D15+D19</f>
        <v>1010</v>
      </c>
      <c r="E30" s="8">
        <f>+D30/$B$2</f>
        <v>63.125</v>
      </c>
      <c r="F30" s="8">
        <f>F11+F15+F19</f>
        <v>68.3125</v>
      </c>
      <c r="H30" t="s">
        <v>16</v>
      </c>
      <c r="M30">
        <f>+M11+M15+M19</f>
        <v>1061</v>
      </c>
      <c r="N30" s="8">
        <f>+M30/$B$2</f>
        <v>66.3125</v>
      </c>
      <c r="O30" s="21">
        <f>O11+O15+O19</f>
        <v>67.25</v>
      </c>
    </row>
    <row r="31" spans="1:15" ht="12.75">
      <c r="A31" t="s">
        <v>17</v>
      </c>
      <c r="D31" s="8">
        <f>+D26/D30</f>
        <v>4.862376237623763</v>
      </c>
      <c r="E31" s="8"/>
      <c r="F31" s="8">
        <f>+F26/F30</f>
        <v>5.125343092406221</v>
      </c>
      <c r="G31" s="7"/>
      <c r="H31" s="7" t="s">
        <v>17</v>
      </c>
      <c r="I31" s="7"/>
      <c r="J31" s="7"/>
      <c r="K31" s="7"/>
      <c r="L31" s="7"/>
      <c r="M31" s="8">
        <f>+M26/M30</f>
        <v>4.782280867106503</v>
      </c>
      <c r="N31" s="8"/>
      <c r="O31" s="21">
        <f>+O26/O30</f>
        <v>5.211895910780669</v>
      </c>
    </row>
    <row r="32" spans="5:15" ht="12.75">
      <c r="E32" s="8"/>
      <c r="F32" s="8"/>
      <c r="N32" s="8"/>
      <c r="O32" s="21"/>
    </row>
    <row r="33" spans="1:15" ht="12.75">
      <c r="A33" t="s">
        <v>18</v>
      </c>
      <c r="E33" s="8"/>
      <c r="F33" s="8"/>
      <c r="H33" t="s">
        <v>18</v>
      </c>
      <c r="N33" s="8"/>
      <c r="O33" s="21"/>
    </row>
    <row r="34" spans="1:15" ht="12.75">
      <c r="A34" t="s">
        <v>19</v>
      </c>
      <c r="D34" s="2">
        <f>+WAS!D34+'@DET'!D34+CLE!D34+'@HOU'!D34+'@NYG'!D34+PIT!D34+'@PHI'!D34+ATL!D34+'@STL'!D34+'@WAS'!D34+CHI!D34+PHI!D34+STL!D34+'@CIN'!D34+NYG!D34+'@SFO'!D34</f>
        <v>27</v>
      </c>
      <c r="E34" s="8">
        <f>+D34/$B$2</f>
        <v>1.6875</v>
      </c>
      <c r="F34" s="8">
        <f>25/16</f>
        <v>1.5625</v>
      </c>
      <c r="H34" t="s">
        <v>19</v>
      </c>
      <c r="M34" s="2">
        <f>+WAS!M34+'@DET'!M34+CLE!M34+'@HOU'!M34+'@NYG'!M34+PIT!M34+'@PHI'!M34+ATL!M34+'@STL'!M34+'@WAS'!M34+CHI!M34+PHI!M34+STL!M34+'@CIN'!M34+NYG!M34+'@SFO'!M34</f>
        <v>31</v>
      </c>
      <c r="N34" s="8">
        <f>+M34/$B$2</f>
        <v>1.9375</v>
      </c>
      <c r="O34" s="21">
        <f>33/16</f>
        <v>2.0625</v>
      </c>
    </row>
    <row r="35" spans="1:15" ht="12.75">
      <c r="A35" t="s">
        <v>20</v>
      </c>
      <c r="D35" s="2">
        <f>+WAS!D35+'@DET'!D35+CLE!D35+'@HOU'!D35+'@NYG'!D35+PIT!D35+'@PHI'!D35+ATL!D35+'@STL'!D35+'@WAS'!D35+CHI!D35+PHI!D35+STL!D35+'@CIN'!D35+NYG!D35+'@SFO'!D35</f>
        <v>271</v>
      </c>
      <c r="E35" s="8"/>
      <c r="F35" s="8">
        <f>319/16</f>
        <v>19.9375</v>
      </c>
      <c r="H35" t="s">
        <v>20</v>
      </c>
      <c r="M35" s="2">
        <f>+WAS!M35+'@DET'!M35+CLE!M35+'@HOU'!M35+'@NYG'!M35+PIT!M35+'@PHI'!M35+ATL!M35+'@STL'!M35+'@WAS'!M35+CHI!M35+PHI!M35+STL!M35+'@CIN'!M35+NYG!M35+'@SFO'!M35</f>
        <v>356</v>
      </c>
      <c r="N35" s="8"/>
      <c r="O35" s="21">
        <f>263/16</f>
        <v>16.4375</v>
      </c>
    </row>
    <row r="36" spans="1:15" ht="12.75">
      <c r="A36" t="s">
        <v>21</v>
      </c>
      <c r="D36" s="2">
        <f>+WAS!D36+'@DET'!D36+CLE!D36+'@HOU'!D36+'@NYG'!D36+PIT!D36+'@PHI'!D36+ATL!D36+'@STL'!D36+'@WAS'!D36+CHI!D36+PHI!D36+STL!D36+'@CIN'!D36+NYG!D36+'@SFO'!D36</f>
        <v>1</v>
      </c>
      <c r="E36" s="8"/>
      <c r="F36" s="8">
        <f>2/16</f>
        <v>0.125</v>
      </c>
      <c r="H36" t="s">
        <v>21</v>
      </c>
      <c r="M36" s="2">
        <f>+WAS!M36+'@DET'!M36+CLE!M36+'@HOU'!M36+'@NYG'!M36+PIT!M36+'@PHI'!M36+ATL!M36+'@STL'!M36+'@WAS'!M36+CHI!M36+PHI!M36+STL!M36+'@CIN'!M36+NYG!M36+'@SFO'!M36</f>
        <v>4</v>
      </c>
      <c r="N36" s="8"/>
      <c r="O36" s="21">
        <f>4/16</f>
        <v>0.25</v>
      </c>
    </row>
    <row r="37" spans="5:15" ht="12.75">
      <c r="E37" s="8"/>
      <c r="F37" s="8"/>
      <c r="N37" s="8"/>
      <c r="O37" s="21"/>
    </row>
    <row r="38" spans="1:15" ht="12.75">
      <c r="A38" t="s">
        <v>22</v>
      </c>
      <c r="D38" s="2">
        <f>+WAS!D38+'@DET'!D38+CLE!D38+'@HOU'!D38+'@NYG'!D38+PIT!D38+'@PHI'!D38+ATL!D38+'@STL'!D38+'@WAS'!D38+CHI!D38+PHI!D38+STL!D38+'@CIN'!D38+NYG!D38+'@SFO'!D38</f>
        <v>94</v>
      </c>
      <c r="E38" s="8">
        <f>+D38/$B$2</f>
        <v>5.875</v>
      </c>
      <c r="F38" s="21">
        <f>83/16</f>
        <v>5.1875</v>
      </c>
      <c r="H38" t="s">
        <v>22</v>
      </c>
      <c r="M38" s="2">
        <f>+WAS!M38+'@DET'!M38+CLE!M38+'@HOU'!M38+'@NYG'!M38+PIT!M38+'@PHI'!M38+ATL!M38+'@STL'!M38+'@WAS'!M38+CHI!M38+PHI!M38+STL!M38+'@CIN'!M38+NYG!M38+'@SFO'!M38</f>
        <v>92</v>
      </c>
      <c r="N38" s="8">
        <f>+M38/$B$2</f>
        <v>5.75</v>
      </c>
      <c r="O38" s="21">
        <f>78/16</f>
        <v>4.875</v>
      </c>
    </row>
    <row r="39" spans="1:15" ht="12.75">
      <c r="A39" t="s">
        <v>23</v>
      </c>
      <c r="D39" s="2">
        <f>+WAS!D39+'@DET'!D39+CLE!D39+'@HOU'!D39+'@NYG'!D39+PIT!D39+'@PHI'!D39+ATL!D39+'@STL'!D39+'@WAS'!D39+CHI!D39+PHI!D39+STL!D39+'@CIN'!D39+NYG!D39+'@SFO'!D39</f>
        <v>4125</v>
      </c>
      <c r="E39" s="8">
        <f>+D39/$B$2</f>
        <v>257.8125</v>
      </c>
      <c r="F39" s="21">
        <f>3439/16</f>
        <v>214.9375</v>
      </c>
      <c r="H39" t="s">
        <v>23</v>
      </c>
      <c r="M39" s="2">
        <f>+WAS!M39+'@DET'!M39+CLE!M39+'@HOU'!M39+'@NYG'!M39+PIT!M39+'@PHI'!M39+ATL!M39+'@STL'!M39+'@WAS'!M39+CHI!M39+PHI!M39+STL!M39+'@CIN'!M39+NYG!M39+'@SFO'!M39</f>
        <v>3901</v>
      </c>
      <c r="N39" s="8">
        <f>+M39/$B$2</f>
        <v>243.8125</v>
      </c>
      <c r="O39" s="21">
        <f>3218/16</f>
        <v>201.125</v>
      </c>
    </row>
    <row r="40" spans="1:15" ht="12.75">
      <c r="A40" t="s">
        <v>24</v>
      </c>
      <c r="D40" s="8">
        <f>+D39/D38</f>
        <v>43.88297872340426</v>
      </c>
      <c r="E40" s="8"/>
      <c r="F40" s="21">
        <f>F39/F38</f>
        <v>41.433734939759034</v>
      </c>
      <c r="G40" s="7"/>
      <c r="H40" s="7" t="s">
        <v>24</v>
      </c>
      <c r="I40" s="7"/>
      <c r="J40" s="7"/>
      <c r="K40" s="7"/>
      <c r="L40" s="7"/>
      <c r="M40" s="8">
        <f>+M39/M38</f>
        <v>42.40217391304348</v>
      </c>
      <c r="N40" s="8"/>
      <c r="O40" s="21">
        <f>O39/O38</f>
        <v>41.256410256410255</v>
      </c>
    </row>
    <row r="41" spans="5:15" ht="12.75">
      <c r="E41" s="8"/>
      <c r="F41" s="21"/>
      <c r="N41" s="8"/>
      <c r="O41" s="21"/>
    </row>
    <row r="42" spans="1:15" ht="12.75">
      <c r="A42" t="s">
        <v>25</v>
      </c>
      <c r="D42" s="2">
        <f>+WAS!D42+'@DET'!D42+CLE!D42+'@HOU'!D42+'@NYG'!D42+PIT!D42+'@PHI'!D42+ATL!D42+'@STL'!D42+'@WAS'!D42+CHI!D42+PHI!D42+STL!D42+'@CIN'!D42+NYG!D42+'@SFO'!D42</f>
        <v>45</v>
      </c>
      <c r="E42" s="8">
        <f>+D42/$B$2</f>
        <v>2.8125</v>
      </c>
      <c r="F42" s="21">
        <f>40/16</f>
        <v>2.5</v>
      </c>
      <c r="H42" t="s">
        <v>25</v>
      </c>
      <c r="M42" s="2">
        <f>+WAS!M42+'@DET'!M42+CLE!M42+'@HOU'!M42+'@NYG'!M42+PIT!M42+'@PHI'!M42+ATL!M42+'@STL'!M42+'@WAS'!M42+CHI!M42+PHI!M42+STL!M42+'@CIN'!M42+NYG!M42+'@SFO'!M42</f>
        <v>54</v>
      </c>
      <c r="N42" s="8">
        <f>+M42/$B$2</f>
        <v>3.375</v>
      </c>
      <c r="O42" s="21">
        <f>44/16</f>
        <v>2.75</v>
      </c>
    </row>
    <row r="43" spans="1:15" ht="12.75">
      <c r="A43" t="s">
        <v>26</v>
      </c>
      <c r="D43" s="2">
        <f>+WAS!D43+'@DET'!D43+CLE!D43+'@HOU'!D43+'@NYG'!D43+PIT!D43+'@PHI'!D43+ATL!D43+'@STL'!D43+'@WAS'!D43+CHI!D43+PHI!D43+STL!D43+'@CIN'!D43+NYG!D43+'@SFO'!D43</f>
        <v>304</v>
      </c>
      <c r="E43" s="8">
        <f>+D43/$B$2</f>
        <v>19</v>
      </c>
      <c r="F43" s="21">
        <f>237/16</f>
        <v>14.8125</v>
      </c>
      <c r="H43" t="s">
        <v>26</v>
      </c>
      <c r="M43" s="2">
        <f>+WAS!M43+'@DET'!M43+CLE!M43+'@HOU'!M43+'@NYG'!M43+PIT!M43+'@PHI'!M43+ATL!M43+'@STL'!M43+'@WAS'!M43+CHI!M43+PHI!M43+STL!M43+'@CIN'!M43+NYG!M43+'@SFO'!M43</f>
        <v>360</v>
      </c>
      <c r="N43" s="8">
        <f>+M43/$B$2</f>
        <v>22.5</v>
      </c>
      <c r="O43" s="21">
        <f>286/16</f>
        <v>17.875</v>
      </c>
    </row>
    <row r="44" spans="1:15" ht="12.75">
      <c r="A44" t="s">
        <v>27</v>
      </c>
      <c r="D44" s="8">
        <f>+D43/D42</f>
        <v>6.7555555555555555</v>
      </c>
      <c r="E44" s="8">
        <f>+D44/$B$2</f>
        <v>0.4222222222222222</v>
      </c>
      <c r="F44" s="21">
        <f>F43/F42</f>
        <v>5.925</v>
      </c>
      <c r="H44" t="s">
        <v>27</v>
      </c>
      <c r="M44" s="8">
        <f>+M43/M42</f>
        <v>6.666666666666667</v>
      </c>
      <c r="N44" s="8">
        <f>+M44/$B$2</f>
        <v>0.4166666666666667</v>
      </c>
      <c r="O44" s="21">
        <f>O43/O42</f>
        <v>6.5</v>
      </c>
    </row>
    <row r="45" spans="1:15" ht="12.75">
      <c r="A45" t="s">
        <v>106</v>
      </c>
      <c r="D45" s="2">
        <f>+WAS!D45+'@DET'!D45+CLE!D45+'@HOU'!D45+'@NYG'!D45+PIT!D45+'@PHI'!D45+ATL!D45+'@STL'!D45+'@WAS'!D45+CHI!D45+PHI!D45+STL!D45+'@CIN'!D45+NYG!D45+'@SFO'!D45</f>
        <v>15</v>
      </c>
      <c r="E45" s="8">
        <f>+D45/$B$2</f>
        <v>0.9375</v>
      </c>
      <c r="F45" s="21">
        <f>14/16</f>
        <v>0.875</v>
      </c>
      <c r="H45" t="s">
        <v>106</v>
      </c>
      <c r="M45" s="2">
        <f>+WAS!M45+'@DET'!M45+CLE!M45+'@HOU'!M45+'@NYG'!M45+PIT!M45+'@PHI'!M45+ATL!M45+'@STL'!M45+'@WAS'!M45+CHI!M45+PHI!M45+STL!M45+'@CIN'!M45+NYG!M45+'@SFO'!M45</f>
        <v>15</v>
      </c>
      <c r="N45" s="8">
        <f>+M45/$B$2</f>
        <v>0.9375</v>
      </c>
      <c r="O45" s="21">
        <f>10/16</f>
        <v>0.625</v>
      </c>
    </row>
    <row r="46" spans="1:15" ht="12.75">
      <c r="A46" t="s">
        <v>28</v>
      </c>
      <c r="D46" s="2">
        <f>+WAS!D46+'@DET'!D46+CLE!D46+'@HOU'!D46+'@NYG'!D46+PIT!D46+'@PHI'!D46+ATL!D46+'@STL'!D46+'@WAS'!D46+CHI!D46+PHI!D46+STL!D46+'@CIN'!D46+NYG!D46+'@SFO'!D46</f>
        <v>0</v>
      </c>
      <c r="E46" s="8">
        <f>+D46/$B$2</f>
        <v>0</v>
      </c>
      <c r="F46" s="21">
        <f>0/16</f>
        <v>0</v>
      </c>
      <c r="H46" t="s">
        <v>28</v>
      </c>
      <c r="M46" s="2">
        <f>+WAS!M46+'@DET'!M46+CLE!M46+'@HOU'!M46+'@NYG'!M46+PIT!M46+'@PHI'!M46+ATL!M46+'@STL'!M46+'@WAS'!M46+CHI!M46+PHI!M46+STL!M46+'@CIN'!M46+NYG!M46+'@SFO'!M46</f>
        <v>0</v>
      </c>
      <c r="N46" s="8">
        <f>+M46/$B$2</f>
        <v>0</v>
      </c>
      <c r="O46" s="21">
        <f>0/16</f>
        <v>0</v>
      </c>
    </row>
    <row r="47" spans="5:15" ht="12.75">
      <c r="E47" s="8"/>
      <c r="F47" s="21"/>
      <c r="N47" s="8"/>
      <c r="O47" s="21"/>
    </row>
    <row r="48" spans="1:15" ht="12.75">
      <c r="A48" t="s">
        <v>30</v>
      </c>
      <c r="D48" s="2">
        <f>+WAS!D48+'@DET'!D48+CLE!D48+'@HOU'!D48+'@NYG'!D48+PIT!D48+'@PHI'!D48+ATL!D48+'@STL'!D48+'@WAS'!D48+CHI!D48+PHI!D48+STL!D48+'@CIN'!D48+NYG!D48+'@SFO'!D48</f>
        <v>55</v>
      </c>
      <c r="E48" s="8">
        <f>+D48/$B$2</f>
        <v>3.4375</v>
      </c>
      <c r="F48" s="21">
        <f>62/16</f>
        <v>3.875</v>
      </c>
      <c r="H48" t="s">
        <v>30</v>
      </c>
      <c r="M48" s="2">
        <f>+WAS!M48+'@DET'!M48+CLE!M48+'@HOU'!M48+'@NYG'!M48+PIT!M48+'@PHI'!M48+ATL!M48+'@STL'!M48+'@WAS'!M48+CHI!M48+PHI!M48+STL!M48+'@CIN'!M48+NYG!M48+'@SFO'!M48</f>
        <v>62</v>
      </c>
      <c r="N48" s="8">
        <f>+M48/$B$2</f>
        <v>3.875</v>
      </c>
      <c r="O48" s="21">
        <f>68/16</f>
        <v>4.25</v>
      </c>
    </row>
    <row r="49" spans="1:15" ht="12.75">
      <c r="A49" t="s">
        <v>26</v>
      </c>
      <c r="D49" s="2">
        <f>+WAS!D49+'@DET'!D49+CLE!D49+'@HOU'!D49+'@NYG'!D49+PIT!D49+'@PHI'!D49+ATL!D49+'@STL'!D49+'@WAS'!D49+CHI!D49+PHI!D49+STL!D49+'@CIN'!D49+NYG!D49+'@SFO'!D49</f>
        <v>1147</v>
      </c>
      <c r="E49" s="8">
        <f>+D49/$B$2</f>
        <v>71.6875</v>
      </c>
      <c r="F49" s="21">
        <f>1210/16</f>
        <v>75.625</v>
      </c>
      <c r="H49" t="s">
        <v>26</v>
      </c>
      <c r="M49" s="2">
        <f>+WAS!M49+'@DET'!M49+CLE!M49+'@HOU'!M49+'@NYG'!M49+PIT!M49+'@PHI'!M49+ATL!M49+'@STL'!M49+'@WAS'!M49+CHI!M49+PHI!M49+STL!M49+'@CIN'!M49+NYG!M49+'@SFO'!M49</f>
        <v>1222</v>
      </c>
      <c r="N49" s="8">
        <f>+M49/$B$2</f>
        <v>76.375</v>
      </c>
      <c r="O49" s="21">
        <f>1310/16</f>
        <v>81.875</v>
      </c>
    </row>
    <row r="50" spans="1:15" ht="12.75">
      <c r="A50" t="s">
        <v>27</v>
      </c>
      <c r="D50" s="8">
        <f>+D49/D48</f>
        <v>20.854545454545455</v>
      </c>
      <c r="E50" s="8"/>
      <c r="F50" s="21">
        <f>F49/F48</f>
        <v>19.516129032258064</v>
      </c>
      <c r="H50" t="s">
        <v>27</v>
      </c>
      <c r="M50" s="8">
        <f>+M49/M48</f>
        <v>19.70967741935484</v>
      </c>
      <c r="N50" s="8"/>
      <c r="O50" s="21">
        <f>O49/O48</f>
        <v>19.264705882352942</v>
      </c>
    </row>
    <row r="51" spans="1:15" ht="12.75">
      <c r="A51" t="s">
        <v>28</v>
      </c>
      <c r="D51" s="2">
        <f>+WAS!D51+'@DET'!D51+CLE!D51+'@HOU'!D51+'@NYG'!D51+PIT!D51+'@PHI'!D51+ATL!D51+'@STL'!D51+'@WAS'!D51+CHI!D51+PHI!D51+STL!D51+'@CIN'!D51+NYG!D51+'@SFO'!D51</f>
        <v>0</v>
      </c>
      <c r="E51" s="8"/>
      <c r="F51" s="21">
        <f>0/16</f>
        <v>0</v>
      </c>
      <c r="H51" t="s">
        <v>28</v>
      </c>
      <c r="M51" s="2">
        <f>+WAS!M51+'@DET'!M51+CLE!M51+'@HOU'!M51+'@NYG'!M51+PIT!M51+'@PHI'!M51+ATL!M51+'@STL'!M51+'@WAS'!M51+CHI!M51+PHI!M51+STL!M51+'@CIN'!M51+NYG!M51+'@SFO'!M51</f>
        <v>1</v>
      </c>
      <c r="N51" s="8"/>
      <c r="O51" s="21">
        <f>0/16</f>
        <v>0</v>
      </c>
    </row>
    <row r="52" spans="5:15" ht="12.75">
      <c r="E52" s="8"/>
      <c r="F52" s="8"/>
      <c r="N52" s="8"/>
      <c r="O52" s="21"/>
    </row>
    <row r="53" spans="1:15" ht="12.75">
      <c r="A53" t="s">
        <v>31</v>
      </c>
      <c r="D53" s="2">
        <f>+WAS!D53+'@DET'!D53+CLE!D53+'@HOU'!D53+'@NYG'!D53+PIT!D53+'@PHI'!D53+ATL!D53+'@STL'!D53+'@WAS'!D53+CHI!D53+PHI!D53+STL!D53+'@CIN'!D53+NYG!D53+'@SFO'!D53</f>
        <v>74</v>
      </c>
      <c r="E53" s="8">
        <f>+D53/$B$2</f>
        <v>4.625</v>
      </c>
      <c r="F53" s="21">
        <f>100/16</f>
        <v>6.25</v>
      </c>
      <c r="H53" t="s">
        <v>31</v>
      </c>
      <c r="M53" s="2">
        <f>+WAS!M53+'@DET'!M53+CLE!M53+'@HOU'!M53+'@NYG'!M53+PIT!M53+'@PHI'!M53+ATL!M53+'@STL'!M53+'@WAS'!M53+CHI!M53+PHI!M53+STL!M53+'@CIN'!M53+NYG!M53+'@SFO'!M53</f>
        <v>91</v>
      </c>
      <c r="N53" s="8">
        <f>+M53/$B$2</f>
        <v>5.6875</v>
      </c>
      <c r="O53" s="21">
        <f>108/16</f>
        <v>6.75</v>
      </c>
    </row>
    <row r="54" spans="1:15" ht="12.75">
      <c r="A54" t="s">
        <v>32</v>
      </c>
      <c r="D54" s="2">
        <f>+WAS!D54+'@DET'!D54+CLE!D54+'@HOU'!D54+'@NYG'!D54+PIT!D54+'@PHI'!D54+ATL!D54+'@STL'!D54+'@WAS'!D54+CHI!D54+PHI!D54+STL!D54+'@CIN'!D54+NYG!D54+'@SFO'!D54</f>
        <v>673</v>
      </c>
      <c r="E54" s="8">
        <f>+D54/$B$2</f>
        <v>42.0625</v>
      </c>
      <c r="F54" s="21">
        <f>759/16</f>
        <v>47.4375</v>
      </c>
      <c r="H54" t="s">
        <v>32</v>
      </c>
      <c r="M54" s="2">
        <f>+WAS!M54+'@DET'!M54+CLE!M54+'@HOU'!M54+'@NYG'!M54+PIT!M54+'@PHI'!M54+ATL!M54+'@STL'!M54+'@WAS'!M54+CHI!M54+PHI!M54+STL!M54+'@CIN'!M54+NYG!M54+'@SFO'!M54</f>
        <v>796</v>
      </c>
      <c r="N54" s="8">
        <f>+M54/$B$2</f>
        <v>49.75</v>
      </c>
      <c r="O54" s="21">
        <f>990/16</f>
        <v>61.875</v>
      </c>
    </row>
    <row r="55" spans="5:15" ht="12.75">
      <c r="E55" s="8"/>
      <c r="F55" s="21"/>
      <c r="N55" s="8"/>
      <c r="O55" s="21"/>
    </row>
    <row r="56" spans="1:15" ht="12.75">
      <c r="A56" t="s">
        <v>33</v>
      </c>
      <c r="D56" s="2">
        <f>+WAS!D56+'@DET'!D56+CLE!D56+'@HOU'!D56+'@NYG'!D56+PIT!D56+'@PHI'!D56+ATL!D56+'@STL'!D56+'@WAS'!D56+CHI!D56+PHI!D56+STL!D56+'@CIN'!D56+NYG!D56+'@SFO'!D56</f>
        <v>21</v>
      </c>
      <c r="E56" s="8">
        <f>+D56/$B$2</f>
        <v>1.3125</v>
      </c>
      <c r="F56" s="21">
        <f>29/16</f>
        <v>1.8125</v>
      </c>
      <c r="H56" t="s">
        <v>33</v>
      </c>
      <c r="M56" s="2">
        <f>+WAS!M56+'@DET'!M56+CLE!M56+'@HOU'!M56+'@NYG'!M56+PIT!M56+'@PHI'!M56+ATL!M56+'@STL'!M56+'@WAS'!M56+CHI!M56+PHI!M56+STL!M56+'@CIN'!M56+NYG!M56+'@SFO'!M56</f>
        <v>17</v>
      </c>
      <c r="N56" s="8">
        <f>+M56/$B$2</f>
        <v>1.0625</v>
      </c>
      <c r="O56" s="21">
        <f>24/16</f>
        <v>1.5</v>
      </c>
    </row>
    <row r="57" spans="1:15" ht="12.75">
      <c r="A57" t="s">
        <v>101</v>
      </c>
      <c r="D57" s="2">
        <f>+WAS!D57+'@DET'!D57+CLE!D57+'@HOU'!D57+'@NYG'!D57+PIT!D57+'@PHI'!D57+ATL!D57+'@STL'!D57+'@WAS'!D57+CHI!D57+PHI!D57+STL!D57+'@CIN'!D57+NYG!D57+'@SFO'!D57</f>
        <v>8</v>
      </c>
      <c r="E57" s="8">
        <f>+D57/$B$2</f>
        <v>0.5</v>
      </c>
      <c r="F57" s="21">
        <f>16/16</f>
        <v>1</v>
      </c>
      <c r="H57" t="s">
        <v>101</v>
      </c>
      <c r="M57" s="2">
        <f>+WAS!M57+'@DET'!M57+CLE!M57+'@HOU'!M57+'@NYG'!M57+PIT!M57+'@PHI'!M57+ATL!M57+'@STL'!M57+'@WAS'!M57+CHI!M57+PHI!M57+STL!M57+'@CIN'!M57+NYG!M57+'@SFO'!M57</f>
        <v>10</v>
      </c>
      <c r="N57" s="8">
        <f>+M57/$B$2</f>
        <v>0.625</v>
      </c>
      <c r="O57" s="21">
        <f>15/16</f>
        <v>0.9375</v>
      </c>
    </row>
    <row r="58" spans="5:15" ht="12.75">
      <c r="E58" s="8"/>
      <c r="F58" s="21"/>
      <c r="N58" s="8"/>
      <c r="O58" s="21"/>
    </row>
    <row r="59" spans="1:15" ht="12.75">
      <c r="A59" t="s">
        <v>34</v>
      </c>
      <c r="D59" s="2">
        <f>+WAS!D59+'@DET'!D59+CLE!D59+'@HOU'!D59+'@NYG'!D59+PIT!D59+'@PHI'!D59+ATL!D59+'@STL'!D59+'@WAS'!D59+CHI!D59+PHI!D59+STL!D59+'@CIN'!D59+NYG!D59+'@SFO'!D59</f>
        <v>327</v>
      </c>
      <c r="E59" s="8">
        <f aca="true" t="shared" si="0" ref="E59:E67">+D59/$B$2</f>
        <v>20.4375</v>
      </c>
      <c r="F59" s="21">
        <f>357/16</f>
        <v>22.3125</v>
      </c>
      <c r="H59" t="s">
        <v>34</v>
      </c>
      <c r="M59" s="2">
        <f>+WAS!M59+'@DET'!M59+CLE!M59+'@HOU'!M59+'@NYG'!M59+PIT!M59+'@PHI'!M59+ATL!M59+'@STL'!M59+'@WAS'!M59+CHI!M59+PHI!M59+STL!M59+'@CIN'!M59+NYG!M59+'@SFO'!M59</f>
        <v>267</v>
      </c>
      <c r="N59" s="8">
        <f aca="true" t="shared" si="1" ref="N59:N67">+M59/$B$2</f>
        <v>16.6875</v>
      </c>
      <c r="O59" s="21">
        <f>333/16</f>
        <v>20.8125</v>
      </c>
    </row>
    <row r="60" spans="1:15" ht="12.75">
      <c r="A60" t="s">
        <v>35</v>
      </c>
      <c r="D60" s="2">
        <f>+WAS!D60+'@DET'!D60+CLE!D60+'@HOU'!D60+'@NYG'!D60+PIT!D60+'@PHI'!D60+ATL!D60+'@STL'!D60+'@WAS'!D60+CHI!D60+PHI!D60+STL!D60+'@CIN'!D60+NYG!D60+'@SFO'!D60</f>
        <v>37</v>
      </c>
      <c r="E60" s="8">
        <f t="shared" si="0"/>
        <v>2.3125</v>
      </c>
      <c r="F60" s="21">
        <f>43/16</f>
        <v>2.6875</v>
      </c>
      <c r="H60" t="s">
        <v>35</v>
      </c>
      <c r="M60" s="2">
        <f>+WAS!M60+'@DET'!M60+CLE!M60+'@HOU'!M60+'@NYG'!M60+PIT!M60+'@PHI'!M60+ATL!M60+'@STL'!M60+'@WAS'!M60+CHI!M60+PHI!M60+STL!M60+'@CIN'!M60+NYG!M60+'@SFO'!M60</f>
        <v>26</v>
      </c>
      <c r="N60" s="8">
        <f t="shared" si="1"/>
        <v>1.625</v>
      </c>
      <c r="O60" s="21">
        <f>40/16</f>
        <v>2.5</v>
      </c>
    </row>
    <row r="61" spans="1:15" ht="12.75">
      <c r="A61" t="s">
        <v>36</v>
      </c>
      <c r="D61" s="2">
        <f>+WAS!D61+'@DET'!D61+CLE!D61+'@HOU'!D61+'@NYG'!D61+PIT!D61+'@PHI'!D61+ATL!D61+'@STL'!D61+'@WAS'!D61+CHI!D61+PHI!D61+STL!D61+'@CIN'!D61+NYG!D61+NYG!D61</f>
        <v>8</v>
      </c>
      <c r="E61" s="8">
        <f t="shared" si="0"/>
        <v>0.5</v>
      </c>
      <c r="F61" s="21">
        <f>11/16</f>
        <v>0.6875</v>
      </c>
      <c r="H61" t="s">
        <v>36</v>
      </c>
      <c r="M61" s="2">
        <f>+WAS!M61+'@DET'!M61+CLE!M61+'@HOU'!M61+'@NYG'!M61+PIT!M61+'@PHI'!M61+ATL!M61+'@STL'!M61+'@WAS'!M61+CHI!M61+PHI!M61+STL!M61+'@CIN'!M61+STL!M61+'@CIN'!M61</f>
        <v>9</v>
      </c>
      <c r="N61" s="8">
        <f t="shared" si="1"/>
        <v>0.5625</v>
      </c>
      <c r="O61" s="21">
        <f>18/16</f>
        <v>1.125</v>
      </c>
    </row>
    <row r="62" spans="1:15" ht="12.75">
      <c r="A62" t="s">
        <v>37</v>
      </c>
      <c r="D62" s="2">
        <f>+WAS!D62+'@DET'!D62+CLE!D62+'@HOU'!D62+'@NYG'!D62+PIT!D62+'@PHI'!D62+ATL!D62+'@STL'!D62+'@WAS'!D62+CHI!D62+PHI!D62+STL!D62+'@CIN'!D62+NYG!D62+'@SFO'!D62</f>
        <v>23</v>
      </c>
      <c r="E62" s="8">
        <f t="shared" si="0"/>
        <v>1.4375</v>
      </c>
      <c r="F62" s="21">
        <f>27/16</f>
        <v>1.6875</v>
      </c>
      <c r="H62" t="s">
        <v>37</v>
      </c>
      <c r="M62" s="2">
        <f>+WAS!M62+'@DET'!M62+CLE!M62+'@HOU'!M62+'@NYG'!M62+PIT!M62+'@PHI'!M62+ATL!M62+'@STL'!M62+'@WAS'!M62+CHI!M62+PHI!M62+STL!M62+'@CIN'!M62+NYG!M62+'@SFO'!M62</f>
        <v>12</v>
      </c>
      <c r="N62" s="8">
        <f t="shared" si="1"/>
        <v>0.75</v>
      </c>
      <c r="O62" s="21">
        <f>20/16</f>
        <v>1.25</v>
      </c>
    </row>
    <row r="63" spans="1:15" ht="12.75">
      <c r="A63" t="s">
        <v>38</v>
      </c>
      <c r="D63" s="2">
        <f>+WAS!D63+'@DET'!D63+CLE!D63+'@HOU'!D63+'@NYG'!D63+PIT!D63+'@PHI'!D63+ATL!D63+'@STL'!D63+'@WAS'!D63+CHI!D63+PHI!D63+STL!D63+'@CIN'!D63+NYG!D63+'@SFO'!D63</f>
        <v>4</v>
      </c>
      <c r="E63" s="8">
        <f t="shared" si="0"/>
        <v>0.25</v>
      </c>
      <c r="F63" s="21">
        <f>5/16</f>
        <v>0.3125</v>
      </c>
      <c r="H63" t="s">
        <v>38</v>
      </c>
      <c r="M63" s="2">
        <f>+WAS!M63+'@DET'!M63+CLE!M63+'@HOU'!M63+'@NYG'!M63+PIT!M63+'@PHI'!M63+ATL!M63+'@STL'!M63+'@WAS'!M63+CHI!M63+PHI!M63+STL!M63+'@CIN'!M63+NYG!M63+'@SFO'!M63</f>
        <v>3</v>
      </c>
      <c r="N63" s="8">
        <f t="shared" si="1"/>
        <v>0.1875</v>
      </c>
      <c r="O63" s="21">
        <f>2/16</f>
        <v>0.125</v>
      </c>
    </row>
    <row r="64" spans="1:15" ht="12.75">
      <c r="A64" t="s">
        <v>39</v>
      </c>
      <c r="D64" s="2">
        <f>+WAS!D64+'@DET'!D64+CLE!D64+'@HOU'!D64+'@NYG'!D64+PIT!D64+'@PHI'!D64+ATL!D64+'@STL'!D64+'@WAS'!D64+CHI!D64+PHI!D64+STL!D64+'@CIN'!D64+NYG!D64+'@SFO'!D64</f>
        <v>36</v>
      </c>
      <c r="E64" s="8">
        <f t="shared" si="0"/>
        <v>2.25</v>
      </c>
      <c r="F64" s="21">
        <f>42/16</f>
        <v>2.625</v>
      </c>
      <c r="H64" t="s">
        <v>39</v>
      </c>
      <c r="M64" s="2">
        <f>+WAS!M64+'@DET'!M64+CLE!M64+'@HOU'!M64+'@NYG'!M64+PIT!M64+'@PHI'!M64+ATL!M64+'@STL'!M64+'@WAS'!M64+CHI!M64+PHI!M64+STL!M64+'@CIN'!M64+NYG!M64+'@SFO'!M64</f>
        <v>26</v>
      </c>
      <c r="N64" s="8">
        <f t="shared" si="1"/>
        <v>1.625</v>
      </c>
      <c r="O64" s="21">
        <f>37/16</f>
        <v>2.3125</v>
      </c>
    </row>
    <row r="65" spans="1:15" ht="12.75">
      <c r="A65" t="s">
        <v>40</v>
      </c>
      <c r="D65" s="2">
        <f>+WAS!D65+'@DET'!D65+CLE!D65+'@HOU'!D65+'@NYG'!D65+PIT!D65+'@PHI'!D65+ATL!D65+'@STL'!D65+'@WAS'!D65+CHI!D65+PHI!D65+STL!D65+'@CIN'!D65+NYG!D65+'@SFO'!D65</f>
        <v>3</v>
      </c>
      <c r="E65" s="8">
        <f t="shared" si="0"/>
        <v>0.1875</v>
      </c>
      <c r="F65" s="21">
        <f>0/16</f>
        <v>0</v>
      </c>
      <c r="H65" t="s">
        <v>40</v>
      </c>
      <c r="M65" s="2">
        <f>+WAS!M65+'@DET'!M65+CLE!M65+'@HOU'!M65+'@NYG'!M65+PIT!M65+'@PHI'!M65+ATL!M65+'@STL'!M65+'@WAS'!M65+CHI!M65+PHI!M65+STL!M65+'@CIN'!M65+NYG!M65+'@SFO'!M65</f>
        <v>4</v>
      </c>
      <c r="N65" s="8">
        <f t="shared" si="1"/>
        <v>0.25</v>
      </c>
      <c r="O65" s="21">
        <f>1/16</f>
        <v>0.0625</v>
      </c>
    </row>
    <row r="66" spans="1:15" ht="12.75">
      <c r="A66" t="s">
        <v>41</v>
      </c>
      <c r="D66" s="2">
        <f>+WAS!D66+'@DET'!D66+CLE!D66+'@HOU'!D66+'@NYG'!D66+PIT!D66+'@PHI'!D66+ATL!D66+'@STL'!D66+'@WAS'!D66+CHI!D66+PHI!D66+STL!D66+'@CIN'!D66+NYG!D66+'@SFO'!D66</f>
        <v>21</v>
      </c>
      <c r="E66" s="8">
        <f t="shared" si="0"/>
        <v>1.3125</v>
      </c>
      <c r="F66" s="21">
        <f>19/16</f>
        <v>1.1875</v>
      </c>
      <c r="H66" t="s">
        <v>41</v>
      </c>
      <c r="M66" s="2">
        <f>+WAS!M66+'@DET'!M66+CLE!M66+'@HOU'!M66+'@NYG'!M66+PIT!M66+'@PHI'!M66+ATL!M66+'@STL'!M66+'@WAS'!M66+CHI!M66+PHI!M66+STL!M66+'@CIN'!M66+NYG!M66+'@SFO'!M66</f>
        <v>28</v>
      </c>
      <c r="N66" s="8">
        <f t="shared" si="1"/>
        <v>1.75</v>
      </c>
      <c r="O66" s="21">
        <f>18/16</f>
        <v>1.125</v>
      </c>
    </row>
    <row r="67" spans="1:15" ht="12.75">
      <c r="A67" t="s">
        <v>42</v>
      </c>
      <c r="D67" s="2">
        <f>+WAS!D67+'@DET'!D67+CLE!D67+'@HOU'!D67+'@NYG'!D67+PIT!D67+'@PHI'!D67+ATL!D67+'@STL'!D67+'@WAS'!D67+CHI!D67+PHI!D67+STL!D67+'@CIN'!D67</f>
        <v>25</v>
      </c>
      <c r="E67" s="8">
        <f t="shared" si="0"/>
        <v>1.5625</v>
      </c>
      <c r="F67" s="21">
        <f>28/16</f>
        <v>1.75</v>
      </c>
      <c r="H67" t="s">
        <v>42</v>
      </c>
      <c r="M67" s="2">
        <f>+WAS!M67+'@DET'!M67+CLE!M67+'@HOU'!M67+'@NYG'!M67+PIT!M67+'@PHI'!M67+ATL!M67+'@STL'!M67+'@WAS'!M67+CHI!M67+PHI!M67+STL!M67+'@CIN'!M67+NYG!M67+'@SFO'!M67</f>
        <v>40</v>
      </c>
      <c r="N67" s="8">
        <f t="shared" si="1"/>
        <v>2.5</v>
      </c>
      <c r="O67" s="21">
        <f>27/16</f>
        <v>1.6875</v>
      </c>
    </row>
    <row r="68" spans="1:15" ht="12.75">
      <c r="A68" t="s">
        <v>43</v>
      </c>
      <c r="D68" s="8">
        <f>+D66/D67*100</f>
        <v>84</v>
      </c>
      <c r="E68" s="8">
        <f>E66/E67*100</f>
        <v>84</v>
      </c>
      <c r="F68" s="21">
        <f>F66/F67*100</f>
        <v>67.85714285714286</v>
      </c>
      <c r="G68" s="7"/>
      <c r="H68" s="7" t="s">
        <v>43</v>
      </c>
      <c r="I68" s="7"/>
      <c r="J68" s="7"/>
      <c r="K68" s="7"/>
      <c r="L68" s="7"/>
      <c r="M68" s="8">
        <f>+M66/M67*100</f>
        <v>70</v>
      </c>
      <c r="N68" s="8">
        <f>N66/N67*100</f>
        <v>70</v>
      </c>
      <c r="O68" s="21">
        <f>O66/O67*100</f>
        <v>66.66666666666666</v>
      </c>
    </row>
    <row r="69" spans="1:15" ht="12.75">
      <c r="A69" t="s">
        <v>88</v>
      </c>
      <c r="D69" s="10" t="str">
        <f>IF(V23&lt;10,V27,V26)</f>
        <v>28:60</v>
      </c>
      <c r="E69" s="8"/>
      <c r="F69" s="21">
        <v>30.3</v>
      </c>
      <c r="H69" t="s">
        <v>88</v>
      </c>
      <c r="M69" s="10" t="str">
        <f>IF(W23&lt;10,W27,W26)</f>
        <v>31:00</v>
      </c>
      <c r="N69" s="8"/>
      <c r="O69" s="21">
        <v>29.6</v>
      </c>
    </row>
    <row r="70" spans="1:15" ht="12.75">
      <c r="A70" t="s">
        <v>102</v>
      </c>
      <c r="D70" s="23">
        <f>D161</f>
        <v>33.77777777777778</v>
      </c>
      <c r="E70" s="8">
        <f>D70</f>
        <v>33.77777777777778</v>
      </c>
      <c r="F70" s="21">
        <v>42.3</v>
      </c>
      <c r="H70" t="s">
        <v>102</v>
      </c>
      <c r="M70" s="23">
        <f>M161</f>
        <v>28.695652173913043</v>
      </c>
      <c r="N70" s="8">
        <f>M70</f>
        <v>28.695652173913043</v>
      </c>
      <c r="O70" s="21">
        <v>38.2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2" t="s">
        <v>80</v>
      </c>
    </row>
    <row r="74" spans="1:15" ht="12.75">
      <c r="A74" t="s">
        <v>110</v>
      </c>
      <c r="C74">
        <f>+WAS!C74+'@DET'!C74+CLE!C74+'@HOU'!C74+'@NYG'!C74+PIT!C74+'@PHI'!C74+ATL!C74+'@STL'!C74+'@WAS'!C74+CHI!C74+PHI!C74+STL!C74+'@CIN'!C74+NYG!C74+'@SFO'!C74</f>
        <v>308</v>
      </c>
      <c r="D74">
        <f>+WAS!D74+'@DET'!D74+CLE!D74+'@HOU'!D74+'@NYG'!D74+PIT!D74+'@PHI'!D74+ATL!D74+'@STL'!D74+'@WAS'!D74+CHI!D74+PHI!D74+STL!D74+'@CIN'!D74+NYG!D74+'@SFO'!D74</f>
        <v>1204</v>
      </c>
      <c r="E74" s="12">
        <f aca="true" t="shared" si="2" ref="E74:E84">+D74/C74</f>
        <v>3.909090909090909</v>
      </c>
      <c r="F74">
        <f>MAX(WAS!F74,'@DET'!F74,CLE!F74,'@HOU'!F74,'@NYG'!F74,PIT!F74,'@PHI'!F74,'@STL'!F74,'@WAS'!F74,CHI!F74,PHI!F74,STL!F74,'@CIN'!F74,'@CIN'!F74,NYG!F74,'@SFO'!F74,+ATL!F74)</f>
        <v>60</v>
      </c>
      <c r="G74">
        <f>+WAS!G74+'@DET'!G74+CLE!G74+'@HOU'!G74+'@NYG'!G74+PIT!G74+'@PHI'!G74+ATL!G74+'@STL'!G74+'@WAS'!G74+CHI!G74+PHI!G74+STL!G74+'@CIN'!G74+NYG!G74+'@SFO'!G74</f>
        <v>8</v>
      </c>
      <c r="H74">
        <f>WAS!H74+'@DET'!H74+CLE!H74+'@HOU'!H74+'@NYG'!H74+PIT!H74+'@PHI'!H74+ATL!H74+'@STL'!H74+'@WAS'!H74+CHI!H74+PHI!H74+STL!H74+'@CIN'!H74+NYG!H74+'@SFO'!H74</f>
        <v>6</v>
      </c>
      <c r="O74" s="24"/>
    </row>
    <row r="75" spans="1:15" ht="12.75">
      <c r="A75" t="s">
        <v>111</v>
      </c>
      <c r="C75">
        <f>+WAS!C75+'@DET'!C75+CLE!C75+'@HOU'!C75+'@NYG'!C75+PIT!C75+'@PHI'!C75+ATL!C75+'@STL'!C75+'@WAS'!C75+CHI!C75+PHI!C75+STL!C75+'@CIN'!C75+NYG!C75+NYG!C75</f>
        <v>85</v>
      </c>
      <c r="D75">
        <f>+WAS!D75+'@DET'!D75+CLE!D75+'@HOU'!D75+'@NYG'!D75+PIT!D75+'@PHI'!D75+ATL!D75+'@STL'!D75+'@WAS'!D75+CHI!D75+PHI!D75+STL!D75+'@CIN'!D75+NYG!D75+'@SFO'!D75</f>
        <v>259</v>
      </c>
      <c r="E75" s="12">
        <f t="shared" si="2"/>
        <v>3.0470588235294116</v>
      </c>
      <c r="F75">
        <f>MAX(WAS!F75,'@DET'!F75,CLE!F75,'@HOU'!F75,'@NYG'!F75,PIT!F75,'@PHI'!F75,'@STL'!F75,'@WAS'!F75,CHI!F75,PHI!F75,STL!F75,'@CIN'!F75,'@CIN'!F75,NYG!F75,'@SFO'!F75,+ATL!F75)</f>
        <v>16</v>
      </c>
      <c r="G75">
        <f>+WAS!G75+'@DET'!G75+CLE!G75+'@HOU'!G75+'@NYG'!G75+PIT!G75+'@PHI'!G75+ATL!G75+'@STL'!G75+'@WAS'!G75+CHI!G75+PHI!G75+STL!G75+'@CIN'!G75+NYG!G75+'@SFO'!G75</f>
        <v>1</v>
      </c>
      <c r="H75">
        <f>WAS!H75+'@DET'!H75+CLE!H75+'@HOU'!H75+'@NYG'!H75+PIT!H75+'@PHI'!H75+ATL!H75+'@STL'!H75+'@WAS'!H75+CHI!H75+PHI!H75+STL!H75+'@CIN'!H75+NYG!H75+'@SFO'!H75</f>
        <v>1</v>
      </c>
      <c r="O75" s="24"/>
    </row>
    <row r="76" spans="1:15" ht="12.75">
      <c r="A76" t="s">
        <v>112</v>
      </c>
      <c r="C76">
        <f>+WAS!C76+'@DET'!C76+CLE!C76+'@HOU'!C76+'@NYG'!C76+PIT!C76+'@PHI'!C76+ATL!C76+'@STL'!C76+'@WAS'!C76+CHI!C76+PHI!C76+STL!C76+'@CIN'!C76+NYG!C76+'@SFO'!C76</f>
        <v>3</v>
      </c>
      <c r="D76">
        <f>+WAS!D76+'@DET'!D76+CLE!D76+'@HOU'!D76+'@NYG'!D76+PIT!D76+'@PHI'!D76+ATL!D76+'@STL'!D76+'@WAS'!D76+CHI!D76+PHI!D76+STL!D76+'@CIN'!D76+NYG!D76+'@SFO'!D76</f>
        <v>2</v>
      </c>
      <c r="E76" s="12">
        <f t="shared" si="2"/>
        <v>0.6666666666666666</v>
      </c>
      <c r="F76">
        <f>MAX(WAS!F76,'@DET'!F76,CLE!F76,'@HOU'!F76,'@NYG'!F76,PIT!F76,'@PHI'!F76,'@STL'!F76,'@WAS'!F76,CHI!F76,PHI!F76,STL!F76,'@CIN'!F76,'@CIN'!F76,NYG!F76,'@SFO'!F76,+ATL!F76)</f>
        <v>4</v>
      </c>
      <c r="G76">
        <f>+WAS!G76+'@DET'!G76+CLE!G76+'@HOU'!G76+'@NYG'!G76+PIT!G76+'@PHI'!G76+ATL!G76+'@STL'!G76+'@WAS'!G76+CHI!G76+PHI!G76+STL!G76+'@CIN'!G76+NYG!G76+'@SFO'!G76</f>
        <v>0</v>
      </c>
      <c r="H76">
        <f>WAS!H76+'@DET'!H76+CLE!H76+'@HOU'!H76+'@NYG'!H76+PIT!H76+'@PHI'!H76+ATL!H76+'@STL'!H76+'@WAS'!H76+CHI!H76+PHI!H76+STL!H76+'@CIN'!H76+NYG!H76+'@SFO'!H76</f>
        <v>0</v>
      </c>
      <c r="O76" s="24"/>
    </row>
    <row r="77" spans="1:15" ht="12.75">
      <c r="A77" t="s">
        <v>113</v>
      </c>
      <c r="C77">
        <f>+WAS!C77+'@DET'!C77+CLE!C77+'@HOU'!C77+'@NYG'!C77+PIT!C77+'@PHI'!C77+ATL!C77+'@STL'!C77+'@WAS'!C77+CHI!C77+PHI!C77+STL!C77+'@CIN'!C77+NYG!C77+'@SFO'!C77</f>
        <v>22</v>
      </c>
      <c r="D77">
        <f>+WAS!D77+'@DET'!D77+CLE!D77+'@HOU'!D77+'@NYG'!D77+PIT!D77+'@PHI'!D77+ATL!D77+'@STL'!D77+'@WAS'!D77+CHI!D77+PHI!D77+STL!D77+'@CIN'!D77+NYG!D77+'@SFO'!D77</f>
        <v>51</v>
      </c>
      <c r="E77" s="12">
        <f t="shared" si="2"/>
        <v>2.3181818181818183</v>
      </c>
      <c r="F77">
        <f>MAX(WAS!F77,'@DET'!F77,CLE!F77,'@HOU'!F77,'@NYG'!F77,PIT!F77,'@PHI'!F77,'@STL'!F77,'@WAS'!F77,CHI!F77,PHI!F77,STL!F77,'@CIN'!F77,'@CIN'!F77,NYG!F77,'@SFO'!F77,+ATL!F77)</f>
        <v>21</v>
      </c>
      <c r="G77">
        <f>+WAS!G77+'@DET'!G77+CLE!G77+'@HOU'!G77+'@NYG'!G77+PIT!G77+'@PHI'!G77+ATL!G77+'@STL'!G77+'@WAS'!G77+CHI!G77+PHI!G77+STL!G77+'@CIN'!G77+NYG!G77+'@SFO'!G77</f>
        <v>0</v>
      </c>
      <c r="H77">
        <f>WAS!H77+'@DET'!H77+CLE!H77+'@HOU'!H77+'@NYG'!H77+PIT!H77+'@PHI'!H77+ATL!H77+'@STL'!H77+'@WAS'!H77+CHI!H77+PHI!H77+STL!H77+'@CIN'!H77+NYG!H77+'@SFO'!H77</f>
        <v>0</v>
      </c>
      <c r="O77" s="24"/>
    </row>
    <row r="78" spans="1:15" ht="12.75">
      <c r="A78" t="s">
        <v>108</v>
      </c>
      <c r="C78">
        <f>+WAS!C78+'@DET'!C78+CLE!C78+'@HOU'!C78+'@NYG'!C78+PIT!C78+'@PHI'!C78+ATL!C78+'@STL'!C78+'@WAS'!C78+CHI!C78+PHI!C78+STL!C78+'@CIN'!C78+NYG!C78+'@SFO'!C78</f>
        <v>12</v>
      </c>
      <c r="D78">
        <f>+WAS!D78+'@DET'!D78+CLE!D78+'@HOU'!D78+'@NYG'!D78+PIT!D78+'@PHI'!D78+ATL!D78+'@STL'!D78+'@WAS'!D78+CHI!D78+PHI!D78+STL!D78+'@CIN'!D78+NYG!D78+'@SFO'!D78</f>
        <v>32</v>
      </c>
      <c r="E78" s="12">
        <f t="shared" si="2"/>
        <v>2.6666666666666665</v>
      </c>
      <c r="F78">
        <f>MAX(WAS!F78,'@DET'!F78,CLE!F78,'@HOU'!F78,'@NYG'!F78,PIT!F78,'@PHI'!F78,'@STL'!F78,'@WAS'!F78,CHI!F78,PHI!F78,STL!F78,'@CIN'!F78,'@CIN'!F78,NYG!F78,'@SFO'!F78,+ATL!F78)</f>
        <v>12</v>
      </c>
      <c r="G78">
        <f>+WAS!G78+'@DET'!G78+CLE!G78+'@HOU'!G78+'@NYG'!G78+PIT!G78+'@PHI'!G78+ATL!G78+'@STL'!G78+'@WAS'!G78+CHI!G78+PHI!G78+STL!G78+'@CIN'!G78+NYG!G78+'@SFO'!G78</f>
        <v>1</v>
      </c>
      <c r="H78">
        <f>WAS!H78+'@DET'!H78+CLE!H78+'@HOU'!H78+'@NYG'!H78+PIT!H78+'@PHI'!H78+ATL!H78+'@STL'!H78+'@WAS'!H78+CHI!H78+PHI!H78+STL!H78+'@CIN'!H78+NYG!H78+'@SFO'!H78</f>
        <v>4</v>
      </c>
      <c r="O78" s="24"/>
    </row>
    <row r="79" spans="1:15" ht="12.75">
      <c r="A79" t="s">
        <v>114</v>
      </c>
      <c r="C79">
        <f>+WAS!C79+'@DET'!C79+CLE!C79+'@HOU'!C79+'@NYG'!C79+PIT!C79+'@PHI'!C79+ATL!C79+'@STL'!C79+'@WAS'!C79+CHI!C79+PHI!C79+STL!C79+'@CIN'!C79+NYG!C79+'@SFO'!C79</f>
        <v>14</v>
      </c>
      <c r="D79">
        <f>+WAS!D79+'@DET'!D79+CLE!D79+'@HOU'!D79+'@NYG'!D79+PIT!D79+'@PHI'!D79+ATL!D79+'@STL'!D79+'@WAS'!D79+CHI!D79+PHI!D79+STL!D79+'@CIN'!D79+NYG!D79+'@SFO'!D79</f>
        <v>21</v>
      </c>
      <c r="E79" s="12">
        <f t="shared" si="2"/>
        <v>1.5</v>
      </c>
      <c r="F79">
        <f>MAX(WAS!F79,'@DET'!F79,CLE!F79,'@HOU'!F79,'@NYG'!F79,PIT!F79,'@PHI'!F79,'@STL'!F79,'@WAS'!F79,CHI!F79,PHI!F79,STL!F79,'@CIN'!F79,'@CIN'!F79,NYG!F79,'@SFO'!F79,+ATL!F79)</f>
        <v>7</v>
      </c>
      <c r="G79">
        <f>+WAS!G79+'@DET'!G79+CLE!G79+'@HOU'!G79+'@NYG'!G79+PIT!G79+'@PHI'!G79+ATL!G79+'@STL'!G79+'@WAS'!G79+CHI!G79+PHI!G79+STL!G79+'@CIN'!G79+NYG!G79+'@SFO'!G79</f>
        <v>0</v>
      </c>
      <c r="H79">
        <f>WAS!H79+'@DET'!H79+CLE!H79+'@HOU'!H79+'@NYG'!H79+PIT!H79+'@PHI'!H79+ATL!H79+'@STL'!H79+'@WAS'!H79+CHI!H79+PHI!H79+STL!H79+'@CIN'!H79+NYG!H79+'@SFO'!H79</f>
        <v>0</v>
      </c>
      <c r="O79" s="24"/>
    </row>
    <row r="80" spans="1:15" ht="12.75">
      <c r="A80" t="s">
        <v>115</v>
      </c>
      <c r="C80">
        <f>+WAS!C80+'@DET'!C80+CLE!C80+'@HOU'!C80+'@NYG'!C80+PIT!C80+'@PHI'!C80+ATL!C80+'@STL'!C80+'@WAS'!C80+CHI!C80+PHI!C80+STL!C80+'@CIN'!C80+NYG!C80+'@SFO'!C80</f>
        <v>7</v>
      </c>
      <c r="D80">
        <f>+WAS!D80+'@DET'!D80+CLE!D80+'@HOU'!D80+'@NYG'!D80+PIT!D80+'@PHI'!D80+ATL!D80+'@STL'!D80+'@WAS'!D80+CHI!D80+PHI!D80+STL!D80+'@CIN'!D80+NYG!D80+'@SFO'!D80</f>
        <v>34</v>
      </c>
      <c r="E80" s="12">
        <f t="shared" si="2"/>
        <v>4.857142857142857</v>
      </c>
      <c r="F80">
        <f>MAX(WAS!F80,'@DET'!F80,CLE!F80,'@HOU'!F80,'@NYG'!F80,PIT!F80,'@PHI'!F80,'@STL'!F80,'@WAS'!F80,CHI!F80,PHI!F80,STL!F80,'@CIN'!F80,'@CIN'!F80,NYG!F80,'@SFO'!F80,+ATL!F80)</f>
        <v>10</v>
      </c>
      <c r="G80">
        <f>+WAS!G80+'@DET'!G80+CLE!G80+'@HOU'!G80+'@NYG'!G80+PIT!G80+'@PHI'!G80+ATL!G80+'@STL'!G80+'@WAS'!G80+CHI!G80+PHI!G80+STL!G80+'@CIN'!G80+NYG!G80+'@SFO'!G80</f>
        <v>0</v>
      </c>
      <c r="H80">
        <f>WAS!H80+'@DET'!H80+CLE!H80+'@HOU'!H80+'@NYG'!H80+PIT!H80+'@PHI'!H80+ATL!H80+'@STL'!H80+'@WAS'!H80+CHI!H80+PHI!H80+STL!H80+'@CIN'!H80+NYG!H80+'@SFO'!H80</f>
        <v>0</v>
      </c>
      <c r="O80" s="24"/>
    </row>
    <row r="81" spans="1:15" ht="12.75">
      <c r="A81" t="s">
        <v>116</v>
      </c>
      <c r="C81">
        <f>+WAS!C81+'@DET'!C81+CLE!C81+'@HOU'!C81+'@NYG'!C81+PIT!C81+'@PHI'!C81+ATL!C81+'@STL'!C81+'@WAS'!C81+CHI!C81+PHI!C81+STL!C81+'@CIN'!C81+NYG!C81+'@SFO'!C81</f>
        <v>0</v>
      </c>
      <c r="D81">
        <f>+WAS!D81+'@DET'!D81+CLE!D81+'@HOU'!D81+'@NYG'!D81+PIT!D81+'@PHI'!D81+ATL!D81+'@STL'!D81+'@WAS'!D81+CHI!D81+PHI!D81+STL!D81+'@CIN'!D81+NYG!D81+'@SFO'!D81</f>
        <v>0</v>
      </c>
      <c r="E81" s="12" t="e">
        <f t="shared" si="2"/>
        <v>#DIV/0!</v>
      </c>
      <c r="F81">
        <f>MAX(WAS!F81,'@DET'!F81,CLE!F81,'@HOU'!F81,'@NYG'!F81,PIT!F81,'@PHI'!F81,'@STL'!F81,'@WAS'!F81,CHI!F81,PHI!F81,STL!F81,'@CIN'!F81,'@CIN'!F81,NYG!F81,'@SFO'!F81,+ATL!F81)</f>
        <v>0</v>
      </c>
      <c r="G81">
        <f>+WAS!G81+'@DET'!G81+CLE!G81+'@HOU'!G81+'@NYG'!G81+PIT!G81+'@PHI'!G81+ATL!G81+'@STL'!G81+'@WAS'!G81+CHI!G81+PHI!G81+STL!G81+'@CIN'!G81+NYG!G81+'@SFO'!G81</f>
        <v>0</v>
      </c>
      <c r="H81">
        <f>WAS!H81+'@DET'!H81+CLE!H81+'@HOU'!H81+'@NYG'!H81+PIT!H81+'@PHI'!H81+ATL!H81+'@STL'!H81+'@WAS'!H81+CHI!H81+PHI!H81+STL!H81+'@CIN'!H81+NYG!H81+'@SFO'!H81</f>
        <v>0</v>
      </c>
      <c r="O81" s="24"/>
    </row>
    <row r="82" spans="1:15" ht="12.75">
      <c r="A82" t="s">
        <v>117</v>
      </c>
      <c r="C82">
        <f>+WAS!C82+'@DET'!C82+CLE!C82+'@HOU'!C82+'@NYG'!C82+PIT!C82+'@PHI'!C82+ATL!C82+'@STL'!C82+'@WAS'!C82+CHI!C82+PHI!C82+STL!C82+'@CIN'!C82+NYG!C82+'@SFO'!C82</f>
        <v>0</v>
      </c>
      <c r="D82">
        <f>+WAS!D82+'@DET'!D82+CLE!D82+'@HOU'!D82+'@NYG'!D82+PIT!D82+'@PHI'!D82+ATL!D82+'@STL'!D82+'@WAS'!D82+CHI!D82+PHI!D82+STL!D82+'@CIN'!D82+NYG!D82+'@SFO'!D82</f>
        <v>0</v>
      </c>
      <c r="E82" s="12" t="e">
        <f t="shared" si="2"/>
        <v>#DIV/0!</v>
      </c>
      <c r="F82">
        <f>MAX(WAS!F82,'@DET'!F82,CLE!F82,'@HOU'!F82,'@NYG'!F82,PIT!F82,'@PHI'!F82,'@STL'!F82,'@WAS'!F82,CHI!F82,PHI!F82,STL!F82,'@CIN'!F82,'@CIN'!F82,NYG!F82,'@SFO'!F82,+ATL!F82)</f>
        <v>0</v>
      </c>
      <c r="G82">
        <f>+WAS!G82+'@DET'!G82+CLE!G82+'@HOU'!G82+'@NYG'!G82+PIT!G82+'@PHI'!G82+ATL!G82+'@STL'!G82+'@WAS'!G82+CHI!G82+PHI!G82+STL!G82+'@CIN'!G82+NYG!G82+'@SFO'!G82</f>
        <v>0</v>
      </c>
      <c r="H82">
        <f>WAS!H82+'@DET'!H82+CLE!H82+'@HOU'!H82+'@NYG'!H82+PIT!H82+'@PHI'!H82+ATL!H82+'@STL'!H82+'@WAS'!H82+CHI!H82+PHI!H82+STL!H82+'@CIN'!H82+NYG!H82+'@SFO'!H82</f>
        <v>0</v>
      </c>
      <c r="O82" s="24"/>
    </row>
    <row r="83" spans="1:15" ht="12.75">
      <c r="A83" t="s">
        <v>118</v>
      </c>
      <c r="C83">
        <f>+WAS!C83+'@DET'!C83+CLE!C83+'@HOU'!C83+'@NYG'!C83+PIT!C83+'@PHI'!C83+ATL!C83+'@STL'!C83+'@WAS'!C83+CHI!C83+PHI!C83+STL!C83+'@CIN'!C83+NYG!C83+'@SFO'!C83</f>
        <v>0</v>
      </c>
      <c r="D83">
        <f>+WAS!D83+'@DET'!D83+CLE!D83+'@HOU'!D83+'@NYG'!D83+PIT!D83+'@PHI'!D83+ATL!D83+'@STL'!D83+'@WAS'!D83+CHI!D83+PHI!D83+STL!D83+'@CIN'!D83+NYG!D83+'@SFO'!D83</f>
        <v>0</v>
      </c>
      <c r="E83" s="12" t="e">
        <f t="shared" si="2"/>
        <v>#DIV/0!</v>
      </c>
      <c r="F83">
        <f>MAX(WAS!F83,'@DET'!F83,CLE!F83,'@HOU'!F83,'@NYG'!F83,PIT!F83,'@PHI'!F83,'@STL'!F83,'@WAS'!F83,CHI!F83,PHI!F83,STL!F83,'@CIN'!F83,'@CIN'!F83,NYG!F83,'@SFO'!F83,+ATL!F83)</f>
        <v>0</v>
      </c>
      <c r="G83">
        <f>+WAS!G83+'@DET'!G83+CLE!G83+'@HOU'!G83+'@NYG'!G83+PIT!G83+'@PHI'!G83+ATL!G83+'@STL'!G83+'@WAS'!G83+CHI!G83+PHI!G83+STL!G83+'@CIN'!G83+NYG!G83+'@SFO'!G83</f>
        <v>0</v>
      </c>
      <c r="H83">
        <f>WAS!H83+'@DET'!H83+CLE!H83+'@HOU'!H83+'@NYG'!H83+PIT!H83+'@PHI'!H83+ATL!H83+'@STL'!H83+'@WAS'!H83+CHI!H83+PHI!H83+STL!H83+'@CIN'!H83+NYG!H83+'@SFO'!H83</f>
        <v>0</v>
      </c>
      <c r="O83" s="24"/>
    </row>
    <row r="84" spans="1:15" ht="12.75">
      <c r="A84" t="s">
        <v>107</v>
      </c>
      <c r="C84">
        <f>+WAS!C84+'@DET'!C84+CLE!C84+'@HOU'!C84+'@NYG'!C84+PIT!C84+'@PHI'!C84+ATL!C84+'@STL'!C84+'@WAS'!C84+CHI!C84+PHI!C84+STL!C84+'@CIN'!C84+NYG!C84+'@SFO'!C84</f>
        <v>1</v>
      </c>
      <c r="D84">
        <f>+WAS!D84+'@DET'!D84+CLE!D84+'@HOU'!D84+'@NYG'!D84+PIT!D84+'@PHI'!D84+ATL!D84+'@STL'!D84+'@WAS'!D84+CHI!D84+PHI!D84+STL!D84+'@CIN'!D84+NYG!D84+'@SFO'!D84</f>
        <v>-7</v>
      </c>
      <c r="E84" s="12">
        <f t="shared" si="2"/>
        <v>-7</v>
      </c>
      <c r="F84">
        <f>MAX(WAS!F84,'@DET'!F84,CLE!F84,'@HOU'!F84,'@NYG'!F84,PIT!F84,'@PHI'!F84,'@STL'!F84,'@WAS'!F84,CHI!F84,PHI!F84,STL!F84,'@CIN'!F84,'@CIN'!F84,NYG!F84,'@SFO'!F84,+ATL!F84)</f>
        <v>0</v>
      </c>
      <c r="G84">
        <f>+WAS!G84+'@DET'!G84+CLE!G84+'@HOU'!G84+'@NYG'!G84+PIT!G84+'@PHI'!G84+ATL!G84+'@STL'!G84+'@WAS'!G84+CHI!G84+PHI!G84+STL!G84+'@CIN'!G84+NYG!G84+'@SFO'!G84</f>
        <v>0</v>
      </c>
      <c r="H84">
        <f>WAS!H84+'@DET'!H84+CLE!H84+'@HOU'!H84+'@NYG'!H84+PIT!H84+'@PHI'!H84+ATL!H84+'@STL'!H84+'@WAS'!H84+CHI!H84+PHI!H84+STL!H84+'@CIN'!H84+NYG!H84+'@SFO'!H84</f>
        <v>0</v>
      </c>
      <c r="O84" s="24"/>
    </row>
    <row r="85" ht="12.75">
      <c r="E85" s="8"/>
    </row>
    <row r="86" spans="1:8" ht="12.75">
      <c r="A86" s="2" t="s">
        <v>52</v>
      </c>
      <c r="C86" s="3" t="s">
        <v>53</v>
      </c>
      <c r="D86" s="3" t="s">
        <v>48</v>
      </c>
      <c r="E86" s="15" t="s">
        <v>49</v>
      </c>
      <c r="F86" s="3" t="s">
        <v>50</v>
      </c>
      <c r="G86" s="3" t="s">
        <v>51</v>
      </c>
      <c r="H86" s="3" t="s">
        <v>80</v>
      </c>
    </row>
    <row r="87" spans="1:8" ht="12.75">
      <c r="A87" t="s">
        <v>107</v>
      </c>
      <c r="C87">
        <f>+WAS!C87+'@DET'!C87+CLE!C87+'@HOU'!C87+'@NYG'!C87+PIT!C87+'@PHI'!C87+ATL!C87+'@STL'!C87+'@WAS'!C87+CHI!C87+PHI!C87+STL!C87+'@CIN'!C87+NYG!C87+'@SFO'!C87</f>
        <v>48</v>
      </c>
      <c r="D87">
        <f>+WAS!D87+'@DET'!D87+CLE!D87+'@HOU'!D87+'@NYG'!D87+PIT!D87+'@PHI'!D87+ATL!D87+'@STL'!D87+'@WAS'!D87+CHI!D87+PHI!D87+STL!D87+'@CIN'!D87+NYG!D87+'@SFO'!D87</f>
        <v>829</v>
      </c>
      <c r="E87" s="12">
        <f aca="true" t="shared" si="3" ref="E87:E98">+D87/C87</f>
        <v>17.270833333333332</v>
      </c>
      <c r="F87">
        <f>MAX(WAS!F87,'@DET'!F87,CLE!F87,'@HOU'!F87,'@NYG'!F87,PIT!F87,'@PHI'!F87,'@STL'!F87,'@WAS'!F87,CHI!F87,PHI!F87,STL!F87,'@CIN'!F87,NYG!F87,'@SFO'!F87,+ATL!F87)</f>
        <v>42</v>
      </c>
      <c r="G87">
        <f>+WAS!G87+'@DET'!G87+CLE!G87+'@HOU'!G87+'@NYG'!G87+PIT!G87+'@PHI'!G87+ATL!G87+'@STL'!G87+'@WAS'!G87+CHI!G87+PHI!G87+STL!G87+'@CIN'!G87+NYG!G87+'@SFO'!G87</f>
        <v>9</v>
      </c>
      <c r="H87">
        <f>+WAS!H87+'@DET'!H87+CLE!H87+'@HOU'!H87+'@NYG'!H87+PIT!H87+'@PHI'!H87+ATL!H87+'@STL'!H87+'@WAS'!H87+CHI!H87+PHI!H87+STL!H87+'@CIN'!H87+NYG!H87+'@SFO'!H87</f>
        <v>0</v>
      </c>
    </row>
    <row r="88" spans="1:8" ht="12.75">
      <c r="A88" t="s">
        <v>119</v>
      </c>
      <c r="C88">
        <f>+WAS!C88+'@DET'!C88+CLE!C88+'@HOU'!C88+'@NYG'!C88+PIT!C88+'@PHI'!C88+ATL!C88+'@STL'!C88+'@WAS'!C88+CHI!C88+PHI!C88+STL!C88+'@CIN'!C88+NYG!C88+'@SFO'!C88</f>
        <v>53</v>
      </c>
      <c r="D88">
        <f>+WAS!D88+'@DET'!D88+CLE!D88+'@HOU'!D88+'@NYG'!D88+PIT!D88+'@PHI'!D88+ATL!D88+'@STL'!D88+'@WAS'!D88+CHI!D88+PHI!D88+STL!D88+'@CIN'!D88+NYG!D88+'@SFO'!D88</f>
        <v>674</v>
      </c>
      <c r="E88" s="12">
        <f t="shared" si="3"/>
        <v>12.716981132075471</v>
      </c>
      <c r="F88">
        <f>MAX(WAS!F88,'@DET'!F88,CLE!F88,'@HOU'!F88,'@NYG'!F88,PIT!F88,'@PHI'!F88,'@STL'!F88,'@WAS'!F88,CHI!F88,PHI!F88,STL!F88,'@CIN'!F88,NYG!F88,'@SFO'!F88,+ATL!F88)</f>
        <v>50</v>
      </c>
      <c r="G88">
        <f>+WAS!G88+'@DET'!G88+CLE!G88+'@HOU'!G88+'@NYG'!G88+PIT!G88+'@PHI'!G88+ATL!G88+'@STL'!G88+'@WAS'!G88+CHI!G88+PHI!G88+STL!G88+'@CIN'!G88+NYG!G88+'@SFO'!G88</f>
        <v>2</v>
      </c>
      <c r="H88">
        <f>+WAS!H88+'@DET'!H88+CLE!H88+'@HOU'!H88+'@NYG'!H88+PIT!H88+'@PHI'!H88+ATL!H88+'@STL'!H88+'@WAS'!H88+CHI!H88+PHI!H88+STL!H88+'@CIN'!H88+NYG!H88+'@SFO'!H88</f>
        <v>0</v>
      </c>
    </row>
    <row r="89" spans="1:8" ht="12.75">
      <c r="A89" t="s">
        <v>120</v>
      </c>
      <c r="C89">
        <f>+WAS!C89+'@DET'!C89+CLE!C89+'@HOU'!C89+'@NYG'!C89+PIT!C89+'@PHI'!C89+ATL!C89+'@STL'!C89+'@WAS'!C89+CHI!C89+PHI!C89+STL!C89+'@CIN'!C89+NYG!C89+'@SFO'!C89</f>
        <v>53</v>
      </c>
      <c r="D89">
        <f>+WAS!D89+'@DET'!D89+CLE!D89+'@HOU'!D89+'@NYG'!D89+PIT!D89+'@PHI'!D89+ATL!D89+'@STL'!D89+'@WAS'!D89+CHI!D89+PHI!D89+STL!D89+'@CIN'!D89+NYG!D89+'@SFO'!D89</f>
        <v>1004</v>
      </c>
      <c r="E89" s="12">
        <f t="shared" si="3"/>
        <v>18.943396226415093</v>
      </c>
      <c r="F89">
        <f>MAX(WAS!F89,'@DET'!F89,CLE!F89,'@HOU'!F89,'@NYG'!F89,PIT!F89,'@PHI'!F89,'@STL'!F89,'@WAS'!F89,CHI!F89,PHI!F89,STL!F89,'@CIN'!F89,NYG!F89,'@SFO'!F89,+ATL!F89)</f>
        <v>58</v>
      </c>
      <c r="G89">
        <f>+WAS!G89+'@DET'!G89+CLE!G89+'@HOU'!G89+'@NYG'!G89+PIT!G89+'@PHI'!G89+ATL!G89+'@STL'!G89+'@WAS'!G89+CHI!G89+PHI!G89+STL!G89+'@CIN'!G89+NYG!G89+'@SFO'!G89</f>
        <v>8</v>
      </c>
      <c r="H89">
        <f>+WAS!H89+'@DET'!H89+CLE!H89+'@HOU'!H89+'@NYG'!H89+PIT!H89+'@PHI'!H89+ATL!H89+'@STL'!H89+'@WAS'!H89+CHI!H89+PHI!H89+STL!H89+'@CIN'!H89+NYG!H89+'@SFO'!H89</f>
        <v>0</v>
      </c>
    </row>
    <row r="90" spans="1:24" ht="12.75">
      <c r="A90" t="s">
        <v>110</v>
      </c>
      <c r="C90">
        <f>+WAS!C90+'@DET'!C90+CLE!C90+'@HOU'!C90+'@NYG'!C90+PIT!C90+'@PHI'!C90+ATL!C90+'@STL'!C90+'@WAS'!C90+CHI!C90+PHI!C90+STL!C90+'@CIN'!C90+NYG!C90+'@SFO'!C90</f>
        <v>44</v>
      </c>
      <c r="D90">
        <f>+WAS!D90+'@DET'!D90+CLE!D90+'@HOU'!D90+'@NYG'!D90+PIT!D90+'@PHI'!D90+ATL!D90+'@STL'!D90+'@WAS'!D90+CHI!D90+PHI!D90+STL!D90+'@CIN'!D90+NYG!D90+'@SFO'!D90</f>
        <v>403</v>
      </c>
      <c r="E90" s="12">
        <f t="shared" si="3"/>
        <v>9.159090909090908</v>
      </c>
      <c r="F90">
        <f>MAX(WAS!F90,'@DET'!F90,CLE!F90,'@HOU'!F90,'@NYG'!F90,PIT!F90,'@PHI'!F90,'@STL'!F90,'@WAS'!F90,CHI!F90,PHI!F90,STL!F90,'@CIN'!F90,NYG!F90,'@SFO'!F90,+ATL!F90)</f>
        <v>33</v>
      </c>
      <c r="G90">
        <f>+WAS!G90+'@DET'!G90+CLE!G90+'@HOU'!G90+'@NYG'!G90+PIT!G90+'@PHI'!G90+ATL!G90+'@STL'!G90+'@WAS'!G90+CHI!G90+PHI!G90+STL!G90+'@CIN'!G90+NYG!G90+'@SFO'!G90</f>
        <v>1</v>
      </c>
      <c r="H90">
        <f>+WAS!H90+'@DET'!H90+CLE!H90+'@HOU'!H90+'@NYG'!H90+PIT!H90+'@PHI'!H90+ATL!H90+'@STL'!H90+'@WAS'!H90+CHI!H90+PHI!H90+STL!H90+'@CIN'!H90+NYG!H90+'@SFO'!H90</f>
        <v>0</v>
      </c>
      <c r="X90" s="27"/>
    </row>
    <row r="91" spans="1:22" ht="12.75">
      <c r="A91" t="s">
        <v>111</v>
      </c>
      <c r="C91">
        <f>+WAS!C91+'@DET'!C91+CLE!C91+'@HOU'!C91+'@NYG'!C91+PIT!C91+'@PHI'!C91+ATL!C91+'@STL'!C91+'@WAS'!C91+CHI!C91+PHI!C91+STL!C91+'@CIN'!C91+NYG!C91+'@SFO'!C91</f>
        <v>37</v>
      </c>
      <c r="D91">
        <f>+WAS!D91+'@DET'!D91+CLE!D91+'@HOU'!D91+'@NYG'!D91+PIT!D91+'@PHI'!D91+ATL!D91+'@STL'!D91+'@WAS'!D91+CHI!D91+PHI!D91+STL!D91+'@CIN'!D91+NYG!D91+'@SFO'!D91</f>
        <v>295</v>
      </c>
      <c r="E91" s="12">
        <f t="shared" si="3"/>
        <v>7.972972972972973</v>
      </c>
      <c r="F91">
        <f>MAX(WAS!F91,'@DET'!F91,CLE!F91,'@HOU'!F91,'@NYG'!F91,PIT!F91,'@PHI'!F91,'@STL'!F91,'@WAS'!F91,CHI!F91,PHI!F91,STL!F91,'@CIN'!F91,NYG!F91,'@SFO'!F91,+ATL!F91)</f>
        <v>35</v>
      </c>
      <c r="G91">
        <f>+WAS!G91+'@DET'!G91+CLE!G91+'@HOU'!G91+'@NYG'!G91+PIT!G91+'@PHI'!G91+ATL!G91+'@STL'!G91+'@WAS'!G91+CHI!G91+PHI!G91+STL!G91+'@CIN'!G91+NYG!G91+'@SFO'!G91</f>
        <v>0</v>
      </c>
      <c r="H91">
        <f>+WAS!H91+'@DET'!H91+CLE!H91+'@HOU'!H91+'@NYG'!H91+PIT!H91+'@PHI'!H91+ATL!H91+'@STL'!H91+'@WAS'!H91+CHI!H91+PHI!H91+STL!H91+'@CIN'!H91+NYG!H91+'@SFO'!H91</f>
        <v>0</v>
      </c>
      <c r="U91" s="25"/>
      <c r="V91" s="25"/>
    </row>
    <row r="92" spans="1:22" ht="12.75">
      <c r="A92" t="s">
        <v>116</v>
      </c>
      <c r="C92">
        <f>+WAS!C92+'@DET'!C92+CLE!C92+'@HOU'!C92+'@NYG'!C92+PIT!C92+'@PHI'!C92+ATL!C92+'@STL'!C92+'@WAS'!C92+CHI!C92+PHI!C92+STL!C92+'@CIN'!C92+NYG!C92+'@SFO'!C92</f>
        <v>13</v>
      </c>
      <c r="D92">
        <f>+WAS!D92+'@DET'!D92+CLE!D92+'@HOU'!D92+'@NYG'!D92+PIT!D92+'@PHI'!D92+ATL!D92+'@STL'!D92+'@WAS'!D92+CHI!D92+PHI!D92+STL!D92+'@CIN'!D92+NYG!D92+'@SFO'!D92</f>
        <v>161</v>
      </c>
      <c r="E92" s="12">
        <f t="shared" si="3"/>
        <v>12.384615384615385</v>
      </c>
      <c r="F92">
        <f>MAX(WAS!F92,'@DET'!F92,CLE!F92,'@HOU'!F92,'@NYG'!F92,PIT!F92,'@PHI'!F92,'@STL'!F92,'@WAS'!F92,CHI!F92,PHI!F92,STL!F92,'@CIN'!F92,NYG!F92,'@SFO'!F92,+ATL!F92)</f>
        <v>35</v>
      </c>
      <c r="G92">
        <f>+WAS!G92+'@DET'!G92+CLE!G92+'@HOU'!G92+'@NYG'!G92+PIT!G92+'@PHI'!G92+ATL!G92+'@STL'!G92+'@WAS'!G92+CHI!G92+PHI!G92+STL!G92+'@CIN'!G92+NYG!G92+'@SFO'!G92</f>
        <v>1</v>
      </c>
      <c r="H92">
        <f>+WAS!H92+'@DET'!H92+CLE!H92+'@HOU'!H92+'@NYG'!H92+PIT!H92+'@PHI'!H92+ATL!H92+'@STL'!H92+'@WAS'!H92+CHI!H92+PHI!H92+STL!H92+'@CIN'!H92+NYG!H92+'@SFO'!H92</f>
        <v>0</v>
      </c>
      <c r="V92" s="25"/>
    </row>
    <row r="93" spans="1:8" ht="12.75">
      <c r="A93" t="s">
        <v>121</v>
      </c>
      <c r="C93">
        <f>+WAS!C93+'@DET'!C93+CLE!C93+'@HOU'!C93+'@NYG'!C93+PIT!C93+'@PHI'!C93+ATL!C93+'@STL'!C93+'@WAS'!C93+CHI!C93+PHI!C93+STL!C93+'@CIN'!C93+NYG!C93+'@SFO'!C93</f>
        <v>17</v>
      </c>
      <c r="D93">
        <f>+WAS!D93+'@DET'!D93+CLE!D93+'@HOU'!D93+'@NYG'!D93+PIT!D93+'@PHI'!D93+ATL!D93+'@STL'!D93+'@WAS'!D93+CHI!D93+PHI!D93+STL!D93+'@CIN'!D93+NYG!D93+'@SFO'!D93</f>
        <v>355</v>
      </c>
      <c r="E93" s="12">
        <f t="shared" si="3"/>
        <v>20.88235294117647</v>
      </c>
      <c r="F93">
        <f>MAX(WAS!F93,'@DET'!F93,CLE!F93,'@HOU'!F93,'@NYG'!F93,PIT!F93,'@PHI'!F93,'@STL'!F93,'@WAS'!F93,CHI!F93,PHI!F93,STL!F93,'@CIN'!F93,NYG!F93,'@SFO'!F93,+ATL!F93)</f>
        <v>51</v>
      </c>
      <c r="G93">
        <f>+WAS!G93+'@DET'!G93+CLE!G93+'@HOU'!G93+'@NYG'!G93+PIT!G93+'@PHI'!G93+ATL!G93+'@STL'!G93+'@WAS'!G93+CHI!G93+PHI!G93+STL!G93+'@CIN'!G93+NYG!G93+'@SFO'!G93</f>
        <v>1</v>
      </c>
      <c r="H93">
        <f>+WAS!H93+'@DET'!H93+CLE!H93+'@HOU'!H93+'@NYG'!H93+PIT!H93+'@PHI'!H93+ATL!H93+'@STL'!H93+'@WAS'!H93+CHI!H93+PHI!H93+STL!H93+'@CIN'!H93+NYG!H93+'@SFO'!H93</f>
        <v>0</v>
      </c>
    </row>
    <row r="94" spans="1:8" ht="12.75">
      <c r="A94" t="s">
        <v>122</v>
      </c>
      <c r="C94">
        <f>+WAS!C94+'@DET'!C94+CLE!C94+'@HOU'!C94+'@NYG'!C94+PIT!C94+'@PHI'!C94+ATL!C94+'@STL'!C94+'@WAS'!C94+CHI!C94+PHI!C94+STL!C94+'@CIN'!C94+NYG!C94+'@SFO'!C94</f>
        <v>5</v>
      </c>
      <c r="D94">
        <f>+WAS!D94+'@DET'!D94+CLE!D94+'@HOU'!D94+'@NYG'!D94+PIT!D94+'@PHI'!D94+ATL!D94+'@STL'!D94+'@WAS'!D94+CHI!D94+PHI!D94+STL!D94+'@CIN'!D94+NYG!D94+'@SFO'!D94</f>
        <v>43</v>
      </c>
      <c r="E94" s="12">
        <f t="shared" si="3"/>
        <v>8.6</v>
      </c>
      <c r="F94">
        <f>MAX(WAS!F94,'@DET'!F94,CLE!F94,'@HOU'!F94,'@NYG'!F94,PIT!F94,'@PHI'!F94,'@STL'!F94,'@WAS'!F94,CHI!F94,PHI!F94,STL!F94,'@CIN'!F94,NYG!F94,'@SFO'!F94,+ATL!F94)</f>
        <v>17</v>
      </c>
      <c r="G94">
        <f>+WAS!G94+'@DET'!G94+CLE!G94+'@HOU'!G94+'@NYG'!G94+PIT!G94+'@PHI'!G94+ATL!G94+'@STL'!G94+'@WAS'!G94+CHI!G94+PHI!G94+STL!G94+'@CIN'!G94+NYG!G94+'@SFO'!G94</f>
        <v>0</v>
      </c>
      <c r="H94">
        <f>+WAS!H94+'@DET'!H94+CLE!H94+'@HOU'!H94+'@NYG'!H94+PIT!H94+'@PHI'!H94+ATL!H94+'@STL'!H94+'@WAS'!H94+CHI!H94+PHI!H94+STL!H94+'@CIN'!H94+NYG!H94+'@SFO'!H94</f>
        <v>0</v>
      </c>
    </row>
    <row r="95" spans="1:8" ht="12.75">
      <c r="A95" t="s">
        <v>115</v>
      </c>
      <c r="C95">
        <f>+WAS!C95+'@DET'!C95+CLE!C95+'@HOU'!C95+'@NYG'!C95+PIT!C95+'@PHI'!C95+ATL!C95+'@STL'!C95+'@WAS'!C95+CHI!C95+PHI!C95+STL!C95+'@CIN'!C95+NYG!C95+'@SFO'!C95</f>
        <v>3</v>
      </c>
      <c r="D95">
        <f>+WAS!D95+'@DET'!D95+CLE!D95+'@HOU'!D95+'@NYG'!D95+PIT!D95+'@PHI'!D95+ATL!D95+'@STL'!D95+'@WAS'!D95+CHI!D95+PHI!D95+STL!D95+'@CIN'!D95+NYG!D95+'@SFO'!D95</f>
        <v>3</v>
      </c>
      <c r="E95" s="12">
        <f t="shared" si="3"/>
        <v>1</v>
      </c>
      <c r="F95">
        <f>MAX(WAS!F95,'@DET'!F95,CLE!F95,'@HOU'!F95,'@NYG'!F95,PIT!F95,'@PHI'!F95,'@STL'!F95,'@WAS'!F95,CHI!F95,PHI!F95,STL!F95,'@CIN'!F95,NYG!F95,'@SFO'!F95,+ATL!F95)</f>
        <v>7</v>
      </c>
      <c r="G95">
        <f>+WAS!G95+'@DET'!G95+CLE!G95+'@HOU'!G95+'@NYG'!G95+PIT!G95+'@PHI'!G95+ATL!G95+'@STL'!G95+'@WAS'!G95+CHI!G95+PHI!G95+STL!G95+'@CIN'!G95+NYG!G95+'@SFO'!G95</f>
        <v>0</v>
      </c>
      <c r="H95">
        <f>+WAS!H95+'@DET'!H95+CLE!H95+'@HOU'!H95+'@NYG'!H95+PIT!H95+'@PHI'!H95+ATL!H95+'@STL'!H95+'@WAS'!H95+CHI!H95+PHI!H95+STL!H95+'@CIN'!H95+NYG!H95+'@SFO'!H95</f>
        <v>0</v>
      </c>
    </row>
    <row r="96" spans="1:23" ht="12.75">
      <c r="A96" t="s">
        <v>123</v>
      </c>
      <c r="C96">
        <f>+WAS!C96+'@DET'!C96+CLE!C96+'@HOU'!C96+'@NYG'!C96+PIT!C96+'@PHI'!C96+ATL!C96+'@STL'!C96+'@WAS'!C96+CHI!C96+PHI!C96+STL!C96+'@CIN'!C96+NYG!C96+'@SFO'!C96</f>
        <v>0</v>
      </c>
      <c r="D96">
        <f>+WAS!D96+'@DET'!D96+CLE!D96+'@HOU'!D96+'@NYG'!D96+PIT!D96+'@PHI'!D96+ATL!D96+'@STL'!D96+'@WAS'!D96+CHI!D96+PHI!D96+STL!D96+'@CIN'!D96+NYG!D96+'@SFO'!D96</f>
        <v>0</v>
      </c>
      <c r="E96" s="12" t="e">
        <f t="shared" si="3"/>
        <v>#DIV/0!</v>
      </c>
      <c r="F96">
        <f>MAX(WAS!F96,'@DET'!F96,CLE!F96,'@HOU'!F96,'@NYG'!F96,PIT!F96,'@PHI'!F96,'@STL'!F96,'@WAS'!F96,CHI!F96,PHI!F96,STL!F96,'@CIN'!F96,NYG!F96,'@SFO'!F96,+ATL!F96)</f>
        <v>0</v>
      </c>
      <c r="G96">
        <f>+WAS!G96+'@DET'!G96+CLE!G96+'@HOU'!G96+'@NYG'!G96+PIT!G96+'@PHI'!G96+ATL!G96+'@STL'!G96+'@WAS'!G96+CHI!G96+PHI!G96+STL!G96+'@CIN'!G96+NYG!G96+'@SFO'!G96</f>
        <v>0</v>
      </c>
      <c r="H96">
        <f>+WAS!H96+'@DET'!H96+CLE!H96+'@HOU'!H96+'@NYG'!H96+PIT!H96+'@PHI'!H96+ATL!H96+'@STL'!H96+'@WAS'!H96+CHI!H96+PHI!H96+STL!H96+'@CIN'!H96+NYG!H96+'@SFO'!H96</f>
        <v>0</v>
      </c>
      <c r="V96" s="12"/>
      <c r="W96" s="26"/>
    </row>
    <row r="97" spans="1:24" ht="12.75">
      <c r="A97" t="s">
        <v>113</v>
      </c>
      <c r="C97">
        <f>+WAS!C97+'@DET'!C97+CLE!C97+'@HOU'!C97+'@NYG'!C97+PIT!C97+'@PHI'!C97+ATL!C97+'@STL'!C97+'@WAS'!C97+CHI!C97+PHI!C97+STL!C97+'@CIN'!C97+NYG!C97+'@SFO'!C97</f>
        <v>2</v>
      </c>
      <c r="D97">
        <f>+WAS!D97+'@DET'!D97+CLE!D97+'@HOU'!D97+'@NYG'!D97+PIT!D97+'@PHI'!D97+ATL!D97+'@STL'!D97+'@WAS'!D97+CHI!D97+PHI!D97+STL!D97+'@CIN'!D97+NYG!D97+'@SFO'!D97</f>
        <v>-5</v>
      </c>
      <c r="E97" s="12">
        <f t="shared" si="3"/>
        <v>-2.5</v>
      </c>
      <c r="F97">
        <f>MAX(WAS!F97,'@DET'!F97,CLE!F97,'@HOU'!F97,'@NYG'!F97,PIT!F97,'@PHI'!F97,'@STL'!F97,'@WAS'!F97,CHI!F97,PHI!F97,STL!F97,'@CIN'!F97,NYG!F97,'@SFO'!F97,+ATL!F97)</f>
        <v>6</v>
      </c>
      <c r="G97">
        <f>+WAS!G97+'@DET'!G97+CLE!G97+'@HOU'!G97+'@NYG'!G97+PIT!G97+'@PHI'!G97+ATL!G97+'@STL'!G97+'@WAS'!G97+CHI!G97+PHI!G97+STL!G97+'@CIN'!G97+NYG!G97+'@SFO'!G97</f>
        <v>0</v>
      </c>
      <c r="H97">
        <f>+WAS!H97+'@DET'!H97+CLE!H97+'@HOU'!H97+'@NYG'!H97+PIT!H97+'@PHI'!H97+ATL!H97+'@STL'!H97+'@WAS'!H97+CHI!H97+PHI!H97+STL!H97+'@CIN'!H97+NYG!H97+'@SFO'!H97</f>
        <v>0</v>
      </c>
      <c r="V97" s="12"/>
      <c r="W97" s="26"/>
      <c r="X97" s="27"/>
    </row>
    <row r="98" spans="1:8" ht="12.75">
      <c r="A98" t="s">
        <v>114</v>
      </c>
      <c r="C98">
        <f>+WAS!C98+'@DET'!C98+CLE!C98+'@HOU'!C98+'@NYG'!C98+PIT!C98+'@PHI'!C98+ATL!C98+'@STL'!C98+'@WAS'!C98+CHI!C98+PHI!C98+STL!C98+'@CIN'!C98+NYG!C98+'@SFO'!C98</f>
        <v>0</v>
      </c>
      <c r="D98">
        <f>+WAS!D98+'@DET'!D98+CLE!D98+'@HOU'!D98+'@NYG'!D98+PIT!D98+'@PHI'!D98+ATL!D98+'@STL'!D98+'@WAS'!D98+CHI!D98+PHI!D98+STL!D98+'@CIN'!D98+NYG!D98+'@SFO'!D98</f>
        <v>0</v>
      </c>
      <c r="E98" s="12" t="e">
        <f t="shared" si="3"/>
        <v>#DIV/0!</v>
      </c>
      <c r="F98">
        <f>MAX(WAS!F98,'@DET'!F98,CLE!F98,'@HOU'!F98,'@NYG'!F98,PIT!F98,'@PHI'!F98,'@STL'!F98,'@WAS'!F98,CHI!F98,PHI!F98,STL!F98,'@CIN'!F98,NYG!F98,'@SFO'!F98,+ATL!F98)</f>
        <v>0</v>
      </c>
      <c r="G98">
        <f>+WAS!G98+'@DET'!G98+CLE!G98+'@HOU'!G98+'@NYG'!G98+PIT!G98+'@PHI'!G98+ATL!G98+'@STL'!G98+'@WAS'!G98+CHI!G98+PHI!G98+STL!G98+'@CIN'!G98+NYG!G98+'@SFO'!G98</f>
        <v>0</v>
      </c>
      <c r="H98">
        <f>+WAS!H98+'@DET'!H98+CLE!H98+'@HOU'!H98+'@NYG'!H98+PIT!H98+'@PHI'!H98+ATL!H98+'@STL'!H98+'@WAS'!H98+CHI!H98+PHI!H98+STL!H98+'@CIN'!H98+NYG!H98+'@SFO'!H98</f>
        <v>0</v>
      </c>
    </row>
    <row r="99" ht="12.75">
      <c r="E99" s="8"/>
    </row>
    <row r="100" spans="1:13" ht="12.75">
      <c r="A100" s="2"/>
      <c r="B100" s="2"/>
      <c r="C100" s="3"/>
      <c r="D100" s="3"/>
      <c r="E100" s="15" t="s">
        <v>57</v>
      </c>
      <c r="F100" s="3" t="s">
        <v>58</v>
      </c>
      <c r="G100" s="3"/>
      <c r="H100" s="3"/>
      <c r="I100" s="3" t="s">
        <v>61</v>
      </c>
      <c r="J100" s="3" t="s">
        <v>63</v>
      </c>
      <c r="K100" s="3" t="s">
        <v>57</v>
      </c>
      <c r="L100" s="3" t="s">
        <v>49</v>
      </c>
      <c r="M100" s="3"/>
    </row>
    <row r="101" spans="1:14" ht="12.75">
      <c r="A101" s="2" t="s">
        <v>54</v>
      </c>
      <c r="B101" s="2"/>
      <c r="C101" s="3" t="s">
        <v>55</v>
      </c>
      <c r="D101" s="3" t="s">
        <v>56</v>
      </c>
      <c r="E101" s="15" t="s">
        <v>56</v>
      </c>
      <c r="F101" s="3" t="s">
        <v>59</v>
      </c>
      <c r="G101" s="3" t="s">
        <v>51</v>
      </c>
      <c r="H101" s="3" t="s">
        <v>60</v>
      </c>
      <c r="I101" s="5" t="s">
        <v>62</v>
      </c>
      <c r="J101" s="3" t="s">
        <v>51</v>
      </c>
      <c r="K101" s="3" t="s">
        <v>64</v>
      </c>
      <c r="L101" s="3" t="s">
        <v>65</v>
      </c>
      <c r="M101" s="3" t="s">
        <v>66</v>
      </c>
      <c r="N101" s="3" t="s">
        <v>80</v>
      </c>
    </row>
    <row r="102" spans="1:25" ht="12.75">
      <c r="A102" t="s">
        <v>113</v>
      </c>
      <c r="C102">
        <f>+WAS!C102+'@DET'!C102+CLE!C102+'@HOU'!C102+'@NYG'!C102+PIT!C102+'@PHI'!C102+ATL!C102+'@STL'!C102+'@WAS'!C102+CHI!C102+PHI!C102+STL!C102+'@CIN'!C102+NYG!C102+'@SFO'!C102</f>
        <v>412</v>
      </c>
      <c r="D102">
        <f>+WAS!D102+'@DET'!D102+CLE!D102+'@HOU'!D102+'@NYG'!D102+PIT!D102+'@PHI'!D102+ATL!D102+'@STL'!D102+'@WAS'!D102+CHI!D102+PHI!D102+STL!D102+'@CIN'!D102+NYG!D102+'@SFO'!D102</f>
        <v>224</v>
      </c>
      <c r="E102" s="12">
        <f>+D102/C102*100</f>
        <v>54.36893203883495</v>
      </c>
      <c r="F102">
        <f>+WAS!F102+'@DET'!F102+CLE!F102+'@HOU'!F102+'@NYG'!F102+PIT!F102+'@PHI'!F102+ATL!F102+'@STL'!F102+'@WAS'!F102+CHI!F102+PHI!F102+STL!F102+'@CIN'!F102+NYG!F102+'@SFO'!F102</f>
        <v>2822</v>
      </c>
      <c r="G102">
        <f>+WAS!G102+'@DET'!G102+CLE!G102+'@HOU'!G102+'@NYG'!G102+PIT!G102+'@PHI'!G102+ATL!G102+'@STL'!G102+'@WAS'!G102+CHI!G102+PHI!G102+STL!G102+'@CIN'!G102+NYG!G102+'@SFO'!G102</f>
        <v>16</v>
      </c>
      <c r="H102">
        <f>MAX(WAS!H102,'@DET'!H102,CLE!H102,'@HOU'!H102,'@NYG'!H102,PIT!H102,'@PHI'!H102,'@STL'!H102,'@WAS'!H102,CHI!H102,PHI!H102,STL!H102,'@CIN'!H102,NYG!H102,'@SFO'!H102,+ATL!H102)</f>
        <v>58</v>
      </c>
      <c r="I102">
        <f>+WAS!I102+'@DET'!I102+CLE!I102+'@HOU'!I102+'@NYG'!I102+PIT!I102+'@PHI'!I102+ATL!I102+'@STL'!I102+'@WAS'!I102+CHI!I102+PHI!I102+STL!I102+'@CIN'!I102+NYG!I102+'@SFO'!I102</f>
        <v>21</v>
      </c>
      <c r="J102" s="8">
        <f>+G102/C102*100</f>
        <v>3.8834951456310676</v>
      </c>
      <c r="K102" s="12">
        <f>+I102/C102*100</f>
        <v>5.097087378640777</v>
      </c>
      <c r="L102" s="12">
        <f>+F102/C102</f>
        <v>6.849514563106796</v>
      </c>
      <c r="M102" s="12">
        <f>100*(S102+U102+W102+Y102)/6</f>
        <v>67.63754045307444</v>
      </c>
      <c r="N102">
        <f>WAS!N102+'@DET'!N102+CLE!N102+'@HOU'!N102+'@NYG'!N102+PIT!N102+'@PHI'!N102+ATL!N102+'@STL'!N102+'@WAS'!N102+CHI!N102+PHI!N102+STL!N102+'@CIN'!N102+NYG!N102+'@SFO'!N102</f>
        <v>3</v>
      </c>
      <c r="R102">
        <f>+(E102-30)/20</f>
        <v>1.2184466019417475</v>
      </c>
      <c r="S102" s="2">
        <f>IF(R102&lt;0,0,IF(R102&gt;2.375,2.375,R102))</f>
        <v>1.2184466019417475</v>
      </c>
      <c r="T102" s="6">
        <f>+(L102-3)/4</f>
        <v>0.962378640776699</v>
      </c>
      <c r="U102" s="2">
        <f>IF(T102&lt;0,0,IF(T102&gt;2.375,2.375,T102))</f>
        <v>0.962378640776699</v>
      </c>
      <c r="V102">
        <f>+J102/5</f>
        <v>0.7766990291262135</v>
      </c>
      <c r="W102" s="2">
        <f>IF(V102&lt;0,0,IF(V102&gt;2.375,2.375,V102))</f>
        <v>0.7766990291262135</v>
      </c>
      <c r="X102">
        <f>(9.5-K102)/4</f>
        <v>1.1007281553398058</v>
      </c>
      <c r="Y102" s="2">
        <f>IF(X102&lt;0,0,X102)</f>
        <v>1.1007281553398058</v>
      </c>
    </row>
    <row r="103" spans="1:25" ht="12.75">
      <c r="A103" t="s">
        <v>112</v>
      </c>
      <c r="C103">
        <f>+WAS!C103+'@DET'!C103+CLE!C103+'@HOU'!C103+'@NYG'!C103+PIT!C103+'@PHI'!C103+ATL!C103+'@STL'!C103+'@WAS'!C103+CHI!C103+PHI!C103+STL!C103+'@CIN'!C103+NYG!C103+'@SFO'!C103</f>
        <v>80</v>
      </c>
      <c r="D103">
        <f>+WAS!D103+'@DET'!D103+CLE!D103+'@HOU'!D103+'@NYG'!D103+PIT!D103+'@PHI'!D103+ATL!D103+'@STL'!D103+'@WAS'!D103+CHI!D103+PHI!D103+STL!D103+'@CIN'!D103+NYG!D103+'@SFO'!D103</f>
        <v>49</v>
      </c>
      <c r="E103" s="12">
        <f>+D103/C103*100</f>
        <v>61.25000000000001</v>
      </c>
      <c r="F103">
        <f>+WAS!F103+'@DET'!F103+CLE!F103+'@HOU'!F103+'@NYG'!F103+PIT!F103+'@PHI'!F103+ATL!F103+'@STL'!F103+'@WAS'!F103+CHI!F103+PHI!F103+STL!F103+'@CIN'!F103+NYG!F103+'@SFO'!F103</f>
        <v>899</v>
      </c>
      <c r="G103">
        <f>+WAS!G103+'@DET'!G103+CLE!G103+'@HOU'!G103+'@NYG'!G103+PIT!G103+'@PHI'!G103+ATL!G103+'@STL'!G103+'@WAS'!G103+CHI!G103+PHI!G103+STL!G103+'@CIN'!G103+NYG!G103+'@SFO'!G103</f>
        <v>7</v>
      </c>
      <c r="H103">
        <f>MAX(WAS!H103,'@DET'!H103,CLE!H103,'@HOU'!H103,'@NYG'!H103,PIT!H103,'@PHI'!H103,'@STL'!H103,'@WAS'!H103,CHI!H103,PHI!H103,STL!H103,'@CIN'!H103,NYG!H103,'@SFO'!H103,+ATL!H103)</f>
        <v>49</v>
      </c>
      <c r="I103">
        <f>+WAS!I103+'@DET'!I103+CLE!I103+'@HOU'!I103+'@NYG'!I103+PIT!I103+'@PHI'!I103+ATL!I103+'@STL'!I103+'@WAS'!I103+CHI!I103+PHI!I103+STL!I103+'@CIN'!I103+NYG!I103+'@SFO'!I103</f>
        <v>6</v>
      </c>
      <c r="J103" s="8">
        <f>+G103/C103*100</f>
        <v>8.75</v>
      </c>
      <c r="K103" s="12">
        <f>+I103/C103*100</f>
        <v>7.5</v>
      </c>
      <c r="L103" s="12">
        <f>+F103/C103</f>
        <v>11.2375</v>
      </c>
      <c r="M103" s="12">
        <f>100*(S103+U103+W103+Y103)/6</f>
        <v>97.86458333333336</v>
      </c>
      <c r="N103">
        <f>WAS!N103+'@DET'!N103+CLE!N103+'@HOU'!N103+'@NYG'!N103+PIT!N103+'@PHI'!N103+ATL!N103+'@STL'!N103+'@WAS'!N103+CHI!N103+PHI!N103+STL!N103+'@CIN'!N103+NYG!N103+'@SFO'!N103</f>
        <v>0</v>
      </c>
      <c r="R103">
        <f>+(E103-30)/20</f>
        <v>1.5625000000000004</v>
      </c>
      <c r="S103" s="2">
        <f>IF(R103&lt;0,0,IF(R103&gt;2.375,2.375,R103))</f>
        <v>1.5625000000000004</v>
      </c>
      <c r="T103" s="6">
        <f>+(L103-3)/4</f>
        <v>2.059375</v>
      </c>
      <c r="U103" s="2">
        <f>IF(T103&lt;0,0,IF(T103&gt;2.375,2.375,T103))</f>
        <v>2.059375</v>
      </c>
      <c r="V103">
        <f>+J103/5</f>
        <v>1.75</v>
      </c>
      <c r="W103" s="2">
        <f>IF(V103&lt;0,0,IF(V103&gt;2.375,2.375,V103))</f>
        <v>1.75</v>
      </c>
      <c r="X103">
        <f>(9.5-K103)/4</f>
        <v>0.5</v>
      </c>
      <c r="Y103" s="2">
        <f>IF(X103&lt;0,0,X103)</f>
        <v>0.5</v>
      </c>
    </row>
    <row r="104" spans="1:25" ht="12.75">
      <c r="A104" t="s">
        <v>118</v>
      </c>
      <c r="C104">
        <f>+WAS!C104+'@DET'!C104+CLE!C104+'@HOU'!C104+'@NYG'!C104+PIT!C104+'@PHI'!C104+ATL!C104+'@STL'!C104+'@WAS'!C104+CHI!C104+PHI!C104+STL!C104+'@CIN'!C104+NYG!C104+'@SFO'!C104</f>
        <v>0</v>
      </c>
      <c r="D104">
        <f>+WAS!D104+'@DET'!D104+CLE!D104+'@HOU'!D104+'@NYG'!D104+PIT!D104+'@PHI'!D104+ATL!D104+'@STL'!D104+'@WAS'!D104+CHI!D104+PHI!D104+STL!D104+'@CIN'!D104+NYG!D104+'@SFO'!D104</f>
        <v>0</v>
      </c>
      <c r="E104" s="12" t="e">
        <f>+D104/C104*100</f>
        <v>#DIV/0!</v>
      </c>
      <c r="F104">
        <f>+WAS!F104+'@DET'!F104+CLE!F104+'@HOU'!F104+'@NYG'!F104+PIT!F104+'@PHI'!F104+ATL!F104+'@STL'!F104+'@WAS'!F104+CHI!F104+PHI!F104+STL!F104+'@CIN'!F104+NYG!F104+'@SFO'!F104</f>
        <v>0</v>
      </c>
      <c r="G104">
        <f>+WAS!G104+'@DET'!G104+CLE!G104+'@HOU'!G104+'@NYG'!G104+PIT!G104+'@PHI'!G104+ATL!G104+'@STL'!G104+'@WAS'!G104+CHI!G104+PHI!G104+STL!G104+'@CIN'!G104+NYG!G104+'@SFO'!G104</f>
        <v>0</v>
      </c>
      <c r="H104">
        <f>MAX(WAS!H104,'@DET'!H104,CLE!H104,'@HOU'!H104,'@NYG'!H104,PIT!H104,'@PHI'!H104,'@STL'!H104,'@WAS'!H104,CHI!H104,PHI!H104,STL!H104,'@CIN'!H104,NYG!H104,'@SFO'!H104,+ATL!H104)</f>
        <v>0</v>
      </c>
      <c r="I104">
        <f>+WAS!I104+'@DET'!I104+CLE!I104+'@HOU'!I104+'@NYG'!I104+PIT!I104+'@PHI'!I104+ATL!I104+'@STL'!I104+'@WAS'!I104+CHI!I104+PHI!I104+STL!I104+'@CIN'!I104+NYG!I104+'@SFO'!I104</f>
        <v>0</v>
      </c>
      <c r="J104" s="8" t="e">
        <f>+G104/C104*100</f>
        <v>#DIV/0!</v>
      </c>
      <c r="K104" s="12" t="e">
        <f>+I104/C104*100</f>
        <v>#DIV/0!</v>
      </c>
      <c r="L104" s="12" t="e">
        <f>+F104/C104</f>
        <v>#DIV/0!</v>
      </c>
      <c r="M104" s="12" t="e">
        <f>100*(S104+U104+W104+Y104)/6</f>
        <v>#DIV/0!</v>
      </c>
      <c r="N104">
        <f>WAS!N104+'@DET'!N104+CLE!N104+'@HOU'!N104+'@NYG'!N104+PIT!N104+'@PHI'!N104+ATL!N104+'@STL'!N104+'@WAS'!N104+CHI!N104+PHI!N104+STL!N104+'@CIN'!N104+NYG!N104+'@SFO'!N104</f>
        <v>0</v>
      </c>
      <c r="R104" t="e">
        <f>+(E104-30)/20</f>
        <v>#DIV/0!</v>
      </c>
      <c r="S104" s="2" t="e">
        <f>IF(R104&lt;0,0,IF(R104&gt;2.375,2.375,R104))</f>
        <v>#DIV/0!</v>
      </c>
      <c r="T104" s="6" t="e">
        <f>+(L104-3)/4</f>
        <v>#DIV/0!</v>
      </c>
      <c r="U104" s="2" t="e">
        <f>IF(T104&lt;0,0,IF(T104&gt;2.375,2.375,T104))</f>
        <v>#DIV/0!</v>
      </c>
      <c r="V104" t="e">
        <f>+J104/5</f>
        <v>#DIV/0!</v>
      </c>
      <c r="W104" s="2" t="e">
        <f>IF(V104&lt;0,0,IF(V104&gt;2.375,2.375,V104))</f>
        <v>#DIV/0!</v>
      </c>
      <c r="X104" t="e">
        <f>(9.5-K104)/4</f>
        <v>#DIV/0!</v>
      </c>
      <c r="Y104" s="2" t="e">
        <f>IF(X104&lt;0,0,X104)</f>
        <v>#DIV/0!</v>
      </c>
    </row>
    <row r="105" spans="1:25" ht="12.75">
      <c r="A105" t="s">
        <v>116</v>
      </c>
      <c r="C105">
        <f>+WAS!C105+'@DET'!C105+CLE!C105+'@HOU'!C105+'@NYG'!C105+PIT!C105+'@PHI'!C105+ATL!C105+'@STL'!C105+'@WAS'!C105+CHI!C105+PHI!C105+STL!C105+'@CIN'!C105+NYG!C105+'@SFO'!C105</f>
        <v>0</v>
      </c>
      <c r="D105">
        <f>+WAS!D105+'@DET'!D105+CLE!D105+'@HOU'!D105+'@NYG'!D105+PIT!D105+'@PHI'!D105+ATL!D105+'@STL'!D105+'@WAS'!D105+CHI!D105+PHI!D105+STL!D105+'@CIN'!D105+NYG!D105+'@SFO'!D105</f>
        <v>0</v>
      </c>
      <c r="E105" s="12" t="e">
        <f>+D105/C105*100</f>
        <v>#DIV/0!</v>
      </c>
      <c r="F105">
        <f>+WAS!F105+'@DET'!F105+CLE!F105+'@HOU'!F105+'@NYG'!F105+PIT!F105+'@PHI'!F105+ATL!F105+'@STL'!F105+'@WAS'!F105+CHI!F105+PHI!F105+STL!F105+'@CIN'!F105+NYG!F105+'@SFO'!F105</f>
        <v>0</v>
      </c>
      <c r="G105">
        <f>+WAS!G105+'@DET'!G105+CLE!G105+'@HOU'!G105+'@NYG'!G105+PIT!G105+'@PHI'!G105+ATL!G105+'@STL'!G105+'@WAS'!G105+CHI!G105+PHI!G105+STL!G105+'@CIN'!G105+NYG!G105+'@SFO'!G105</f>
        <v>0</v>
      </c>
      <c r="H105">
        <f>MAX(WAS!H105,'@DET'!H105,CLE!H105,'@HOU'!H105,'@NYG'!H105,PIT!H105,'@PHI'!H105,'@STL'!H105,'@WAS'!H105,CHI!H105,PHI!H105,STL!H105,'@CIN'!H105,NYG!H105,'@SFO'!H105,+ATL!H105)</f>
        <v>0</v>
      </c>
      <c r="I105">
        <f>+WAS!I105+'@DET'!I105+CLE!I105+'@HOU'!I105+'@NYG'!I105+PIT!I105+'@PHI'!I105+ATL!I105+'@STL'!I105+'@WAS'!I105+CHI!I105+PHI!I105+STL!I105+'@CIN'!I105+NYG!I105+'@SFO'!I105</f>
        <v>0</v>
      </c>
      <c r="J105" s="8" t="e">
        <f>+G105/C105*100</f>
        <v>#DIV/0!</v>
      </c>
      <c r="K105" s="12" t="e">
        <f>+I105/C105*100</f>
        <v>#DIV/0!</v>
      </c>
      <c r="L105" s="12" t="e">
        <f>+F105/C105</f>
        <v>#DIV/0!</v>
      </c>
      <c r="M105" s="12" t="e">
        <f>100*(S105+U105+W105+Y105)/6</f>
        <v>#DIV/0!</v>
      </c>
      <c r="N105">
        <f>WAS!N105+'@DET'!N105+CLE!N105+'@HOU'!N105+'@NYG'!N105+PIT!N105+'@PHI'!N105+ATL!N105+'@STL'!N105+'@WAS'!N105+CHI!N105+PHI!N105+STL!N105+'@CIN'!N105+NYG!N105+'@SFO'!N105</f>
        <v>0</v>
      </c>
      <c r="R105" t="e">
        <f>+(E105-30)/20</f>
        <v>#DIV/0!</v>
      </c>
      <c r="S105" s="2" t="e">
        <f>IF(R105&lt;0,0,IF(R105&gt;2.375,2.375,R105))</f>
        <v>#DIV/0!</v>
      </c>
      <c r="T105" s="6" t="e">
        <f>+(L105-3)/4</f>
        <v>#DIV/0!</v>
      </c>
      <c r="U105" s="2" t="e">
        <f>IF(T105&lt;0,0,IF(T105&gt;2.375,2.375,T105))</f>
        <v>#DIV/0!</v>
      </c>
      <c r="V105" t="e">
        <f>+J105/5</f>
        <v>#DIV/0!</v>
      </c>
      <c r="W105" s="2" t="e">
        <f>IF(V105&lt;0,0,IF(V105&gt;2.375,2.375,V105))</f>
        <v>#DIV/0!</v>
      </c>
      <c r="X105" t="e">
        <f>(9.5-K105)/4</f>
        <v>#DIV/0!</v>
      </c>
      <c r="Y105" s="2" t="e">
        <f>IF(X105&lt;0,0,X105)</f>
        <v>#DIV/0!</v>
      </c>
    </row>
    <row r="106" spans="1:25" ht="12.75">
      <c r="A106" t="s">
        <v>107</v>
      </c>
      <c r="C106">
        <f>+WAS!C106+'@DET'!C106+CLE!C106+'@HOU'!C106+'@NYG'!C106+PIT!C106+'@PHI'!C106+ATL!C106+'@STL'!C106+'@WAS'!C106+CHI!C106+PHI!C106+STL!C106+'@CIN'!C106+NYG!C106+'@SFO'!C106</f>
        <v>1</v>
      </c>
      <c r="D106">
        <f>+WAS!D106+'@DET'!D106+CLE!D106+'@HOU'!D106+'@NYG'!D106+PIT!D106+'@PHI'!D106+ATL!D106+'@STL'!D106+'@WAS'!D106+CHI!D106+PHI!D106+STL!D106+'@CIN'!D106+NYG!D106+'@SFO'!D106</f>
        <v>1</v>
      </c>
      <c r="E106" s="12">
        <f>+D106/C106*100</f>
        <v>100</v>
      </c>
      <c r="F106">
        <f>+WAS!F106+'@DET'!F106+CLE!F106+'@HOU'!F106+'@NYG'!F106+PIT!F106+'@PHI'!F106+ATL!F106+'@STL'!F106+'@WAS'!F106+CHI!F106+PHI!F106+STL!F106+'@CIN'!F106+NYG!F106+'@SFO'!F106</f>
        <v>24</v>
      </c>
      <c r="G106">
        <f>+WAS!G106+'@DET'!G106+CLE!G106+'@HOU'!G106+'@NYG'!G106+PIT!G106+'@PHI'!G106+ATL!G106+'@STL'!G106+'@WAS'!G106+CHI!G106+PHI!G106+STL!G106+'@CIN'!G106+NYG!G106+'@SFO'!G106</f>
        <v>0</v>
      </c>
      <c r="H106">
        <f>MAX(WAS!H106,'@DET'!H106,CLE!H106,'@HOU'!H106,'@NYG'!H106,PIT!H106,'@PHI'!H106,'@STL'!H106,'@WAS'!H106,CHI!H106,PHI!H106,STL!H106,'@CIN'!H106,NYG!H106,'@SFO'!H106,+ATL!H106)</f>
        <v>24</v>
      </c>
      <c r="I106">
        <f>+WAS!I106+'@DET'!I106+CLE!I106+'@HOU'!I106+'@NYG'!I106+PIT!I106+'@PHI'!I106+ATL!I106+'@STL'!I106+'@WAS'!I106+CHI!I106+PHI!I106+STL!I106+'@CIN'!I106+NYG!I106+'@SFO'!I106</f>
        <v>0</v>
      </c>
      <c r="J106" s="8">
        <f>+G106/C106*100</f>
        <v>0</v>
      </c>
      <c r="K106" s="12">
        <f>+I106/C106*100</f>
        <v>0</v>
      </c>
      <c r="L106" s="12">
        <f>+F106/C106</f>
        <v>24</v>
      </c>
      <c r="M106" s="12">
        <f>100*(S106+U106+W106+Y106)/6</f>
        <v>118.75</v>
      </c>
      <c r="N106">
        <f>WAS!N106+'@DET'!N106+CLE!N106+'@HOU'!N106+'@NYG'!N106+PIT!N106+'@PHI'!N106+ATL!N106+'@STL'!N106+'@WAS'!N106+CHI!N106+PHI!N106+STL!N106+'@CIN'!N106+NYG!N106+'@SFO'!N106</f>
        <v>0</v>
      </c>
      <c r="R106">
        <f>+(E106-30)/20</f>
        <v>3.5</v>
      </c>
      <c r="S106" s="2">
        <f>IF(R106&lt;0,0,IF(R106&gt;2.375,2.375,R106))</f>
        <v>2.375</v>
      </c>
      <c r="T106" s="6">
        <f>+(L106-3)/4</f>
        <v>5.25</v>
      </c>
      <c r="U106" s="2">
        <f>IF(T106&lt;0,0,IF(T106&gt;2.375,2.375,T106))</f>
        <v>2.375</v>
      </c>
      <c r="V106">
        <f>+J106/5</f>
        <v>0</v>
      </c>
      <c r="W106" s="2">
        <f>IF(V106&lt;0,0,IF(V106&gt;2.375,2.375,V106))</f>
        <v>0</v>
      </c>
      <c r="X106">
        <f>(9.5-K106)/4</f>
        <v>2.375</v>
      </c>
      <c r="Y106" s="2">
        <f>IF(X106&lt;0,0,X106)</f>
        <v>2.375</v>
      </c>
    </row>
    <row r="109" spans="1:9" ht="12.75">
      <c r="A109" s="2" t="s">
        <v>67</v>
      </c>
      <c r="C109" s="3" t="s">
        <v>68</v>
      </c>
      <c r="D109" s="3" t="s">
        <v>69</v>
      </c>
      <c r="E109" s="3" t="s">
        <v>70</v>
      </c>
      <c r="F109" s="3" t="s">
        <v>49</v>
      </c>
      <c r="G109" s="3" t="s">
        <v>60</v>
      </c>
      <c r="H109" s="3" t="s">
        <v>51</v>
      </c>
      <c r="I109" s="3" t="s">
        <v>80</v>
      </c>
    </row>
    <row r="110" spans="1:9" ht="12.75">
      <c r="A110" t="s">
        <v>124</v>
      </c>
      <c r="C110">
        <f>+WAS!C110+'@DET'!C110+CLE!C110+'@HOU'!C110+'@NYG'!C110+PIT!C110+'@PHI'!C110+ATL!C110+'@STL'!C110+'@WAS'!C110+CHI!C110+PHI!C110+STL!C110+'@CIN'!C110+NYG!C110+'@SFO'!C110</f>
        <v>35</v>
      </c>
      <c r="D110">
        <f>+WAS!D110+'@DET'!D110+CLE!D110+'@HOU'!D110+'@NYG'!D110+PIT!D110+'@PHI'!D110+ATL!D110+'@STL'!D110+'@WAS'!D110+CHI!D110+PHI!D110+STL!D110+'@CIN'!D110+NYG!D110+'@SFO'!D110</f>
        <v>12</v>
      </c>
      <c r="E110">
        <f>+WAS!E110+'@DET'!E110+CLE!E110+'@HOU'!E110+'@NYG'!E110+PIT!E110+'@PHI'!E110+ATL!E110+'@STL'!E110+'@WAS'!E110+CHI!E110+PHI!E110+STL!E110+'@CIN'!E110+NYG!E110+'@SFO'!E110</f>
        <v>219</v>
      </c>
      <c r="F110" s="12">
        <f>+E110/C110</f>
        <v>6.257142857142857</v>
      </c>
      <c r="G110">
        <f>MAX(WAS!G110,'@DET'!G110,CLE!G110,'@HOU'!G110,'@NYG'!G110,PIT!G110,'@PHI'!G110,'@STL'!G110,'@WAS'!G110,CHI!G110,PHI!G110,STL!G110,'@CIN'!G110,NYG!G110,'@SFO'!G110,+ATL!G110)</f>
        <v>20</v>
      </c>
      <c r="H110">
        <f>+WAS!H110+'@DET'!H110+CLE!H110+'@HOU'!H110+'@NYG'!H110+PIT!H110+'@PHI'!H110+ATL!H110+'@STL'!H110+'@WAS'!H110+CHI!H110+PHI!H110+STL!H110+'@CIN'!H110+NYG!H110+'@SFO'!H110</f>
        <v>0</v>
      </c>
      <c r="I110">
        <f>WAS!I110+'@DET'!I110+CLE!I110+'@HOU'!I110+'@NYG'!I110+PIT!I110+'@PHI'!I110+ATL!I110+'@STL'!I110+'@WAS'!I110+CHI!I110+PHI!I110+STL!I110+'@CIN'!I110+NYG!I110+'@SFO'!I110</f>
        <v>0</v>
      </c>
    </row>
    <row r="111" spans="1:9" ht="12.75">
      <c r="A111" t="s">
        <v>123</v>
      </c>
      <c r="C111">
        <f>+WAS!C111+'@DET'!C111+CLE!C111+'@HOU'!C111+'@NYG'!C111+PIT!C111+'@PHI'!C111+ATL!C111+'@STL'!C111+'@WAS'!C111+CHI!C111+PHI!C111+STL!C111+'@CIN'!C111+NYG!C111+'@SFO'!C111</f>
        <v>9</v>
      </c>
      <c r="D111">
        <f>+WAS!D111+'@DET'!D111+CLE!D111+'@HOU'!D111+'@NYG'!D111+PIT!D111+'@PHI'!D111+ATL!D111+'@STL'!D111+'@WAS'!D111+CHI!D111+PHI!D111+STL!D111+'@CIN'!D111+NYG!D111+'@SFO'!D111</f>
        <v>4</v>
      </c>
      <c r="E111">
        <f>+WAS!E111+'@DET'!E111+CLE!E111+'@HOU'!E111+'@NYG'!E111+PIT!E111+'@PHI'!E111+ATL!E111+'@STL'!E111+'@WAS'!E111+CHI!E111+PHI!E111+STL!E111+'@CIN'!E111+NYG!E111+'@SFO'!E111</f>
        <v>80</v>
      </c>
      <c r="F111" s="12">
        <f>+E111/C111</f>
        <v>8.88888888888889</v>
      </c>
      <c r="G111">
        <f>MAX(WAS!G111,'@DET'!G111,CLE!G111,'@HOU'!G111,'@NYG'!G111,PIT!G111,'@PHI'!G111,'@STL'!G111,'@WAS'!G111,CHI!G111,PHI!G111,STL!G111,'@CIN'!G111,NYG!G111,'@SFO'!G111,+ATL!G111)</f>
        <v>26</v>
      </c>
      <c r="H111">
        <f>+WAS!H111+'@DET'!H111+CLE!H111+'@HOU'!H111+'@NYG'!H111+PIT!H111+'@PHI'!H111+ATL!H111+'@STL'!H111+'@WAS'!H111+CHI!H111+PHI!H111+STL!H111+'@CIN'!H111+NYG!H111+'@SFO'!H111</f>
        <v>0</v>
      </c>
      <c r="I111">
        <f>WAS!I111+'@DET'!I111+CLE!I111+'@HOU'!I111+'@NYG'!I111+PIT!I111+'@PHI'!I111+ATL!I111+'@STL'!I111+'@WAS'!I111+CHI!I111+PHI!I111+STL!I111+'@CIN'!I111+NYG!I111+'@SFO'!I111</f>
        <v>0</v>
      </c>
    </row>
    <row r="112" spans="1:9" ht="12.75">
      <c r="A112" t="s">
        <v>117</v>
      </c>
      <c r="C112">
        <f>+WAS!C112+'@DET'!C112+CLE!C112+'@HOU'!C112+'@NYG'!C112+PIT!C112+'@PHI'!C112+ATL!C112+'@STL'!C112+'@WAS'!C112+CHI!C112+PHI!C112+STL!C112+'@CIN'!C112+NYG!C112+'@SFO'!C112</f>
        <v>1</v>
      </c>
      <c r="D112">
        <f>+WAS!D112+'@DET'!D112+CLE!D112+'@HOU'!D112+'@NYG'!D112+PIT!D112+'@PHI'!D112+ATL!D112+'@STL'!D112+'@WAS'!D112+CHI!D112+PHI!D112+STL!D112+'@CIN'!D112+NYG!D112+'@SFO'!D112</f>
        <v>0</v>
      </c>
      <c r="E112">
        <f>+WAS!E112+'@DET'!E112+CLE!E112+'@HOU'!E112+'@NYG'!E112+PIT!E112+'@PHI'!E112+ATL!E112+'@STL'!E112+'@WAS'!E112+CHI!E112+PHI!E112+STL!E112+'@CIN'!E112+NYG!E112+'@SFO'!E112</f>
        <v>5</v>
      </c>
      <c r="F112" s="12">
        <f>+E112/C112</f>
        <v>5</v>
      </c>
      <c r="G112">
        <f>MAX(WAS!G112,'@DET'!G112,CLE!G112,'@HOU'!G112,'@NYG'!G112,PIT!G112,'@PHI'!G112,'@STL'!G112,'@WAS'!G112,CHI!G112,PHI!G112,STL!G112,'@CIN'!G112,NYG!G112,'@SFO'!G112,+ATL!G112)</f>
        <v>5</v>
      </c>
      <c r="H112">
        <f>+WAS!H112+'@DET'!H112+CLE!H112+'@HOU'!H112+'@NYG'!H112+PIT!H112+'@PHI'!H112+ATL!H112+'@STL'!H112+'@WAS'!H112+CHI!H112+PHI!H112+STL!H112+'@CIN'!H112+NYG!H112+'@SFO'!H112</f>
        <v>0</v>
      </c>
      <c r="I112">
        <f>WAS!I112+'@DET'!I112+CLE!I112+'@HOU'!I112+'@NYG'!I112+PIT!I112+'@PHI'!I112+ATL!I112+'@STL'!I112+'@WAS'!I112+CHI!I112+PHI!I112+STL!I112+'@CIN'!I112+NYG!I112+'@SFO'!I112</f>
        <v>0</v>
      </c>
    </row>
    <row r="114" spans="1:8" ht="12.75">
      <c r="A114" s="2" t="s">
        <v>30</v>
      </c>
      <c r="C114" s="3" t="s">
        <v>68</v>
      </c>
      <c r="D114" s="3" t="s">
        <v>70</v>
      </c>
      <c r="E114" s="3" t="s">
        <v>49</v>
      </c>
      <c r="F114" s="3" t="s">
        <v>60</v>
      </c>
      <c r="G114" s="3" t="s">
        <v>51</v>
      </c>
      <c r="H114" s="3" t="s">
        <v>80</v>
      </c>
    </row>
    <row r="115" spans="1:8" ht="12.75">
      <c r="A115" t="s">
        <v>114</v>
      </c>
      <c r="C115">
        <f>+WAS!C115+'@DET'!C115+CLE!C115+'@HOU'!C115+'@NYG'!C115+PIT!C115+'@PHI'!C115+ATL!C115+'@STL'!C115+'@WAS'!C115+CHI!C115+PHI!C115+STL!C115+'@CIN'!C115+NYG!C115+'@SFO'!C115</f>
        <v>39</v>
      </c>
      <c r="D115">
        <f>+WAS!D115+'@DET'!D115+CLE!D115+'@HOU'!D115+'@NYG'!D115+PIT!D115+'@PHI'!D115+ATL!D115+'@STL'!D115+'@WAS'!D115+CHI!D115+PHI!D115+STL!D115+'@CIN'!D115+NYG!D115+'@SFO'!D115</f>
        <v>823</v>
      </c>
      <c r="E115" s="12">
        <f aca="true" t="shared" si="4" ref="E115:E120">+D115/C115</f>
        <v>21.102564102564102</v>
      </c>
      <c r="F115">
        <f>MAX(WAS!F115,'@DET'!F115,CLE!F115,'@HOU'!F115,'@NYG'!F115,PIT!F115,'@PHI'!F115,'@STL'!F115,'@WAS'!F115,CHI!F115,PHI!F115,STL!F115,'@CIN'!F115,NYG!F115,'@SFO'!F115,+ATL!F115)</f>
        <v>68</v>
      </c>
      <c r="G115">
        <f>+WAS!G115+'@DET'!G115+CLE!G115+'@HOU'!G115+'@NYG'!G115+PIT!G115+'@PHI'!G115+ATL!G115+'@STL'!G115+'@WAS'!G115+CHI!G115+PHI!G115+STL!G115+'@CIN'!G115+NYG!G115+'@SFO'!G115</f>
        <v>0</v>
      </c>
      <c r="H115">
        <f>WAS!H115+'@DET'!H115+CLE!H115+'@HOU'!H115+'@NYG'!H115+PIT!H115+'@PHI'!H115+ATL!H115+'@STL'!H115+'@WAS'!H115+CHI!H115+PHI!H115+STL!H115+'@CIN'!H115+NYG!H115+'@SFO'!H115</f>
        <v>2</v>
      </c>
    </row>
    <row r="116" spans="1:8" ht="12.75">
      <c r="A116" t="s">
        <v>125</v>
      </c>
      <c r="C116">
        <f>+WAS!C116+'@DET'!C116+CLE!C116+'@HOU'!C116+'@NYG'!C116+PIT!C116+'@PHI'!C116+ATL!C116+'@STL'!C116+'@WAS'!C116+CHI!C116+PHI!C116+STL!C116+'@CIN'!C116+NYG!C116+'@SFO'!C116</f>
        <v>0</v>
      </c>
      <c r="D116">
        <f>+WAS!D116+'@DET'!D116+CLE!D116+'@HOU'!D116+'@NYG'!D116+PIT!D116+'@PHI'!D116+ATL!D116+'@STL'!D116+'@WAS'!D116+CHI!D116+PHI!D116+STL!D116+'@CIN'!D116+NYG!D116+'@SFO'!D116</f>
        <v>0</v>
      </c>
      <c r="E116" s="12" t="e">
        <f t="shared" si="4"/>
        <v>#DIV/0!</v>
      </c>
      <c r="F116">
        <f>MAX(WAS!F116,'@DET'!F116,CLE!F116,'@HOU'!F116,'@NYG'!F116,PIT!F116,'@PHI'!F116,'@STL'!F116,'@WAS'!F116,CHI!F116,PHI!F116,STL!F116,'@CIN'!F116,NYG!F116,'@SFO'!F116,+ATL!F116)</f>
        <v>0</v>
      </c>
      <c r="G116">
        <f>+WAS!G116+'@DET'!G116+CLE!G116+'@HOU'!G116+'@NYG'!G116+PIT!G116+'@PHI'!G116+ATL!G116+'@STL'!G116+'@WAS'!G116+CHI!G116+PHI!G116+STL!G116+'@CIN'!G116+NYG!G116+'@SFO'!G116</f>
        <v>0</v>
      </c>
      <c r="H116">
        <f>WAS!H116+'@DET'!H116+CLE!H116+'@HOU'!H116+'@NYG'!H116+PIT!H116+'@PHI'!H116+ATL!H116+'@STL'!H116+'@WAS'!H116+CHI!H116+PHI!H116+STL!H116+'@CIN'!H116+NYG!H116+'@SFO'!H116</f>
        <v>0</v>
      </c>
    </row>
    <row r="117" spans="1:8" ht="12.75">
      <c r="A117" t="s">
        <v>116</v>
      </c>
      <c r="C117">
        <f>+WAS!C117+'@DET'!C117+CLE!C117+'@HOU'!C117+'@NYG'!C117+PIT!C117+'@PHI'!C117+ATL!C117+'@STL'!C117+'@WAS'!C117+CHI!C117+PHI!C117+STL!C117+'@CIN'!C117+NYG!C117+'@SFO'!C117</f>
        <v>11</v>
      </c>
      <c r="D117">
        <f>+WAS!D117+'@DET'!D117+CLE!D117+'@HOU'!D117+'@NYG'!D117+PIT!D117+'@PHI'!D117+ATL!D117+'@STL'!D117+'@WAS'!D117+CHI!D117+PHI!D117+STL!D117+'@CIN'!D117+NYG!D117+'@SFO'!D117</f>
        <v>208</v>
      </c>
      <c r="E117" s="12">
        <f t="shared" si="4"/>
        <v>18.90909090909091</v>
      </c>
      <c r="F117">
        <f>MAX(WAS!F117,'@DET'!F117,CLE!F117,'@HOU'!F117,'@NYG'!F117,PIT!F117,'@PHI'!F117,'@STL'!F117,'@WAS'!F117,CHI!F117,PHI!F117,STL!F117,'@CIN'!F117,NYG!F117,'@SFO'!F117,+ATL!F117)</f>
        <v>36</v>
      </c>
      <c r="G117">
        <f>+WAS!G117+'@DET'!G117+CLE!G117+'@HOU'!G117+'@NYG'!G117+PIT!G117+'@PHI'!G117+ATL!G117+'@STL'!G117+'@WAS'!G117+CHI!G117+PHI!G117+STL!G117+'@CIN'!G117+NYG!G117+'@SFO'!G117</f>
        <v>0</v>
      </c>
      <c r="H117">
        <f>WAS!H117+'@DET'!H117+CLE!H117+'@HOU'!H117+'@NYG'!H117+PIT!H117+'@PHI'!H117+ATL!H117+'@STL'!H117+'@WAS'!H117+CHI!H117+PHI!H117+STL!H117+'@CIN'!H117+NYG!H117+'@SFO'!H117</f>
        <v>0</v>
      </c>
    </row>
    <row r="118" spans="1:8" ht="12.75">
      <c r="A118" t="s">
        <v>108</v>
      </c>
      <c r="C118">
        <f>+WAS!C118+'@DET'!C118+CLE!C118+'@HOU'!C118+'@NYG'!C118+PIT!C118+'@PHI'!C118+ATL!C118+'@STL'!C118+'@WAS'!C118+CHI!C118+PHI!C118+STL!C118+'@CIN'!C118</f>
        <v>1</v>
      </c>
      <c r="D118">
        <f>+WAS!D118+'@DET'!D118+CLE!D118+'@HOU'!D118+'@NYG'!D118+PIT!D118+'@PHI'!D118+ATL!D118+'@STL'!D118+'@WAS'!D118+CHI!D118+PHI!D118+STL!D118+'@CIN'!D118</f>
        <v>25</v>
      </c>
      <c r="E118" s="12">
        <f t="shared" si="4"/>
        <v>25</v>
      </c>
      <c r="F118">
        <f>MAX(WAS!F118,'@DET'!F118,CLE!F118,'@HOU'!F118,'@NYG'!F118,PIT!F118,'@PHI'!F118,'@STL'!F118,'@WAS'!F118,CHI!F118,PHI!F118,STL!F118,'@CIN'!F118,+ATL!F118)</f>
        <v>25</v>
      </c>
      <c r="G118">
        <f>+WAS!G118+'@DET'!G118+CLE!G118+'@HOU'!G118+'@NYG'!G118+PIT!G118+'@PHI'!G118+ATL!G118+'@STL'!G118+'@WAS'!G118+CHI!G118+PHI!G118+STL!G118+'@CIN'!G118</f>
        <v>0</v>
      </c>
      <c r="H118">
        <f>WAS!H118+'@DET'!H118+CLE!H118+'@HOU'!H118+'@NYG'!H118+PIT!H118+'@PHI'!H118+ATL!H118+'@STL'!H118+'@WAS'!H118+CHI!H118+PHI!H118+STL!H118+'@CIN'!H118+NYG!H118+'@SFO'!H118</f>
        <v>1</v>
      </c>
    </row>
    <row r="119" spans="1:8" ht="12.75">
      <c r="A119" t="s">
        <v>115</v>
      </c>
      <c r="C119">
        <f>+WAS!C119+'@DET'!C119+CLE!C119+'@HOU'!C119+'@NYG'!C119+PIT!C119+'@PHI'!C119+ATL!C119+'@STL'!C119+'@WAS'!C119+CHI!C119+PHI!C119+STL!C119+'@CIN'!C119</f>
        <v>1</v>
      </c>
      <c r="D119">
        <f>+WAS!D119+'@DET'!D119+CLE!D119+'@HOU'!D119+'@NYG'!D119+PIT!D119+'@PHI'!D119+ATL!D119+'@STL'!D119+'@WAS'!D119+CHI!D119+PHI!D119+STL!D119+'@CIN'!D119</f>
        <v>16</v>
      </c>
      <c r="E119" s="12">
        <f t="shared" si="4"/>
        <v>16</v>
      </c>
      <c r="F119">
        <f>MAX(WAS!F119,'@DET'!F119,CLE!F119,'@HOU'!F119,'@NYG'!F119,PIT!F119,'@PHI'!F119,'@STL'!F119,'@WAS'!F119,CHI!F119,PHI!F119,STL!F119,'@CIN'!F119,+ATL!F119)</f>
        <v>16</v>
      </c>
      <c r="G119">
        <f>+WAS!G119+'@DET'!G119+CLE!G119+'@HOU'!G119+'@NYG'!G119+PIT!G119+'@PHI'!G119+ATL!G119+'@STL'!G119+'@WAS'!G119+CHI!G119+PHI!G119+STL!G119+'@CIN'!G119</f>
        <v>0</v>
      </c>
      <c r="H119">
        <f>WAS!H119+'@DET'!H119+CLE!H119+'@HOU'!H119+'@NYG'!H119+PIT!H119+'@PHI'!H119+ATL!H119+'@STL'!H119+'@WAS'!H119+CHI!H119+PHI!H119+STL!H119+'@CIN'!H119+NYG!H119+'@SFO'!H119</f>
        <v>0</v>
      </c>
    </row>
    <row r="120" spans="1:8" ht="12.75">
      <c r="A120" t="s">
        <v>121</v>
      </c>
      <c r="C120">
        <f>+WAS!C120+'@DET'!C120+CLE!C120+'@HOU'!C120+'@NYG'!C120+PIT!C120+'@PHI'!C120+ATL!C120+'@STL'!C120+'@WAS'!C120+CHI!C120+PHI!C120+STL!C120+'@CIN'!C120</f>
        <v>1</v>
      </c>
      <c r="D120">
        <f>+WAS!D120+'@DET'!D120+CLE!D120+'@HOU'!D120+'@NYG'!D120+PIT!D120+'@PHI'!D120+ATL!D120+'@STL'!D120+'@WAS'!D120+CHI!D120+PHI!D120+STL!D120+'@CIN'!D120</f>
        <v>0</v>
      </c>
      <c r="E120" s="12">
        <f t="shared" si="4"/>
        <v>0</v>
      </c>
      <c r="F120">
        <f>MAX(WAS!F120,'@DET'!F120,CLE!F120,'@HOU'!F120,'@NYG'!F120,PIT!F120,'@PHI'!F120,'@STL'!F120,'@WAS'!F120,CHI!F120,PHI!F120,STL!F120,'@CIN'!F120,+ATL!F120)</f>
        <v>0</v>
      </c>
      <c r="G120">
        <f>+WAS!G120+'@DET'!G120+CLE!G120+'@HOU'!G120+'@NYG'!G120+PIT!G120+'@PHI'!G120+ATL!G120+'@STL'!G120+'@WAS'!G120+CHI!G120+PHI!G120+STL!G120+'@CIN'!G120</f>
        <v>0</v>
      </c>
      <c r="H120">
        <f>WAS!H120+'@DET'!H120+CLE!H120+'@HOU'!H120+'@NYG'!H120+PIT!H120+'@PHI'!H120+ATL!H120+'@STL'!H120+'@WAS'!H120+CHI!H120+PHI!H120+STL!H120+'@CIN'!H120+NYG!H120+'@SFO'!H120</f>
        <v>0</v>
      </c>
    </row>
    <row r="122" spans="1:7" ht="12.75">
      <c r="A122" s="2" t="s">
        <v>71</v>
      </c>
      <c r="C122" s="3" t="s">
        <v>68</v>
      </c>
      <c r="D122" s="3" t="s">
        <v>70</v>
      </c>
      <c r="E122" s="3" t="s">
        <v>49</v>
      </c>
      <c r="F122" s="3" t="s">
        <v>60</v>
      </c>
      <c r="G122" s="3" t="s">
        <v>72</v>
      </c>
    </row>
    <row r="123" spans="1:7" ht="12.75">
      <c r="A123" t="s">
        <v>126</v>
      </c>
      <c r="C123">
        <f>+WAS!C123+'@DET'!C123+CLE!C123+'@HOU'!C123+'@NYG'!C123+PIT!C123+'@PHI'!C123+ATL!C123+'@STL'!C123+'@WAS'!C123+CHI!C123+PHI!C123+STL!C123+'@CIN'!C123+NYG!C123+'@SFO'!C123</f>
        <v>94</v>
      </c>
      <c r="D123">
        <f>+WAS!D123+'@DET'!D123+CLE!D123+'@HOU'!D123+'@NYG'!D123+PIT!D123+'@PHI'!D123+ATL!D123+'@STL'!D123+'@WAS'!D123+CHI!D123+PHI!D123+STL!D123+'@CIN'!D123+NYG!D123+'@SFO'!D123</f>
        <v>4125</v>
      </c>
      <c r="E123" s="12">
        <f>+D123/C123</f>
        <v>43.88297872340426</v>
      </c>
      <c r="F123">
        <f>MAX(WAS!F123,'@DET'!F123,CLE!F123,'@HOU'!F123,'@NYG'!F123,PIT!F123,'@PHI'!F123,'@STL'!F123,'@WAS'!F123,CHI!F123,PHI!F123,STL!F123,'@CIN'!F123,NYG!F123,'@SFO'!F123,+ATL!F123)</f>
        <v>64</v>
      </c>
      <c r="G123">
        <f>+WAS!G123+'@DET'!G123+CLE!G123+'@HOU'!G123+'@NYG'!G123+PIT!G123+'@PHI'!G123+ATL!G123+'@STL'!G123+'@WAS'!G123+CHI!G123+PHI!G123+STL!G123+'@CIN'!G123+NYG!G123+'@SFO'!G123</f>
        <v>0</v>
      </c>
    </row>
    <row r="124" spans="1:7" ht="12.75">
      <c r="A124" t="s">
        <v>113</v>
      </c>
      <c r="C124">
        <f>+WAS!C124+'@DET'!C124+CLE!C124+'@HOU'!C124+'@NYG'!C124+PIT!C124+'@PHI'!C124+ATL!C124+'@STL'!C124+'@WAS'!C124+CHI!C124+PHI!C124+STL!C124+'@CIN'!C124+NYG!C124+'@SFO'!C124</f>
        <v>1</v>
      </c>
      <c r="D124">
        <f>+WAS!D124+'@DET'!D124+CLE!D124+'@HOU'!D124+'@NYG'!D124+PIT!D124+'@PHI'!D124+ATL!D124+'@STL'!D124+'@WAS'!D124+CHI!D124+PHI!D124+STL!D124+'@CIN'!D124+NYG!D124+'@SFO'!D124</f>
        <v>33</v>
      </c>
      <c r="E124" s="12">
        <f>+D124/C124</f>
        <v>33</v>
      </c>
      <c r="F124">
        <f>MAX(WAS!F124,'@DET'!F124,CLE!F124,'@HOU'!F124,'@NYG'!F124,PIT!F124,'@PHI'!F124,'@STL'!F124,'@WAS'!F124,CHI!F124,PHI!F124,STL!F124,'@CIN'!F124,NYG!F124,'@SFO'!F124,+ATL!F124)</f>
        <v>33</v>
      </c>
      <c r="G124">
        <f>+WAS!G124+'@DET'!G124+CLE!G124+'@HOU'!G124+'@NYG'!G124+PIT!G124+'@PHI'!G124+ATL!G124+'@STL'!G124+'@WAS'!G124+CHI!G124+PHI!G124+STL!G124+'@CIN'!G124+NYG!G124+'@SFO'!G124</f>
        <v>0</v>
      </c>
    </row>
    <row r="125" ht="12.75">
      <c r="I125" s="5" t="s">
        <v>63</v>
      </c>
    </row>
    <row r="126" spans="1:10" ht="12.75">
      <c r="A126" s="4" t="s">
        <v>79</v>
      </c>
      <c r="C126" s="3" t="s">
        <v>73</v>
      </c>
      <c r="D126" s="3" t="s">
        <v>74</v>
      </c>
      <c r="E126" s="3" t="s">
        <v>75</v>
      </c>
      <c r="F126" s="3" t="s">
        <v>76</v>
      </c>
      <c r="G126" s="3" t="s">
        <v>77</v>
      </c>
      <c r="H126" s="3" t="s">
        <v>78</v>
      </c>
      <c r="I126" s="3" t="s">
        <v>82</v>
      </c>
      <c r="J126" s="3" t="s">
        <v>60</v>
      </c>
    </row>
    <row r="127" spans="1:10" ht="12.75">
      <c r="A127" t="s">
        <v>127</v>
      </c>
      <c r="C127">
        <f>+WAS!C127+'@DET'!C127+CLE!C127+'@HOU'!C127+'@NYG'!C127+PIT!C127+'@PHI'!C127+ATL!C127+'@STL'!C127+'@WAS'!C127+CHI!C127+PHI!C127+STL!C127+'@CIN'!C127+NYG!C127+'@SFO'!C127</f>
        <v>73</v>
      </c>
      <c r="D127">
        <f>+WAS!D127+'@DET'!D127+CLE!D127+'@HOU'!D127+'@NYG'!D127+PIT!D127+'@PHI'!D127+ATL!D127+'@STL'!D127+'@WAS'!D127+CHI!D127+PHI!D127+STL!D127+'@CIN'!D127+NYG!D127+'@SFO'!D127</f>
        <v>10</v>
      </c>
      <c r="E127">
        <f>+WAS!E127+'@DET'!E127+CLE!E127+'@HOU'!E127+'@NYG'!E127+PIT!E127+'@PHI'!E127+ATL!E127+'@STL'!E127+'@WAS'!E127+CHI!E127+PHI!E127+STL!E127+'@CIN'!E127+NYG!E127+'@SFO'!E127</f>
        <v>35</v>
      </c>
      <c r="F127">
        <f>+WAS!F127+'@DET'!F127+CLE!F127+'@HOU'!F127+'@NYG'!F127+PIT!F127+'@PHI'!F127+ATL!F127+'@STL'!F127+'@WAS'!F127+CHI!F127+PHI!F127+STL!F127+'@CIN'!F127+NYG!F127+'@SFO'!F127</f>
        <v>34</v>
      </c>
      <c r="G127">
        <f>+WAS!G127+'@DET'!G127+CLE!G127+'@HOU'!G127+'@NYG'!G127+PIT!G127+'@PHI'!G127+ATL!G127+'@STL'!G127+'@WAS'!G127+CHI!G127+PHI!G127+STL!G127+'@CIN'!G127+NYG!G127+'@SFO'!G127</f>
        <v>27</v>
      </c>
      <c r="H127">
        <f>+WAS!H127+'@DET'!H127+CLE!H127+'@HOU'!H127+'@NYG'!H127+PIT!H127+'@PHI'!H127+ATL!H127+'@STL'!H127+'@WAS'!H127+CHI!H127+PHI!H127+STL!H127+'@CIN'!H127+NYG!H127+'@SFO'!H127</f>
        <v>21</v>
      </c>
      <c r="I127" s="12">
        <f>+H127/G127*100</f>
        <v>77.77777777777779</v>
      </c>
      <c r="J127">
        <f>MAX(WAS!J127,'@DET'!J127,CLE!J127,'@HOU'!J127,'@NYG'!J127,PIT!J127,'@PHI'!J127,'@STL'!J127,'@WAS'!J127,CHI!J127,PHI!J127,STL!J127,'@CIN'!J127,NYG!J127,'@SFO'!J127,+ATL!J127)</f>
        <v>52</v>
      </c>
    </row>
    <row r="129" spans="1:8" ht="12.75">
      <c r="A129" s="2" t="s">
        <v>81</v>
      </c>
      <c r="C129" s="3" t="s">
        <v>68</v>
      </c>
      <c r="D129" s="3" t="s">
        <v>70</v>
      </c>
      <c r="E129" s="3" t="s">
        <v>49</v>
      </c>
      <c r="F129" s="3" t="s">
        <v>60</v>
      </c>
      <c r="G129" s="3" t="s">
        <v>51</v>
      </c>
      <c r="H129" s="3" t="s">
        <v>80</v>
      </c>
    </row>
    <row r="130" spans="1:8" ht="12.75">
      <c r="A130" t="s">
        <v>128</v>
      </c>
      <c r="C130">
        <f>+WAS!C130+'@DET'!C130+CLE!C130+'@HOU'!C130+'@NYG'!C130+PIT!C130+'@PHI'!C130+ATL!C130+'@STL'!C130+'@WAS'!C130+CHI!C130+PHI!C130+STL!C130+'@CIN'!C130+NYG!C130+'@SFO'!C130</f>
        <v>10</v>
      </c>
      <c r="D130">
        <f>+WAS!D130+'@DET'!D130+CLE!D130+'@HOU'!D130+'@NYG'!D130+PIT!D130+'@PHI'!D130+ATL!D130+'@STL'!D130+'@WAS'!D130+CHI!D130+PHI!D130+STL!D130+'@CIN'!D130+NYG!D130+'@SFO'!D130</f>
        <v>14</v>
      </c>
      <c r="E130" s="12">
        <f>+D130/C130</f>
        <v>1.4</v>
      </c>
      <c r="F130">
        <f>MAX(WAS!F130,'@DET'!F130,CLE!F130,'@HOU'!F130,'@NYG'!F130,PIT!F130,'@PHI'!F130,'@STL'!F130,'@WAS'!F130,CHI!F130,PHI!F130,STL!F130,'@CIN'!F130,NYG!F130,'@SFO'!F130,+ATL!F130)</f>
        <v>5</v>
      </c>
      <c r="G130">
        <f>+WAS!G130+'@DET'!G130+CLE!G130+'@HOU'!G130+'@NYG'!G130+PIT!G130+'@PHI'!G130+ATL!G130+'@STL'!G130+'@WAS'!G130+CHI!G130+PHI!G130+STL!G130+'@CIN'!G130+NYG!G130+'@SFO'!G130</f>
        <v>0</v>
      </c>
      <c r="H130">
        <f>WAS!H130+'@DET'!H130+CLE!H130+'@HOU'!H130+'@NYG'!H130+PIT!H130+'@PHI'!H130+ATL!H130+'@STL'!H130+'@WAS'!H130+CHI!H130+PHI!H130+STL!H130+'@CIN'!H130+NYG!H130+'@SFO'!H130</f>
        <v>0</v>
      </c>
    </row>
    <row r="131" spans="1:8" ht="12.75">
      <c r="A131" t="s">
        <v>129</v>
      </c>
      <c r="C131">
        <f>+WAS!C131+'@DET'!C131+CLE!C131+'@HOU'!C131+'@NYG'!C131+PIT!C131+'@PHI'!C131+ATL!C131+'@STL'!C131+'@WAS'!C131+CHI!C131+PHI!C131+STL!C131+'@CIN'!C131+NYG!C131+'@SFO'!C131</f>
        <v>6</v>
      </c>
      <c r="D131">
        <f>+WAS!D131+'@DET'!D131+CLE!D131+'@HOU'!D131+'@NYG'!D131+PIT!D131+'@PHI'!D131+ATL!D131+'@STL'!D131+'@WAS'!D131+CHI!D131+PHI!D131+STL!D131+'@CIN'!D131+NYG!D131+NYG!D131</f>
        <v>55</v>
      </c>
      <c r="E131" s="12">
        <f aca="true" t="shared" si="5" ref="E131:E139">+D131/C131</f>
        <v>9.166666666666666</v>
      </c>
      <c r="F131">
        <f>MAX(WAS!F131,'@DET'!F131,CLE!F131,'@HOU'!F131,'@NYG'!F131,PIT!F131,'@PHI'!F131,'@STL'!F131,'@WAS'!F131,CHI!F131,PHI!F131,STL!F131,'@CIN'!F131,NYG!F131,'@SFO'!F131,+ATL!F131)</f>
        <v>68</v>
      </c>
      <c r="G131">
        <f>+WAS!G131+'@DET'!G131+CLE!G131+'@HOU'!G131+'@NYG'!G131+PIT!G131+'@PHI'!G131+ATL!G131+'@STL'!G131+'@WAS'!G131+CHI!G131+PHI!G131+STL!G131+'@CIN'!G131+NYG!G131+'@SFO'!G131</f>
        <v>1</v>
      </c>
      <c r="H131">
        <f>WAS!H131+'@DET'!H131+CLE!H131+'@HOU'!H131+'@NYG'!H131+PIT!H131+'@PHI'!H131+ATL!H131+'@STL'!H131+'@WAS'!H131+CHI!H131+PHI!H131+STL!H131+'@CIN'!H131+NYG!H131+'@SFO'!H131</f>
        <v>0</v>
      </c>
    </row>
    <row r="132" spans="1:8" ht="12.75">
      <c r="A132" t="s">
        <v>130</v>
      </c>
      <c r="C132">
        <f>+WAS!C132+'@DET'!C132+CLE!C132+'@HOU'!C132+'@NYG'!C132+PIT!C132+'@PHI'!C132+ATL!C132+'@STL'!C132+'@WAS'!C132+CHI!C132+PHI!C132+STL!C132+'@CIN'!C132+NYG!C132+'@SFO'!C132</f>
        <v>2</v>
      </c>
      <c r="D132">
        <f>+WAS!D132+'@DET'!D132+CLE!D132+'@HOU'!D132+'@NYG'!D132+PIT!D132+'@PHI'!D132+ATL!D132+'@STL'!D132+'@WAS'!D132+CHI!D132+PHI!D132+STL!D132+'@CIN'!D132+NYG!D132+'@SFO'!D132</f>
        <v>54</v>
      </c>
      <c r="E132" s="12">
        <f t="shared" si="5"/>
        <v>27</v>
      </c>
      <c r="F132">
        <f>MAX(WAS!F132,'@DET'!F132,CLE!F132,'@HOU'!F132,'@NYG'!F132,PIT!F132,'@PHI'!F132,'@STL'!F132,'@WAS'!F132,CHI!F132,PHI!F132,STL!F132,'@CIN'!F132,NYG!F132,'@SFO'!F132,+ATL!F132)</f>
        <v>29</v>
      </c>
      <c r="G132">
        <f>+WAS!G132+'@DET'!G132+CLE!G132+'@HOU'!G132+'@NYG'!G132+PIT!G132+'@PHI'!G132+ATL!G132+'@STL'!G132+'@WAS'!G132+CHI!G132+PHI!G132+STL!G132+'@CIN'!G132+NYG!G132+'@SFO'!G132</f>
        <v>0</v>
      </c>
      <c r="H132">
        <f>WAS!H132+'@DET'!H132+CLE!H132+'@HOU'!H132+'@NYG'!H132+PIT!H132+'@PHI'!H132+ATL!H132+'@STL'!H132+'@WAS'!H132+CHI!H132+PHI!H132+STL!H132+'@CIN'!H132+NYG!H132+'@SFO'!H132</f>
        <v>0</v>
      </c>
    </row>
    <row r="133" spans="1:8" ht="12.75">
      <c r="A133" t="s">
        <v>124</v>
      </c>
      <c r="C133">
        <f>+WAS!C133+'@DET'!C133+CLE!C133+'@HOU'!C133+'@NYG'!C133+PIT!C133+'@PHI'!C133+ATL!C133+'@STL'!C133+'@WAS'!C133+CHI!C133+PHI!C133+STL!C133+'@CIN'!C133+NYG!C133+'@SFO'!C133</f>
        <v>5</v>
      </c>
      <c r="D133">
        <f>+WAS!D133+'@DET'!D133+CLE!D133+'@HOU'!D133+'@NYG'!D133+PIT!D133+'@PHI'!D133+ATL!D133+'@STL'!D133+'@WAS'!D133+CHI!D133+PHI!D133+STL!D133+'@CIN'!D133+NYG!D133+'@SFO'!D133</f>
        <v>38</v>
      </c>
      <c r="E133" s="12">
        <f t="shared" si="5"/>
        <v>7.6</v>
      </c>
      <c r="F133">
        <f>MAX(WAS!F133,'@DET'!F133,CLE!F133,'@HOU'!F133,'@NYG'!F133,PIT!F133,'@PHI'!F133,'@STL'!F133,'@WAS'!F133,CHI!F133,PHI!F133,STL!F133,'@CIN'!F133,NYG!F133,'@SFO'!F133,+ATL!F133)</f>
        <v>27</v>
      </c>
      <c r="G133">
        <f>+WAS!G133+'@DET'!G133+CLE!G133+'@HOU'!G133+'@NYG'!G133+PIT!G133+'@PHI'!G133+ATL!G133+'@STL'!G133+'@WAS'!G133+CHI!G133+PHI!G133+STL!G133+'@CIN'!G133+NYG!G133+'@SFO'!G133</f>
        <v>0</v>
      </c>
      <c r="H133">
        <f>WAS!H133+'@DET'!H133+CLE!H133+'@HOU'!H133+'@NYG'!H133+PIT!H133+'@PHI'!H133+ATL!H133+'@STL'!H133+'@WAS'!H133+CHI!H133+PHI!H133+STL!H133+'@CIN'!H133+NYG!H133+'@SFO'!H133</f>
        <v>0</v>
      </c>
    </row>
    <row r="134" spans="1:8" ht="12.75">
      <c r="A134" t="s">
        <v>131</v>
      </c>
      <c r="C134">
        <f>+WAS!C134+'@DET'!C134+CLE!C134+'@HOU'!C134+'@NYG'!C134+PIT!C134+'@PHI'!C134+ATL!C134+'@STL'!C134+'@WAS'!C134+CHI!C134+PHI!C134+STL!C134+'@CIN'!C134+NYG!C134+'@SFO'!C134</f>
        <v>3</v>
      </c>
      <c r="D134">
        <f>+WAS!D134+'@DET'!D134+CLE!D134+'@HOU'!D134+'@NYG'!D134+PIT!D134+'@PHI'!D134+ATL!D134+'@STL'!D134+'@WAS'!D134+CHI!D134+PHI!D134+STL!D134+'@CIN'!D134+NYG!D134+'@SFO'!D134</f>
        <v>35</v>
      </c>
      <c r="E134" s="12">
        <f t="shared" si="5"/>
        <v>11.666666666666666</v>
      </c>
      <c r="F134">
        <f>MAX(WAS!F134,'@DET'!F134,CLE!F134,'@HOU'!F134,'@NYG'!F134,PIT!F134,'@PHI'!F134,'@STL'!F134,'@WAS'!F134,CHI!F134,PHI!F134,STL!F134,'@CIN'!F134,NYG!F134,'@SFO'!F134,+ATL!F134)</f>
        <v>15</v>
      </c>
      <c r="G134">
        <f>+WAS!G134+'@DET'!G134+CLE!G134+'@HOU'!G134+'@NYG'!G134+PIT!G134+'@PHI'!G134+ATL!G134+'@STL'!G134+'@WAS'!G134+CHI!G134+PHI!G134+STL!G134+'@CIN'!G134+NYG!G134+'@SFO'!G134</f>
        <v>0</v>
      </c>
      <c r="H134">
        <f>WAS!H134+'@DET'!H134+CLE!H134+'@HOU'!H134+'@NYG'!H134+PIT!H134+'@PHI'!H134+ATL!H134+'@STL'!H134+'@WAS'!H134+CHI!H134+PHI!H134+STL!H134+'@CIN'!H134+NYG!H134+'@SFO'!H134</f>
        <v>0</v>
      </c>
    </row>
    <row r="135" spans="1:8" ht="12.75">
      <c r="A135" t="s">
        <v>132</v>
      </c>
      <c r="C135">
        <f>+WAS!C135+'@DET'!C135+CLE!C135+'@HOU'!C135+'@NYG'!C135+PIT!C135+'@PHI'!C135+ATL!C135+'@STL'!C135+'@WAS'!C135+CHI!C135+PHI!C135+STL!C135+'@CIN'!C135+NYG!C135+'@SFO'!C135</f>
        <v>1</v>
      </c>
      <c r="D135">
        <f>+WAS!D135+'@DET'!D135+CLE!D135+'@HOU'!D135+'@NYG'!D135+PIT!D135+'@PHI'!D135+ATL!D135+'@STL'!D135+'@WAS'!D135+CHI!D135+PHI!D135+STL!D135+'@CIN'!D135+NYG!D135+'@SFO'!D135</f>
        <v>0</v>
      </c>
      <c r="E135" s="12">
        <f t="shared" si="5"/>
        <v>0</v>
      </c>
      <c r="F135">
        <f>MAX(WAS!F135,'@DET'!F135,CLE!F135,'@HOU'!F135,'@NYG'!F135,PIT!F135,'@PHI'!F135,'@STL'!F135,'@WAS'!F135,CHI!F135,PHI!F135,STL!F135,'@CIN'!F135,NYG!F135,'@SFO'!F135,+ATL!F135)</f>
        <v>0</v>
      </c>
      <c r="G135">
        <f>+WAS!G135+'@DET'!G135+CLE!G135+'@HOU'!G135+'@NYG'!G135+PIT!G135+'@PHI'!G135+ATL!G135+'@STL'!G135+'@WAS'!G135+CHI!G135+PHI!G135+STL!G135+'@CIN'!G135+NYG!G135+'@SFO'!G135</f>
        <v>0</v>
      </c>
      <c r="H135">
        <f>WAS!H135+'@DET'!H135+CLE!H135+'@HOU'!H135+'@NYG'!H135+PIT!H135+'@PHI'!H135+ATL!H135+'@STL'!H135+'@WAS'!H135+CHI!H135+PHI!H135+STL!H135+'@CIN'!H135+NYG!H135+'@SFO'!H135</f>
        <v>0</v>
      </c>
    </row>
    <row r="136" spans="1:8" ht="12.75">
      <c r="A136" t="s">
        <v>133</v>
      </c>
      <c r="C136">
        <f>+WAS!C136+'@DET'!C136+CLE!C136+'@HOU'!C136+'@NYG'!C136+PIT!C136+'@PHI'!C136+ATL!C136+'@STL'!C136+'@WAS'!C136+CHI!C136+PHI!C136+STL!C136+'@CIN'!C136+NYG!C136+'@SFO'!C136</f>
        <v>3</v>
      </c>
      <c r="D136">
        <f>+WAS!D136+'@DET'!D136+CLE!D136+'@HOU'!D136+'@NYG'!D136+PIT!D136+'@PHI'!D136+ATL!D136+'@STL'!D136+'@WAS'!D136+CHI!D136+PHI!D136+STL!D136+'@CIN'!D136+NYG!D136+'@SFO'!D136</f>
        <v>147</v>
      </c>
      <c r="E136" s="12">
        <f t="shared" si="5"/>
        <v>49</v>
      </c>
      <c r="F136">
        <f>MAX(WAS!F136,'@DET'!F136,CLE!F136,'@HOU'!F136,'@NYG'!F136,PIT!F136,'@PHI'!F136,'@STL'!F136,'@WAS'!F136,CHI!F136,PHI!F136,STL!F136,'@CIN'!F136,NYG!F136,'@SFO'!F136,+ATL!F136)</f>
        <v>94</v>
      </c>
      <c r="G136">
        <f>+WAS!G136+'@DET'!G136+CLE!G136+'@HOU'!G136+'@NYG'!G136+PIT!G136+'@PHI'!G136+ATL!G136+'@STL'!G136+'@WAS'!G136+CHI!G136+PHI!G136+STL!G136+'@CIN'!G136+NYG!G136+'@SFO'!G136</f>
        <v>0</v>
      </c>
      <c r="H136">
        <f>WAS!H136+'@DET'!H136+CLE!H136+'@HOU'!H136+'@NYG'!H136+PIT!H136+'@PHI'!H136+ATL!H136+'@STL'!H136+'@WAS'!H136+CHI!H136+PHI!H136+STL!H136+'@CIN'!H136+NYG!H136+'@SFO'!H136</f>
        <v>0</v>
      </c>
    </row>
    <row r="137" spans="1:8" ht="12.75">
      <c r="A137" t="s">
        <v>134</v>
      </c>
      <c r="C137">
        <f>+WAS!C137+'@DET'!C137+CLE!C137+'@HOU'!C137+'@NYG'!C137+PIT!C137+'@PHI'!C137+ATL!C137+'@STL'!C137+'@WAS'!C137+CHI!C137+PHI!C137+STL!C137+'@CIN'!C137+NYG!C137+'@SFO'!C137</f>
        <v>1</v>
      </c>
      <c r="D137">
        <f>+WAS!D137+'@DET'!D137+CLE!D137+'@HOU'!D137+'@NYG'!D137+PIT!D137+'@PHI'!D137+ATL!D137+'@STL'!D137+'@WAS'!D137+CHI!D137+PHI!D137+STL!D137+'@CIN'!D137+NYG!D137+'@SFO'!D137</f>
        <v>23</v>
      </c>
      <c r="E137" s="12">
        <f t="shared" si="5"/>
        <v>23</v>
      </c>
      <c r="F137">
        <f>MAX(WAS!F137,'@DET'!F137,CLE!F137,'@HOU'!F137,'@NYG'!F137,PIT!F137,'@PHI'!F137,'@STL'!F137,'@WAS'!F137,CHI!F137,PHI!F137,STL!F137,'@CIN'!F137,NYG!F137,'@SFO'!F137,+ATL!F137)</f>
        <v>23</v>
      </c>
      <c r="G137">
        <f>+WAS!G137+'@DET'!G137+CLE!G137+'@HOU'!G137+'@NYG'!G137+PIT!G137+'@PHI'!G137+ATL!G137+'@STL'!G137+'@WAS'!G137+CHI!G137+PHI!G137+STL!G137+'@CIN'!G137+NYG!G137+'@SFO'!G137</f>
        <v>1</v>
      </c>
      <c r="H137">
        <f>WAS!H137+'@DET'!H137+CLE!H137+'@HOU'!H137+'@NYG'!H137+PIT!H137+'@PHI'!H137+ATL!H137+'@STL'!H137+'@WAS'!H137+CHI!H137+PHI!H137+STL!H137+'@CIN'!H137+NYG!H137+'@SFO'!H137</f>
        <v>0</v>
      </c>
    </row>
    <row r="138" spans="1:8" ht="12.75">
      <c r="A138" t="s">
        <v>135</v>
      </c>
      <c r="C138">
        <f>+WAS!C138+'@DET'!C138+CLE!C138+'@HOU'!C138+'@NYG'!C138+PIT!C138+'@PHI'!C138+ATL!C138+'@STL'!C138+'@WAS'!C138+CHI!C138+PHI!C138+STL!C138+'@CIN'!C138+NYG!C138+'@SFO'!C138</f>
        <v>0</v>
      </c>
      <c r="D138">
        <f>+WAS!D138+'@DET'!D138+CLE!D138+'@HOU'!D138+'@NYG'!D138+PIT!D138+'@PHI'!D138+ATL!D138+'@STL'!D138+'@WAS'!D138+CHI!D138+PHI!D138+STL!D138+'@CIN'!D138+NYG!D138+'@SFO'!D138</f>
        <v>0</v>
      </c>
      <c r="E138" s="12" t="e">
        <f t="shared" si="5"/>
        <v>#DIV/0!</v>
      </c>
      <c r="F138">
        <f>MAX(WAS!F138,'@DET'!F138,CLE!F138,'@HOU'!F138,'@NYG'!F138,PIT!F138,'@PHI'!F138,'@STL'!F138,'@WAS'!F138,CHI!F138,PHI!F138,STL!F138,'@CIN'!F138,NYG!F138,'@SFO'!F138,+ATL!F138)</f>
        <v>0</v>
      </c>
      <c r="G138">
        <f>+WAS!G138+'@DET'!G138+CLE!G138+'@HOU'!G138+'@NYG'!G138+PIT!G138+'@PHI'!G138+ATL!G138+'@STL'!G138+'@WAS'!G138+CHI!G138+PHI!G138+STL!G138+'@CIN'!G138+NYG!G138+'@SFO'!G138</f>
        <v>0</v>
      </c>
      <c r="H138">
        <f>WAS!H138+'@DET'!H138+CLE!H138+'@HOU'!H138+'@NYG'!H138+PIT!H138+'@PHI'!H138+ATL!H138+'@STL'!H138+'@WAS'!H138+CHI!H138+PHI!H138+STL!H138+'@CIN'!H138+NYG!H138+'@SFO'!H138</f>
        <v>0</v>
      </c>
    </row>
    <row r="139" spans="1:8" ht="12.75">
      <c r="A139" t="s">
        <v>136</v>
      </c>
      <c r="C139">
        <f>+WAS!C139+'@DET'!C139+CLE!C139+'@HOU'!C139+'@NYG'!C139+PIT!C139+'@PHI'!C139+ATL!C139+'@STL'!C139+'@WAS'!C139+CHI!C139+PHI!C139+STL!C139+'@CIN'!C139+NYG!C139+'@SFO'!C139</f>
        <v>0</v>
      </c>
      <c r="D139">
        <f>+WAS!D139+'@DET'!D139+CLE!D139+'@HOU'!D139+'@NYG'!D139+PIT!D139+'@PHI'!D139+ATL!D139+'@STL'!D139+'@WAS'!D139+CHI!D139+PHI!D139+STL!D139+'@CIN'!D139+NYG!D139+'@SFO'!D139</f>
        <v>0</v>
      </c>
      <c r="E139" s="12" t="e">
        <f t="shared" si="5"/>
        <v>#DIV/0!</v>
      </c>
      <c r="F139">
        <f>MAX(WAS!F139,'@DET'!F139,CLE!F139,'@HOU'!F139,'@NYG'!F139,PIT!F139,'@PHI'!F139,'@STL'!F139,'@WAS'!F139,CHI!F139,PHI!F139,STL!F139,'@CIN'!F139,NYG!F139,'@SFO'!F139,+ATL!F139)</f>
        <v>0</v>
      </c>
      <c r="G139">
        <f>+WAS!G139+'@DET'!G139+CLE!G139+'@HOU'!G139+'@NYG'!G139+PIT!G139+'@PHI'!G139+ATL!G139+'@STL'!G139+'@WAS'!G139+CHI!G139+PHI!G139+STL!G139+'@CIN'!G139+NYG!G139+'@SFO'!G139</f>
        <v>0</v>
      </c>
      <c r="H139">
        <f>WAS!H139+'@DET'!H139+CLE!H139+'@HOU'!H139+'@NYG'!H139+PIT!H139+'@PHI'!H139+ATL!H139+'@STL'!H139+'@WAS'!H139+CHI!H139+PHI!H139+STL!H139+'@CIN'!H139+NYG!H139+'@SFO'!H139</f>
        <v>0</v>
      </c>
    </row>
    <row r="141" spans="1:4" ht="12.75">
      <c r="A141" s="2" t="s">
        <v>90</v>
      </c>
      <c r="C141" s="3" t="s">
        <v>68</v>
      </c>
      <c r="D141" s="3"/>
    </row>
    <row r="142" spans="1:3" ht="12.75">
      <c r="A142" t="s">
        <v>137</v>
      </c>
      <c r="C142">
        <f>WAS!C142+'@DET'!C142+CLE!C142+'@HOU'!C142+'@NYG'!C142+PIT!C142+'@PHI'!C142+ATL!C142+'@STL'!C142+'@WAS'!C142+CHI!C142+PHI!C142+STL!C142+'@CIN'!C142+NYG!C142+'@SFO'!C142</f>
        <v>11</v>
      </c>
    </row>
    <row r="143" spans="1:3" ht="12.75">
      <c r="A143" t="s">
        <v>134</v>
      </c>
      <c r="C143">
        <f>WAS!C143+'@DET'!C143+CLE!C143+'@HOU'!C143+'@NYG'!C143+PIT!C143+'@PHI'!C143+ATL!C143+'@STL'!C143+'@WAS'!C143+CHI!C143+PHI!C143+STL!C143+'@CIN'!C143+NYG!C143+'@SFO'!C143</f>
        <v>11.5</v>
      </c>
    </row>
    <row r="144" spans="1:3" ht="12.75">
      <c r="A144" t="s">
        <v>138</v>
      </c>
      <c r="C144">
        <f>WAS!C144+'@DET'!C144+CLE!C144+'@HOU'!C144+'@NYG'!C144+PIT!C144+'@PHI'!C144+ATL!C144+'@STL'!C144+'@WAS'!C144+CHI!C144+PHI!C144+STL!C144+'@CIN'!C144+NYG!C144+'@SFO'!C144</f>
        <v>6.5</v>
      </c>
    </row>
    <row r="145" spans="1:3" ht="12.75">
      <c r="A145" t="s">
        <v>136</v>
      </c>
      <c r="C145">
        <f>WAS!C145+'@DET'!C145+CLE!C145+'@HOU'!C145+'@NYG'!C145+PIT!C145+'@PHI'!C145+ATL!C145+'@STL'!C145+'@WAS'!C145+CHI!C145+PHI!C145+STL!C145+'@CIN'!C145+NYG!C145+'@SFO'!C145</f>
        <v>7.5</v>
      </c>
    </row>
    <row r="146" spans="1:3" ht="12.75">
      <c r="A146" t="s">
        <v>139</v>
      </c>
      <c r="C146">
        <f>WAS!C146+'@DET'!C146+CLE!C146+'@HOU'!C146+'@NYG'!C146+PIT!C146+'@PHI'!C146+ATL!C146+'@STL'!C146+'@WAS'!C146+CHI!C146+PHI!C146+STL!C146+'@CIN'!C146+NYG!C146+'@SFO'!C146</f>
        <v>5</v>
      </c>
    </row>
    <row r="147" spans="1:3" ht="12.75">
      <c r="A147" t="s">
        <v>135</v>
      </c>
      <c r="C147">
        <f>WAS!C147+'@DET'!C147+CLE!C147+'@HOU'!C147+'@NYG'!C147+PIT!C147+'@PHI'!C147+ATL!C147+'@STL'!C147+'@WAS'!C147+CHI!C147+PHI!C147+STL!C147+'@CIN'!C147+NYG!C147+'@SFO'!C147</f>
        <v>6</v>
      </c>
    </row>
    <row r="148" spans="1:3" ht="12.75">
      <c r="A148" t="s">
        <v>133</v>
      </c>
      <c r="C148">
        <f>WAS!C148+'@DET'!C148+CLE!C148+'@HOU'!C148+'@NYG'!C148+PIT!C148+'@PHI'!C148+ATL!C148+'@STL'!C148+'@WAS'!C148+CHI!C148+PHI!C148+STL!C148+'@CIN'!C148+NYG!C148+'@SFO'!C148</f>
        <v>0.5</v>
      </c>
    </row>
    <row r="149" spans="1:3" ht="12.75">
      <c r="A149" t="s">
        <v>140</v>
      </c>
      <c r="C149">
        <f>WAS!C149+'@DET'!C149+CLE!C149+'@HOU'!C149+'@NYG'!C149+PIT!C149+'@PHI'!C149+ATL!C149+'@STL'!C149+'@WAS'!C149+CHI!C149+PHI!C149+STL!C149+'@CIN'!C149+NYG!C149+'@SFO'!C149</f>
        <v>3.5</v>
      </c>
    </row>
    <row r="150" spans="1:3" ht="12.75">
      <c r="A150" t="s">
        <v>141</v>
      </c>
      <c r="C150">
        <f>WAS!C150+'@DET'!C150+CLE!C150+'@HOU'!C150+'@NYG'!C150+PIT!C150+'@PHI'!C150+ATL!C150+'@STL'!C150+'@WAS'!C150+CHI!C150+PHI!C150+STL!C150+'@CIN'!C150+NYG!C150+'@SFO'!C150</f>
        <v>1</v>
      </c>
    </row>
    <row r="151" spans="1:3" ht="12.75">
      <c r="A151" t="s">
        <v>142</v>
      </c>
      <c r="C151">
        <f>WAS!C151+'@DET'!C151+CLE!C151+'@HOU'!C151+'@NYG'!C151+PIT!C151+'@PHI'!C151+ATL!C151+'@STL'!C151+'@WAS'!C151+CHI!C151+PHI!C151+STL!C151+'@CIN'!C151+NYG!C151+'@SFO'!C151</f>
        <v>3</v>
      </c>
    </row>
    <row r="152" spans="1:3" ht="12.75">
      <c r="A152" t="s">
        <v>143</v>
      </c>
      <c r="C152">
        <f>WAS!C152+'@DET'!C152+CLE!C152+'@HOU'!C152+'@NYG'!C152+PIT!C152+'@PHI'!C152+ATL!C152+'@STL'!C152+'@WAS'!C152+CHI!C152+PHI!C152+STL!C152+'@CIN'!C152+NYG!C152+'@SFO'!C152</f>
        <v>4</v>
      </c>
    </row>
    <row r="153" spans="1:3" ht="12.75">
      <c r="A153" t="s">
        <v>124</v>
      </c>
      <c r="C153">
        <f>WAS!C153+'@DET'!C153+CLE!C153+'@HOU'!C153+'@NYG'!C153+PIT!C153+'@PHI'!C153+ATL!C153+'@STL'!C153+'@WAS'!C153+CHI!C153+PHI!C153+STL!C153+'@CIN'!C153+NYG!C153+'@SFO'!C153</f>
        <v>0.5</v>
      </c>
    </row>
    <row r="154" spans="1:3" ht="12.75">
      <c r="A154" t="s">
        <v>129</v>
      </c>
      <c r="C154">
        <f>WAS!C154+'@DET'!C154+CLE!C154+'@HOU'!C154+'@NYG'!C154+PIT!C154+'@PHI'!C154+ATL!C154+'@STL'!C154+'@WAS'!C154+CHI!C154+PHI!C154+STL!C154+'@CIN'!C154+NYG!C154+'@SFO'!C154</f>
        <v>1</v>
      </c>
    </row>
    <row r="155" spans="1:3" ht="12.75">
      <c r="A155" t="s">
        <v>132</v>
      </c>
      <c r="C155">
        <f>WAS!C155+'@DET'!C155+CLE!C155+'@HOU'!C155+'@NYG'!C155+PIT!C155+'@PHI'!C155+ATL!C155+'@STL'!C155+'@WAS'!C155+CHI!C155+PHI!C155+STL!C155+'@CIN'!C155+NYG!C155+'@SFO'!C155</f>
        <v>0</v>
      </c>
    </row>
    <row r="156" spans="1:3" ht="12.75">
      <c r="A156" t="s">
        <v>144</v>
      </c>
      <c r="C156">
        <f>WAS!C156+'@DET'!C156+CLE!C156+'@HOU'!C156+'@NYG'!C156+PIT!C156+'@PHI'!C156+ATL!C156+'@STL'!C156+'@WAS'!C156+CHI!C156+PHI!C156+STL!C156+'@CIN'!C156+NYG!C156+'@SFO'!C156</f>
        <v>0</v>
      </c>
    </row>
    <row r="158" spans="4:15" ht="12.75">
      <c r="D158" s="2" t="s">
        <v>84</v>
      </c>
      <c r="E158" s="2" t="s">
        <v>85</v>
      </c>
      <c r="N158" s="2" t="s">
        <v>84</v>
      </c>
      <c r="O158" s="2" t="s">
        <v>85</v>
      </c>
    </row>
    <row r="159" spans="1:15" ht="12.75">
      <c r="A159" t="s">
        <v>93</v>
      </c>
      <c r="C159">
        <f>WAS!D159+'@DET'!D159+CLE!D159+'@HOU'!D159+'@NYG'!D159+PIT!D159+'@PHI'!D159+ATL!D159+'@STL'!D159+'@WAS'!D159+CHI!D159+PHI!D159+STL!D159+'@CIN'!D159+NYG!D159+'@SFO'!D159</f>
        <v>225</v>
      </c>
      <c r="D159">
        <f>+C159/$B$2</f>
        <v>14.0625</v>
      </c>
      <c r="E159" s="21">
        <f>227/16</f>
        <v>14.1875</v>
      </c>
      <c r="H159" t="s">
        <v>93</v>
      </c>
      <c r="M159">
        <f>WAS!M159+'@DET'!M159+CLE!M159+'@HOU'!M159+'@NYG'!M159+PIT!M159+'@PHI'!M159+ATL!M159+'@STL'!M159+'@WAS'!M159+CHI!M159+PHI!M159+STL!M159+'@CIN'!M159+NYG!M159+'@SFO'!M159</f>
        <v>230</v>
      </c>
      <c r="N159">
        <f>+M159/$B$2</f>
        <v>14.375</v>
      </c>
      <c r="O159" s="22">
        <f>228/16</f>
        <v>14.25</v>
      </c>
    </row>
    <row r="160" spans="1:15" ht="12.75">
      <c r="A160" t="s">
        <v>94</v>
      </c>
      <c r="C160">
        <f>WAS!D160+'@DET'!D160+CLE!D160+'@HOU'!D160+'@NYG'!D160+PIT!D160+'@PHI'!D160+ATL!D160+'@STL'!D160+'@WAS'!D160+CHI!D160+PHI!D160+STL!D160+'@CIN'!D160+NYG!D160+'@SFO'!D160</f>
        <v>76</v>
      </c>
      <c r="D160">
        <f>+C160/$B$2</f>
        <v>4.75</v>
      </c>
      <c r="E160" s="21">
        <f>96/16</f>
        <v>6</v>
      </c>
      <c r="H160" t="s">
        <v>94</v>
      </c>
      <c r="M160">
        <f>WAS!M160+'@DET'!M160+CLE!M160+'@HOU'!M160+'@NYG'!M160+PIT!M160+'@PHI'!M160+ATL!M160+'@STL'!M160+'@WAS'!M160+CHI!M160+PHI!M160+STL!M160+'@CIN'!M160+NYG!M160+'@SFO'!M160</f>
        <v>66</v>
      </c>
      <c r="N160">
        <f>+M160/$B$2</f>
        <v>4.125</v>
      </c>
      <c r="O160" s="22">
        <f>87/16</f>
        <v>5.4375</v>
      </c>
    </row>
    <row r="161" spans="1:15" ht="12.75">
      <c r="A161" t="s">
        <v>95</v>
      </c>
      <c r="C161">
        <f>C160/C159*100</f>
        <v>33.77777777777778</v>
      </c>
      <c r="D161">
        <f>C160/C159*100</f>
        <v>33.77777777777778</v>
      </c>
      <c r="E161" s="21">
        <f>E160/E159*100</f>
        <v>42.290748898678416</v>
      </c>
      <c r="H161" t="s">
        <v>95</v>
      </c>
      <c r="M161" s="8">
        <f>M160/M159*100</f>
        <v>28.695652173913043</v>
      </c>
      <c r="N161">
        <f>M160/M159*100</f>
        <v>28.695652173913043</v>
      </c>
      <c r="O161" s="21">
        <f>O160/O159*100</f>
        <v>38.15789473684211</v>
      </c>
    </row>
    <row r="163" spans="1:5" ht="12.75">
      <c r="A163" t="s">
        <v>98</v>
      </c>
      <c r="C163">
        <f>WAS!M34+WAS!M57+'@DET'!M34+'@DET'!M57+CLE!M34+CLE!M57+'@HOU'!M34+'@HOU'!M57+'@NYG'!M34+'@NYG'!M57+PIT!M57+PIT!M34+'@PHI'!M34+'@PHI'!M57+ATL!M34+ATL!M57+'@STL'!M34+'@STL'!M57+'@WAS'!M34+'@WAS'!M57+CHI!M34+CHI!M57+PHI!M34+PHI!M57+STL!M34+STL!M57+'@CIN'!M34+'@CIN'!M57+NYG!M34+NYG!M57+'@SFO'!M34+'@SFO'!M57</f>
        <v>41</v>
      </c>
      <c r="D163">
        <f>C163/$B$2</f>
        <v>2.5625</v>
      </c>
      <c r="E163">
        <v>31</v>
      </c>
    </row>
    <row r="164" spans="1:5" ht="12.75">
      <c r="A164" t="s">
        <v>99</v>
      </c>
      <c r="C164" t="e">
        <f>WAS!D34+WAS!#REF!+'@DET'!D34+'@DET'!#REF!+CLE!D34+CLE!#REF!+'@HOU'!D34+'@HOU'!#REF!+'@NYG'!D34+'@NYG'!#REF!+PIT!D34+PIT!#REF!+'@PHI'!D34+'@PHI'!#REF!+ATL!D34+ATL!#REF!+'@STL'!D34+'@STL'!#REF!+'@WAS'!D34+'@WAS'!#REF!+CHI!D34+CHI!#REF!+PHI!D34+PHI!#REF!+STL!D34+STL!#REF!+'@CIN'!D34+'@CIN'!#REF!+NYG!D34+NYG!#REF!+'@SFO'!D34+'@SFO'!#REF!</f>
        <v>#REF!</v>
      </c>
      <c r="D164" t="e">
        <f>C164/$B$2</f>
        <v>#REF!</v>
      </c>
      <c r="E164">
        <v>34</v>
      </c>
    </row>
    <row r="165" spans="1:5" ht="12.75">
      <c r="A165" t="s">
        <v>100</v>
      </c>
      <c r="C165" t="e">
        <f>C163-C164</f>
        <v>#REF!</v>
      </c>
      <c r="D165" t="e">
        <f>D163-D164</f>
        <v>#REF!</v>
      </c>
      <c r="E165">
        <f>E163-E164</f>
        <v>-3</v>
      </c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ht="12.75">
      <c r="B169" s="2"/>
    </row>
    <row r="170" spans="1:7" ht="12.75">
      <c r="A170" s="2"/>
      <c r="B170" s="3"/>
      <c r="C170" s="3"/>
      <c r="D170" s="3"/>
      <c r="E170" s="2"/>
      <c r="F170" s="3"/>
      <c r="G170" s="3"/>
    </row>
    <row r="171" spans="4:7" ht="12.75">
      <c r="D171" s="2"/>
      <c r="F171" s="12"/>
      <c r="G171" s="8"/>
    </row>
    <row r="172" spans="4:7" ht="12.75">
      <c r="D172" s="2"/>
      <c r="F172" s="12"/>
      <c r="G172" s="8"/>
    </row>
    <row r="173" spans="4:7" ht="12.75">
      <c r="D173" s="2"/>
      <c r="F173" s="12"/>
      <c r="G173" s="8"/>
    </row>
    <row r="174" spans="4:7" ht="12.75">
      <c r="D174" s="2"/>
      <c r="F174" s="12"/>
      <c r="G174" s="8"/>
    </row>
    <row r="175" spans="4:6" ht="12.75">
      <c r="D175" s="2"/>
      <c r="F175" s="12"/>
    </row>
    <row r="176" spans="1:7" ht="12.75">
      <c r="A176" s="2"/>
      <c r="B176" s="2"/>
      <c r="C176" s="2"/>
      <c r="D176" s="2"/>
      <c r="E176" s="2"/>
      <c r="F176" s="2"/>
      <c r="G176" s="2"/>
    </row>
    <row r="177" spans="3:6" ht="12.75">
      <c r="C177" s="2"/>
      <c r="E177" s="2"/>
      <c r="F177" s="8"/>
    </row>
    <row r="178" spans="3:6" ht="12.75">
      <c r="C178" s="2"/>
      <c r="E178" s="2"/>
      <c r="F178" s="8"/>
    </row>
    <row r="179" spans="3:6" ht="12.75">
      <c r="C179" s="2"/>
      <c r="E179" s="2"/>
      <c r="F179" s="8"/>
    </row>
    <row r="180" spans="3:6" ht="12.75">
      <c r="C180" s="2"/>
      <c r="E180" s="2"/>
      <c r="F180" s="8"/>
    </row>
    <row r="181" spans="3:6" ht="12.75">
      <c r="C181" s="2"/>
      <c r="E181" s="2"/>
      <c r="F181" s="8"/>
    </row>
    <row r="182" spans="3:6" ht="12.75">
      <c r="C182" s="2"/>
      <c r="E182" s="2"/>
      <c r="F182" s="8"/>
    </row>
    <row r="183" spans="3:6" ht="12.75">
      <c r="C183" s="2"/>
      <c r="E183" s="2"/>
      <c r="F183" s="8"/>
    </row>
    <row r="184" spans="3:6" ht="12.75">
      <c r="C184" s="2"/>
      <c r="E184" s="2"/>
      <c r="F184" s="8"/>
    </row>
    <row r="185" spans="3:6" ht="12.75">
      <c r="C185" s="2"/>
      <c r="E185" s="2"/>
      <c r="F185" s="8"/>
    </row>
    <row r="186" spans="3:5" ht="12.75">
      <c r="C186" s="2"/>
      <c r="E186" s="2"/>
    </row>
    <row r="191" spans="1:6" ht="12.75">
      <c r="A191" s="2"/>
      <c r="D191" s="2"/>
      <c r="F191" s="2"/>
    </row>
    <row r="192" spans="1:13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5:13" ht="12.75">
      <c r="E193" s="12"/>
      <c r="G193" s="2"/>
      <c r="I193" s="2"/>
      <c r="K193" s="2"/>
      <c r="M193" s="12"/>
    </row>
    <row r="194" spans="5:13" ht="12.75">
      <c r="E194" s="12"/>
      <c r="G194" s="2"/>
      <c r="I194" s="2"/>
      <c r="K194" s="2"/>
      <c r="M194" s="12"/>
    </row>
    <row r="197" spans="1:11" ht="12.75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3:5" ht="12.75">
      <c r="C198" s="2"/>
      <c r="E198" s="12"/>
    </row>
    <row r="199" spans="3:5" ht="12.75">
      <c r="C199" s="2"/>
      <c r="E199" s="12"/>
    </row>
    <row r="200" spans="3:5" ht="12.75">
      <c r="C200" s="2"/>
      <c r="E200" s="12"/>
    </row>
    <row r="201" spans="3:5" ht="12.75">
      <c r="C201" s="2"/>
      <c r="E201" s="12"/>
    </row>
    <row r="202" spans="3:5" ht="12.75">
      <c r="C202" s="2"/>
      <c r="E202" s="12"/>
    </row>
    <row r="203" spans="3:5" ht="12.75">
      <c r="C203" s="2"/>
      <c r="E203" s="1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spans="1:11" ht="12.75">
      <c r="A209" s="2"/>
      <c r="B209" s="2"/>
      <c r="C209" s="2"/>
      <c r="D209" s="3"/>
      <c r="E209" s="3"/>
      <c r="F209" s="3"/>
      <c r="G209" s="3"/>
      <c r="H209" s="3"/>
      <c r="I209" s="3"/>
      <c r="J209" s="3"/>
      <c r="K209" s="3"/>
    </row>
    <row r="210" spans="3:4" ht="12.75">
      <c r="C210" s="2"/>
      <c r="D210" s="12"/>
    </row>
    <row r="211" spans="3:4" ht="12.75">
      <c r="C211" s="2"/>
      <c r="D211" s="12"/>
    </row>
    <row r="212" spans="3:4" ht="12.75">
      <c r="C212" s="2"/>
      <c r="D212" s="12"/>
    </row>
    <row r="213" spans="3:4" ht="12.75">
      <c r="C213" s="2"/>
      <c r="D213" s="12"/>
    </row>
    <row r="214" spans="3:4" ht="12.75">
      <c r="C214" s="2"/>
      <c r="D214" s="12"/>
    </row>
    <row r="215" spans="3:4" ht="12.75">
      <c r="C215" s="2"/>
      <c r="D215" s="12"/>
    </row>
    <row r="216" ht="12.75">
      <c r="C216" s="2"/>
    </row>
    <row r="217" ht="12.75">
      <c r="C217" s="2"/>
    </row>
    <row r="218" ht="12.75">
      <c r="C218" s="2"/>
    </row>
    <row r="219" spans="2:9" ht="12.75">
      <c r="B219" s="3"/>
      <c r="C219" s="2"/>
      <c r="D219" s="3"/>
      <c r="E219" s="3"/>
      <c r="F219" s="3"/>
      <c r="G219" s="3"/>
      <c r="H219" s="3"/>
      <c r="I219" s="3"/>
    </row>
    <row r="220" spans="3:4" ht="12.75">
      <c r="C220" s="2"/>
      <c r="D220" s="12"/>
    </row>
    <row r="221" ht="12.75">
      <c r="C221" s="2"/>
    </row>
    <row r="222" spans="3:8" ht="12.75">
      <c r="C222" s="2"/>
      <c r="H222" s="5"/>
    </row>
    <row r="223" spans="2:9" ht="12.75">
      <c r="B223" s="3"/>
      <c r="C223" s="3"/>
      <c r="D223" s="3"/>
      <c r="E223" s="3"/>
      <c r="F223" s="3"/>
      <c r="G223" s="3"/>
      <c r="H223" s="3"/>
      <c r="I223" s="3"/>
    </row>
    <row r="224" ht="12.75">
      <c r="H224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Y161"/>
  <sheetViews>
    <sheetView zoomScalePageLayoutView="0" workbookViewId="0" topLeftCell="A1">
      <selection activeCell="D7" sqref="D7:D67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109</v>
      </c>
      <c r="E1" s="2" t="s">
        <v>96</v>
      </c>
      <c r="F1" s="2" t="s">
        <v>97</v>
      </c>
    </row>
    <row r="2" ht="12.75">
      <c r="E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26</v>
      </c>
      <c r="H6" s="1" t="s">
        <v>29</v>
      </c>
      <c r="M6" s="2">
        <f>M7+M8+M9</f>
        <v>16</v>
      </c>
    </row>
    <row r="7" spans="1:13" ht="12.75">
      <c r="A7" s="1" t="s">
        <v>103</v>
      </c>
      <c r="D7" s="2">
        <v>8</v>
      </c>
      <c r="H7" s="1" t="s">
        <v>103</v>
      </c>
      <c r="M7" s="2">
        <v>5</v>
      </c>
    </row>
    <row r="8" spans="1:13" ht="12.75">
      <c r="A8" s="1" t="s">
        <v>105</v>
      </c>
      <c r="D8" s="2">
        <v>17</v>
      </c>
      <c r="H8" s="1" t="s">
        <v>105</v>
      </c>
      <c r="M8" s="2">
        <v>10</v>
      </c>
    </row>
    <row r="9" spans="1:13" ht="12.75">
      <c r="A9" s="1" t="s">
        <v>104</v>
      </c>
      <c r="D9" s="2">
        <v>1</v>
      </c>
      <c r="H9" s="1" t="s">
        <v>104</v>
      </c>
      <c r="M9" s="2">
        <v>1</v>
      </c>
    </row>
    <row r="11" spans="1:23" ht="12.75">
      <c r="A11" t="s">
        <v>1</v>
      </c>
      <c r="D11" s="2">
        <v>32</v>
      </c>
      <c r="H11" t="s">
        <v>1</v>
      </c>
      <c r="M11" s="2">
        <v>23</v>
      </c>
      <c r="V11">
        <f>+D11</f>
        <v>32</v>
      </c>
      <c r="W11">
        <f>+M11</f>
        <v>23</v>
      </c>
    </row>
    <row r="12" spans="1:23" ht="12.75">
      <c r="A12" t="s">
        <v>2</v>
      </c>
      <c r="D12" s="2">
        <v>159</v>
      </c>
      <c r="H12" t="s">
        <v>2</v>
      </c>
      <c r="M12" s="2">
        <v>85</v>
      </c>
      <c r="U12" s="13"/>
      <c r="V12">
        <f>+D16</f>
        <v>24</v>
      </c>
      <c r="W12">
        <f>+M16</f>
        <v>16</v>
      </c>
    </row>
    <row r="13" spans="1:23" ht="12.75">
      <c r="A13" s="1" t="s">
        <v>3</v>
      </c>
      <c r="D13" s="8">
        <f>+D12/D11</f>
        <v>4.96875</v>
      </c>
      <c r="H13" s="1" t="s">
        <v>3</v>
      </c>
      <c r="M13" s="8">
        <f>+M12/M11</f>
        <v>3.6956521739130435</v>
      </c>
      <c r="V13">
        <f>+(D15-D16)/2</f>
        <v>7.5</v>
      </c>
      <c r="W13">
        <f>+(M15-M16)/2</f>
        <v>6.5</v>
      </c>
    </row>
    <row r="14" spans="22:23" ht="12.75">
      <c r="V14">
        <f>+D38/2</f>
        <v>2.5</v>
      </c>
      <c r="W14">
        <f>+M38/2</f>
        <v>1.5</v>
      </c>
    </row>
    <row r="15" spans="1:23" ht="12.75">
      <c r="A15" t="s">
        <v>4</v>
      </c>
      <c r="D15" s="2">
        <v>39</v>
      </c>
      <c r="H15" t="s">
        <v>4</v>
      </c>
      <c r="M15" s="2">
        <v>29</v>
      </c>
      <c r="V15">
        <f>+D42/2</f>
        <v>0.5</v>
      </c>
      <c r="W15">
        <f>+M42/2</f>
        <v>1</v>
      </c>
    </row>
    <row r="16" spans="1:23" ht="12.75">
      <c r="A16" t="s">
        <v>5</v>
      </c>
      <c r="D16" s="2">
        <v>24</v>
      </c>
      <c r="H16" t="s">
        <v>5</v>
      </c>
      <c r="M16" s="2">
        <v>16</v>
      </c>
      <c r="V16">
        <f>+D48/2</f>
        <v>1</v>
      </c>
      <c r="W16">
        <f>+M48/2</f>
        <v>2</v>
      </c>
    </row>
    <row r="17" spans="1:13" ht="12.75">
      <c r="A17" t="s">
        <v>6</v>
      </c>
      <c r="D17" s="8">
        <f>+D16/D15*100</f>
        <v>61.53846153846154</v>
      </c>
      <c r="H17" t="s">
        <v>6</v>
      </c>
      <c r="M17" s="8">
        <f>+M16/M15*100</f>
        <v>55.172413793103445</v>
      </c>
    </row>
    <row r="18" spans="1:24" ht="12.75">
      <c r="A18" t="s">
        <v>7</v>
      </c>
      <c r="D18" s="2">
        <v>298</v>
      </c>
      <c r="H18" t="s">
        <v>7</v>
      </c>
      <c r="M18" s="2">
        <v>196</v>
      </c>
      <c r="V18">
        <f>SUM(V11:V16)</f>
        <v>67.5</v>
      </c>
      <c r="W18">
        <f>SUM(W11:W16)</f>
        <v>50</v>
      </c>
      <c r="X18">
        <f>+W18+V18</f>
        <v>117.5</v>
      </c>
    </row>
    <row r="19" spans="1:23" ht="12.75">
      <c r="A19" t="s">
        <v>8</v>
      </c>
      <c r="D19" s="2">
        <v>3</v>
      </c>
      <c r="H19" t="s">
        <v>8</v>
      </c>
      <c r="M19" s="2">
        <v>5</v>
      </c>
      <c r="V19">
        <f>+V18/X18</f>
        <v>0.574468085106383</v>
      </c>
      <c r="W19">
        <f>+W18/X18</f>
        <v>0.425531914893617</v>
      </c>
    </row>
    <row r="20" spans="1:23" ht="12.75">
      <c r="A20" t="s">
        <v>9</v>
      </c>
      <c r="D20" s="2">
        <v>21</v>
      </c>
      <c r="H20" t="s">
        <v>9</v>
      </c>
      <c r="M20" s="2">
        <v>49</v>
      </c>
      <c r="V20">
        <f>+V19*60</f>
        <v>34.46808510638298</v>
      </c>
      <c r="W20">
        <f>+W19*60</f>
        <v>25.53191489361702</v>
      </c>
    </row>
    <row r="21" spans="1:23" ht="12.75">
      <c r="A21" t="s">
        <v>10</v>
      </c>
      <c r="D21">
        <f>+D18-D20</f>
        <v>277</v>
      </c>
      <c r="H21" t="s">
        <v>10</v>
      </c>
      <c r="M21">
        <f>+M18-M20</f>
        <v>147</v>
      </c>
      <c r="V21">
        <f>+V20-INT(V20)</f>
        <v>0.4680851063829792</v>
      </c>
      <c r="W21">
        <f>+W20-INT(W20)</f>
        <v>0.5319148936170208</v>
      </c>
    </row>
    <row r="22" spans="1:23" ht="12.75">
      <c r="A22" t="s">
        <v>11</v>
      </c>
      <c r="D22" s="7">
        <f>+D21/(D15+D19)</f>
        <v>6.595238095238095</v>
      </c>
      <c r="H22" t="s">
        <v>11</v>
      </c>
      <c r="M22" s="7">
        <f>+M21/(M15+M19)</f>
        <v>4.323529411764706</v>
      </c>
      <c r="V22">
        <f>+V21*60</f>
        <v>28.08510638297875</v>
      </c>
      <c r="W22">
        <f>+W21*60</f>
        <v>31.91489361702125</v>
      </c>
    </row>
    <row r="23" spans="1:23" ht="12.75">
      <c r="A23" t="s">
        <v>12</v>
      </c>
      <c r="D23" s="7">
        <f>+D18/D16</f>
        <v>12.416666666666666</v>
      </c>
      <c r="H23" t="s">
        <v>12</v>
      </c>
      <c r="M23" s="7">
        <f>+M18/M16</f>
        <v>12.25</v>
      </c>
      <c r="U23">
        <v>0</v>
      </c>
      <c r="V23" s="11">
        <f>ROUND(V22,0)</f>
        <v>28</v>
      </c>
      <c r="W23">
        <f>ROUND(W22,0)</f>
        <v>32</v>
      </c>
    </row>
    <row r="24" spans="22:23" ht="12.75">
      <c r="V24">
        <f>INT(V20)</f>
        <v>34</v>
      </c>
      <c r="W24">
        <f>INT(W20)</f>
        <v>25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436</v>
      </c>
      <c r="H26" t="s">
        <v>14</v>
      </c>
      <c r="M26">
        <f>+M21+M12</f>
        <v>232</v>
      </c>
      <c r="V26" s="14" t="str">
        <f>+V24&amp;V25&amp;V23</f>
        <v>34:28</v>
      </c>
      <c r="W26" s="9" t="str">
        <f>+W24&amp;W25&amp;W23</f>
        <v>25:32</v>
      </c>
    </row>
    <row r="27" spans="1:23" ht="12.75">
      <c r="A27" t="s">
        <v>15</v>
      </c>
      <c r="D27" s="7">
        <f>+D12/D26*100</f>
        <v>36.46788990825688</v>
      </c>
      <c r="H27" t="s">
        <v>15</v>
      </c>
      <c r="M27" s="7">
        <f>+M12/M26*100</f>
        <v>36.637931034482754</v>
      </c>
      <c r="V27" s="9" t="str">
        <f>IF(V23&lt;10,+V24&amp;V25&amp;$U$23&amp;V23,+V24&amp;V25&amp;V23)</f>
        <v>34:28</v>
      </c>
      <c r="W27" s="9" t="str">
        <f>IF(W23&lt;10,+W24&amp;W25&amp;$U$23&amp;W23,+W24&amp;W25&amp;W23)</f>
        <v>25:32</v>
      </c>
    </row>
    <row r="28" spans="1:13" ht="12.75">
      <c r="A28" s="1" t="s">
        <v>86</v>
      </c>
      <c r="D28" s="7">
        <f>+D21/D26*100</f>
        <v>63.53211009174312</v>
      </c>
      <c r="H28" s="1" t="s">
        <v>86</v>
      </c>
      <c r="M28" s="7">
        <f>+M21/M26*100</f>
        <v>63.36206896551724</v>
      </c>
    </row>
    <row r="30" spans="1:13" ht="12.75">
      <c r="A30" t="s">
        <v>16</v>
      </c>
      <c r="D30">
        <f>+D11+D15+D19</f>
        <v>74</v>
      </c>
      <c r="H30" t="s">
        <v>16</v>
      </c>
      <c r="M30">
        <f>+M11+M15+M19</f>
        <v>57</v>
      </c>
    </row>
    <row r="31" spans="1:13" ht="12.75">
      <c r="A31" t="s">
        <v>17</v>
      </c>
      <c r="D31" s="8">
        <f>+D26/D30</f>
        <v>5.891891891891892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4.0701754385964914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1</v>
      </c>
      <c r="H34" t="s">
        <v>19</v>
      </c>
      <c r="M34" s="2">
        <v>1</v>
      </c>
    </row>
    <row r="35" spans="1:13" ht="12.75">
      <c r="A35" t="s">
        <v>20</v>
      </c>
      <c r="D35" s="2">
        <v>82</v>
      </c>
      <c r="H35" t="s">
        <v>20</v>
      </c>
      <c r="M35" s="2">
        <v>0</v>
      </c>
    </row>
    <row r="36" spans="1:13" ht="12.75">
      <c r="A36" t="s">
        <v>21</v>
      </c>
      <c r="D36" s="2">
        <v>1</v>
      </c>
      <c r="H36" t="s">
        <v>21</v>
      </c>
      <c r="M36" s="2">
        <v>0</v>
      </c>
    </row>
    <row r="38" spans="1:13" ht="12.75">
      <c r="A38" t="s">
        <v>22</v>
      </c>
      <c r="D38" s="2">
        <v>5</v>
      </c>
      <c r="H38" t="s">
        <v>22</v>
      </c>
      <c r="M38" s="2">
        <v>3</v>
      </c>
    </row>
    <row r="39" spans="1:13" ht="12.75">
      <c r="A39" t="s">
        <v>23</v>
      </c>
      <c r="D39" s="2">
        <v>206</v>
      </c>
      <c r="H39" t="s">
        <v>23</v>
      </c>
      <c r="M39" s="2">
        <v>162</v>
      </c>
    </row>
    <row r="40" spans="1:13" ht="12.75">
      <c r="A40" t="s">
        <v>24</v>
      </c>
      <c r="D40" s="8">
        <f>+D39/D38</f>
        <v>41.2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54</v>
      </c>
    </row>
    <row r="42" spans="1:13" ht="12.75">
      <c r="A42" t="s">
        <v>25</v>
      </c>
      <c r="D42" s="2">
        <v>1</v>
      </c>
      <c r="H42" t="s">
        <v>25</v>
      </c>
      <c r="M42" s="2">
        <v>2</v>
      </c>
    </row>
    <row r="43" spans="1:13" ht="12.75">
      <c r="A43" t="s">
        <v>26</v>
      </c>
      <c r="D43" s="2">
        <v>9</v>
      </c>
      <c r="H43" t="s">
        <v>26</v>
      </c>
      <c r="M43" s="2">
        <v>4</v>
      </c>
    </row>
    <row r="44" spans="1:13" ht="12.75">
      <c r="A44" t="s">
        <v>27</v>
      </c>
      <c r="D44" s="8">
        <v>0</v>
      </c>
      <c r="H44" t="s">
        <v>27</v>
      </c>
      <c r="M44" s="8">
        <f>+M43/M42</f>
        <v>2</v>
      </c>
    </row>
    <row r="45" spans="1:13" ht="12.75">
      <c r="A45" t="s">
        <v>106</v>
      </c>
      <c r="D45" s="2">
        <v>1</v>
      </c>
      <c r="H45" t="s">
        <v>106</v>
      </c>
      <c r="M45" s="2">
        <v>0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2</v>
      </c>
      <c r="H48" t="s">
        <v>30</v>
      </c>
      <c r="M48" s="2">
        <v>4</v>
      </c>
    </row>
    <row r="49" spans="1:13" ht="12.75">
      <c r="A49" t="s">
        <v>26</v>
      </c>
      <c r="D49" s="2">
        <v>29</v>
      </c>
      <c r="H49" t="s">
        <v>26</v>
      </c>
      <c r="M49" s="2">
        <v>62</v>
      </c>
    </row>
    <row r="50" spans="1:13" ht="12.75">
      <c r="A50" t="s">
        <v>27</v>
      </c>
      <c r="D50" s="8">
        <f>+D49/D48</f>
        <v>14.5</v>
      </c>
      <c r="H50" t="s">
        <v>27</v>
      </c>
      <c r="M50" s="8">
        <f>+M49/M48</f>
        <v>15.5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6</v>
      </c>
      <c r="H53" t="s">
        <v>31</v>
      </c>
      <c r="M53" s="2">
        <v>6</v>
      </c>
    </row>
    <row r="54" spans="1:13" ht="12.75">
      <c r="A54" t="s">
        <v>32</v>
      </c>
      <c r="D54" s="2">
        <v>65</v>
      </c>
      <c r="H54" t="s">
        <v>32</v>
      </c>
      <c r="M54" s="2">
        <v>41</v>
      </c>
    </row>
    <row r="56" spans="1:13" ht="12.75">
      <c r="A56" t="s">
        <v>33</v>
      </c>
      <c r="D56" s="2">
        <v>1</v>
      </c>
      <c r="H56" t="s">
        <v>33</v>
      </c>
      <c r="M56" s="2">
        <v>2</v>
      </c>
    </row>
    <row r="57" spans="1:13" ht="12.75">
      <c r="A57" t="s">
        <v>101</v>
      </c>
      <c r="D57" s="2">
        <v>0</v>
      </c>
      <c r="H57" t="s">
        <v>101</v>
      </c>
      <c r="M57" s="2">
        <v>1</v>
      </c>
    </row>
    <row r="59" spans="1:13" ht="12.75">
      <c r="A59" t="s">
        <v>34</v>
      </c>
      <c r="D59" s="2">
        <v>26</v>
      </c>
      <c r="H59" t="s">
        <v>34</v>
      </c>
      <c r="M59" s="2">
        <v>7</v>
      </c>
    </row>
    <row r="60" spans="1:13" ht="12.75">
      <c r="A60" t="s">
        <v>35</v>
      </c>
      <c r="D60" s="2">
        <v>3</v>
      </c>
      <c r="H60" t="s">
        <v>35</v>
      </c>
      <c r="M60" s="2">
        <v>1</v>
      </c>
    </row>
    <row r="61" spans="1:13" ht="12.75">
      <c r="A61" t="s">
        <v>36</v>
      </c>
      <c r="D61" s="2">
        <v>1</v>
      </c>
      <c r="H61" t="s">
        <v>36</v>
      </c>
      <c r="M61" s="2">
        <v>0</v>
      </c>
    </row>
    <row r="62" spans="1:13" ht="12.75">
      <c r="A62" t="s">
        <v>37</v>
      </c>
      <c r="D62" s="2">
        <v>2</v>
      </c>
      <c r="H62" t="s">
        <v>37</v>
      </c>
      <c r="M62" s="2">
        <v>0</v>
      </c>
    </row>
    <row r="63" spans="1:13" ht="12.75">
      <c r="A63" t="s">
        <v>38</v>
      </c>
      <c r="D63" s="2">
        <v>0</v>
      </c>
      <c r="H63" t="s">
        <v>38</v>
      </c>
      <c r="M63" s="2">
        <v>1</v>
      </c>
    </row>
    <row r="64" spans="1:13" ht="12.75">
      <c r="A64" t="s">
        <v>39</v>
      </c>
      <c r="D64" s="2">
        <v>3</v>
      </c>
      <c r="H64" t="s">
        <v>39</v>
      </c>
      <c r="M64" s="2">
        <v>1</v>
      </c>
    </row>
    <row r="65" spans="1:13" ht="12.75">
      <c r="A65" t="s">
        <v>40</v>
      </c>
      <c r="D65" s="2">
        <v>1</v>
      </c>
      <c r="H65" t="s">
        <v>40</v>
      </c>
      <c r="M65" s="2">
        <v>0</v>
      </c>
    </row>
    <row r="66" spans="1:13" ht="12.75">
      <c r="A66" t="s">
        <v>41</v>
      </c>
      <c r="D66" s="2">
        <v>1</v>
      </c>
      <c r="H66" t="s">
        <v>41</v>
      </c>
      <c r="M66" s="2">
        <v>0</v>
      </c>
    </row>
    <row r="67" spans="1:13" ht="12.75">
      <c r="A67" t="s">
        <v>42</v>
      </c>
      <c r="D67" s="2">
        <v>1</v>
      </c>
      <c r="H67" t="s">
        <v>42</v>
      </c>
      <c r="M67" s="2">
        <v>2</v>
      </c>
    </row>
    <row r="68" spans="1:13" ht="12.75">
      <c r="A68" t="s">
        <v>43</v>
      </c>
      <c r="D68" s="8">
        <f>+D66/D67*100</f>
        <v>100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0</v>
      </c>
    </row>
    <row r="69" spans="1:13" ht="12.75">
      <c r="A69" t="s">
        <v>92</v>
      </c>
      <c r="D69" s="10" t="str">
        <f>IF(V23&lt;10,V27,V26)</f>
        <v>34:28</v>
      </c>
      <c r="E69" s="8"/>
      <c r="F69" s="8"/>
      <c r="H69" t="s">
        <v>92</v>
      </c>
      <c r="M69" s="10" t="str">
        <f>IF(W23&lt;10,W27,W26)</f>
        <v>25:32</v>
      </c>
    </row>
    <row r="70" spans="1:13" ht="12.75">
      <c r="A70" t="s">
        <v>102</v>
      </c>
      <c r="D70" s="23">
        <f>D161</f>
        <v>43.75</v>
      </c>
      <c r="E70" s="8"/>
      <c r="F70" s="8"/>
      <c r="H70" t="s">
        <v>102</v>
      </c>
      <c r="M70" s="23">
        <f>M161</f>
        <v>30.76923076923077</v>
      </c>
    </row>
    <row r="71" spans="4:13" ht="12.75">
      <c r="D71" s="2"/>
      <c r="M71" s="2"/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110</v>
      </c>
      <c r="C74">
        <v>21</v>
      </c>
      <c r="D74">
        <v>120</v>
      </c>
      <c r="E74" s="12">
        <f aca="true" t="shared" si="0" ref="E74:E84">+D74/C74</f>
        <v>5.714285714285714</v>
      </c>
      <c r="F74">
        <v>60</v>
      </c>
      <c r="G74">
        <v>1</v>
      </c>
      <c r="H74">
        <v>1</v>
      </c>
    </row>
    <row r="75" spans="1:8" ht="12.75">
      <c r="A75" t="s">
        <v>111</v>
      </c>
      <c r="C75">
        <v>7</v>
      </c>
      <c r="D75">
        <v>35</v>
      </c>
      <c r="E75" s="12">
        <f t="shared" si="0"/>
        <v>5</v>
      </c>
      <c r="F75">
        <v>13</v>
      </c>
      <c r="G75">
        <v>0</v>
      </c>
      <c r="H75">
        <v>0</v>
      </c>
    </row>
    <row r="76" spans="1:5" ht="12.75">
      <c r="A76" t="s">
        <v>112</v>
      </c>
      <c r="E76" s="12" t="e">
        <f t="shared" si="0"/>
        <v>#DIV/0!</v>
      </c>
    </row>
    <row r="77" spans="1:8" ht="12.75">
      <c r="A77" t="s">
        <v>113</v>
      </c>
      <c r="C77">
        <v>1</v>
      </c>
      <c r="D77">
        <v>1</v>
      </c>
      <c r="E77" s="12">
        <f t="shared" si="0"/>
        <v>1</v>
      </c>
      <c r="F77">
        <v>1</v>
      </c>
      <c r="G77">
        <v>0</v>
      </c>
      <c r="H77">
        <v>0</v>
      </c>
    </row>
    <row r="78" spans="1:5" ht="12.75">
      <c r="A78" t="s">
        <v>108</v>
      </c>
      <c r="E78" s="12" t="e">
        <f t="shared" si="0"/>
        <v>#DIV/0!</v>
      </c>
    </row>
    <row r="79" spans="1:8" ht="12.75">
      <c r="A79" t="s">
        <v>114</v>
      </c>
      <c r="C79">
        <v>1</v>
      </c>
      <c r="D79">
        <v>-6</v>
      </c>
      <c r="E79" s="12">
        <f t="shared" si="0"/>
        <v>-6</v>
      </c>
      <c r="F79">
        <v>-6</v>
      </c>
      <c r="G79">
        <v>0</v>
      </c>
      <c r="H79">
        <v>0</v>
      </c>
    </row>
    <row r="80" spans="1:8" ht="12.75">
      <c r="A80" t="s">
        <v>115</v>
      </c>
      <c r="C80">
        <v>2</v>
      </c>
      <c r="D80">
        <v>9</v>
      </c>
      <c r="E80" s="12">
        <f t="shared" si="0"/>
        <v>4.5</v>
      </c>
      <c r="F80">
        <v>6</v>
      </c>
      <c r="G80">
        <v>0</v>
      </c>
      <c r="H80">
        <v>0</v>
      </c>
    </row>
    <row r="81" spans="1:5" ht="12.75">
      <c r="A81" t="s">
        <v>116</v>
      </c>
      <c r="E81" s="12" t="e">
        <f t="shared" si="0"/>
        <v>#DIV/0!</v>
      </c>
    </row>
    <row r="82" spans="1:5" ht="12.75">
      <c r="A82" t="s">
        <v>117</v>
      </c>
      <c r="E82" s="12" t="e">
        <f t="shared" si="0"/>
        <v>#DIV/0!</v>
      </c>
    </row>
    <row r="83" spans="1:5" ht="12.75">
      <c r="A83" t="s">
        <v>118</v>
      </c>
      <c r="E83" s="12" t="e">
        <f t="shared" si="0"/>
        <v>#DIV/0!</v>
      </c>
    </row>
    <row r="84" spans="1:5" ht="12.75">
      <c r="A84" t="s">
        <v>107</v>
      </c>
      <c r="E84" s="12" t="e">
        <f t="shared" si="0"/>
        <v>#DIV/0!</v>
      </c>
    </row>
    <row r="85" ht="12.75">
      <c r="E85" s="8"/>
    </row>
    <row r="86" spans="1:8" ht="12.75">
      <c r="A86" s="2" t="s">
        <v>52</v>
      </c>
      <c r="C86" s="3" t="s">
        <v>53</v>
      </c>
      <c r="D86" s="3" t="s">
        <v>48</v>
      </c>
      <c r="E86" s="15" t="s">
        <v>49</v>
      </c>
      <c r="F86" s="3" t="s">
        <v>50</v>
      </c>
      <c r="G86" s="3" t="s">
        <v>51</v>
      </c>
      <c r="H86" s="3" t="s">
        <v>80</v>
      </c>
    </row>
    <row r="87" spans="1:8" ht="12.75">
      <c r="A87" t="s">
        <v>107</v>
      </c>
      <c r="C87">
        <v>6</v>
      </c>
      <c r="D87">
        <v>139</v>
      </c>
      <c r="E87" s="12">
        <f aca="true" t="shared" si="1" ref="E87:E98">+D87/C87</f>
        <v>23.166666666666668</v>
      </c>
      <c r="F87">
        <v>38</v>
      </c>
      <c r="G87">
        <v>2</v>
      </c>
      <c r="H87">
        <v>0</v>
      </c>
    </row>
    <row r="88" spans="1:8" ht="12.75">
      <c r="A88" t="s">
        <v>119</v>
      </c>
      <c r="C88">
        <v>3</v>
      </c>
      <c r="D88">
        <v>39</v>
      </c>
      <c r="E88" s="12">
        <f t="shared" si="1"/>
        <v>13</v>
      </c>
      <c r="F88">
        <v>20</v>
      </c>
      <c r="G88">
        <v>0</v>
      </c>
      <c r="H88">
        <v>0</v>
      </c>
    </row>
    <row r="89" spans="1:8" ht="12.75">
      <c r="A89" t="s">
        <v>120</v>
      </c>
      <c r="C89">
        <v>3</v>
      </c>
      <c r="D89">
        <v>29</v>
      </c>
      <c r="E89" s="12">
        <f t="shared" si="1"/>
        <v>9.666666666666666</v>
      </c>
      <c r="F89">
        <v>12</v>
      </c>
      <c r="G89">
        <v>0</v>
      </c>
      <c r="H89">
        <v>0</v>
      </c>
    </row>
    <row r="90" spans="1:8" ht="12.75">
      <c r="A90" t="s">
        <v>110</v>
      </c>
      <c r="C90">
        <v>5</v>
      </c>
      <c r="D90">
        <v>52</v>
      </c>
      <c r="E90" s="12">
        <f t="shared" si="1"/>
        <v>10.4</v>
      </c>
      <c r="F90">
        <v>13</v>
      </c>
      <c r="G90">
        <v>0</v>
      </c>
      <c r="H90">
        <v>0</v>
      </c>
    </row>
    <row r="91" spans="1:8" ht="12.75">
      <c r="A91" t="s">
        <v>111</v>
      </c>
      <c r="C91">
        <v>5</v>
      </c>
      <c r="D91">
        <v>37</v>
      </c>
      <c r="E91" s="12">
        <f t="shared" si="1"/>
        <v>7.4</v>
      </c>
      <c r="F91">
        <v>10</v>
      </c>
      <c r="G91">
        <v>0</v>
      </c>
      <c r="H91">
        <v>0</v>
      </c>
    </row>
    <row r="92" spans="1:8" ht="12.75">
      <c r="A92" t="s">
        <v>116</v>
      </c>
      <c r="C92">
        <v>1</v>
      </c>
      <c r="D92">
        <v>-2</v>
      </c>
      <c r="E92" s="12">
        <f t="shared" si="1"/>
        <v>-2</v>
      </c>
      <c r="F92">
        <v>-2</v>
      </c>
      <c r="G92">
        <v>0</v>
      </c>
      <c r="H92">
        <v>0</v>
      </c>
    </row>
    <row r="93" spans="1:5" ht="12.75">
      <c r="A93" t="s">
        <v>121</v>
      </c>
      <c r="E93" s="12" t="e">
        <f t="shared" si="1"/>
        <v>#DIV/0!</v>
      </c>
    </row>
    <row r="94" spans="1:8" ht="12.75">
      <c r="A94" t="s">
        <v>122</v>
      </c>
      <c r="C94">
        <v>1</v>
      </c>
      <c r="D94">
        <v>4</v>
      </c>
      <c r="E94" s="12">
        <f t="shared" si="1"/>
        <v>4</v>
      </c>
      <c r="F94">
        <v>4</v>
      </c>
      <c r="G94">
        <v>0</v>
      </c>
      <c r="H94">
        <v>0</v>
      </c>
    </row>
    <row r="95" spans="1:5" ht="12.75">
      <c r="A95" t="s">
        <v>115</v>
      </c>
      <c r="E95" s="12" t="e">
        <f t="shared" si="1"/>
        <v>#DIV/0!</v>
      </c>
    </row>
    <row r="96" spans="1:5" ht="12.75">
      <c r="A96" t="s">
        <v>123</v>
      </c>
      <c r="E96" s="12" t="e">
        <f t="shared" si="1"/>
        <v>#DIV/0!</v>
      </c>
    </row>
    <row r="97" spans="1:5" ht="12.75">
      <c r="A97" t="s">
        <v>113</v>
      </c>
      <c r="E97" s="12" t="e">
        <f t="shared" si="1"/>
        <v>#DIV/0!</v>
      </c>
    </row>
    <row r="98" spans="1:5" ht="12.75">
      <c r="A98" t="s">
        <v>114</v>
      </c>
      <c r="E98" s="12" t="e">
        <f t="shared" si="1"/>
        <v>#DIV/0!</v>
      </c>
    </row>
    <row r="99" ht="12.75">
      <c r="E99" s="8"/>
    </row>
    <row r="100" spans="1:13" ht="12.75">
      <c r="A100" s="2"/>
      <c r="B100" s="2"/>
      <c r="C100" s="3"/>
      <c r="D100" s="3"/>
      <c r="E100" s="15" t="s">
        <v>57</v>
      </c>
      <c r="F100" s="3" t="s">
        <v>58</v>
      </c>
      <c r="G100" s="3"/>
      <c r="H100" s="3"/>
      <c r="I100" s="3" t="s">
        <v>61</v>
      </c>
      <c r="J100" s="3" t="s">
        <v>63</v>
      </c>
      <c r="K100" s="3" t="s">
        <v>57</v>
      </c>
      <c r="L100" s="3" t="s">
        <v>49</v>
      </c>
      <c r="M100" s="3"/>
    </row>
    <row r="101" spans="1:14" ht="12.75">
      <c r="A101" s="2" t="s">
        <v>54</v>
      </c>
      <c r="B101" s="2"/>
      <c r="C101" s="3" t="s">
        <v>55</v>
      </c>
      <c r="D101" s="3" t="s">
        <v>56</v>
      </c>
      <c r="E101" s="15" t="s">
        <v>56</v>
      </c>
      <c r="F101" s="3" t="s">
        <v>59</v>
      </c>
      <c r="G101" s="3" t="s">
        <v>51</v>
      </c>
      <c r="H101" s="3" t="s">
        <v>60</v>
      </c>
      <c r="I101" s="5" t="s">
        <v>62</v>
      </c>
      <c r="J101" s="3" t="s">
        <v>51</v>
      </c>
      <c r="K101" s="3" t="s">
        <v>64</v>
      </c>
      <c r="L101" s="3" t="s">
        <v>65</v>
      </c>
      <c r="M101" s="3" t="s">
        <v>66</v>
      </c>
      <c r="N101" s="3" t="s">
        <v>80</v>
      </c>
    </row>
    <row r="102" spans="1:25" ht="12.75">
      <c r="A102" t="s">
        <v>113</v>
      </c>
      <c r="C102">
        <v>34</v>
      </c>
      <c r="D102">
        <v>20</v>
      </c>
      <c r="E102" s="12">
        <f>+D102/C102*100</f>
        <v>58.82352941176471</v>
      </c>
      <c r="F102">
        <v>182</v>
      </c>
      <c r="G102">
        <v>1</v>
      </c>
      <c r="H102">
        <v>20</v>
      </c>
      <c r="I102">
        <v>1</v>
      </c>
      <c r="J102" s="8">
        <f>+G102/C102*100</f>
        <v>2.941176470588235</v>
      </c>
      <c r="K102" s="12">
        <f>+I102/C102*100</f>
        <v>2.941176470588235</v>
      </c>
      <c r="L102" s="12">
        <f>+F102/C102</f>
        <v>5.352941176470588</v>
      </c>
      <c r="M102" s="12">
        <f>100*(S102+U102+W102+Y102)/6</f>
        <v>70.95588235294117</v>
      </c>
      <c r="R102">
        <f>+(E102-30)/20</f>
        <v>1.4411764705882355</v>
      </c>
      <c r="S102" s="2">
        <f>IF(R102&lt;0,0,IF(R102&gt;2.375,2.375,R102))</f>
        <v>1.4411764705882355</v>
      </c>
      <c r="T102" s="6">
        <f>+(L102-3)/4</f>
        <v>0.588235294117647</v>
      </c>
      <c r="U102" s="2">
        <f>IF(T102&lt;0,0,IF(T102&gt;2.375,2.375,T102))</f>
        <v>0.588235294117647</v>
      </c>
      <c r="V102">
        <f>+J102/5</f>
        <v>0.588235294117647</v>
      </c>
      <c r="W102" s="2">
        <f>IF(V102&lt;0,0,IF(V102&gt;2.375,2.375,V102))</f>
        <v>0.588235294117647</v>
      </c>
      <c r="X102">
        <f>(9.5-K102)/4</f>
        <v>1.6397058823529411</v>
      </c>
      <c r="Y102" s="2">
        <f>IF(X102&lt;0,0,X102)</f>
        <v>1.6397058823529411</v>
      </c>
    </row>
    <row r="103" spans="1:25" ht="12.75">
      <c r="A103" t="s">
        <v>112</v>
      </c>
      <c r="C103">
        <v>5</v>
      </c>
      <c r="D103">
        <v>4</v>
      </c>
      <c r="E103" s="12">
        <f>+D103/C103*100</f>
        <v>80</v>
      </c>
      <c r="F103">
        <v>116</v>
      </c>
      <c r="G103">
        <v>1</v>
      </c>
      <c r="H103">
        <v>38</v>
      </c>
      <c r="I103">
        <v>0</v>
      </c>
      <c r="J103" s="8">
        <f>+G103/C103*100</f>
        <v>20</v>
      </c>
      <c r="K103" s="12">
        <f>+I103/C103*100</f>
        <v>0</v>
      </c>
      <c r="L103" s="12">
        <f>+F103/C103</f>
        <v>23.2</v>
      </c>
      <c r="M103" s="12">
        <f>100*(S103+U103+W103+Y103)/6</f>
        <v>158.33333333333334</v>
      </c>
      <c r="R103">
        <f>+(E103-30)/20</f>
        <v>2.5</v>
      </c>
      <c r="S103" s="2">
        <f>IF(R103&lt;0,0,IF(R103&gt;2.375,2.375,R103))</f>
        <v>2.375</v>
      </c>
      <c r="T103" s="6">
        <f>+(L103-3)/4</f>
        <v>5.05</v>
      </c>
      <c r="U103" s="2">
        <f>IF(T103&lt;0,0,IF(T103&gt;2.375,2.375,T103))</f>
        <v>2.375</v>
      </c>
      <c r="V103">
        <f>+J103/5</f>
        <v>4</v>
      </c>
      <c r="W103" s="2">
        <f>IF(V103&lt;0,0,IF(V103&gt;2.375,2.375,V103))</f>
        <v>2.375</v>
      </c>
      <c r="X103">
        <f>(9.5-K103)/4</f>
        <v>2.375</v>
      </c>
      <c r="Y103" s="2">
        <f>IF(X103&lt;0,0,X103)</f>
        <v>2.375</v>
      </c>
    </row>
    <row r="104" spans="1:25" ht="12.75">
      <c r="A104" t="s">
        <v>118</v>
      </c>
      <c r="E104" s="12" t="e">
        <f>+D104/C104*100</f>
        <v>#DIV/0!</v>
      </c>
      <c r="J104" s="8" t="e">
        <f>+G104/C104*100</f>
        <v>#DIV/0!</v>
      </c>
      <c r="K104" s="12" t="e">
        <f>+I104/C104*100</f>
        <v>#DIV/0!</v>
      </c>
      <c r="L104" s="12" t="e">
        <f>+F104/C104</f>
        <v>#DIV/0!</v>
      </c>
      <c r="M104" s="12" t="e">
        <f>100*(S104+U104+W104+Y104)/6</f>
        <v>#DIV/0!</v>
      </c>
      <c r="R104" t="e">
        <f>+(E104-30)/20</f>
        <v>#DIV/0!</v>
      </c>
      <c r="S104" s="2" t="e">
        <f>IF(R104&lt;0,0,IF(R104&gt;2.375,2.375,R104))</f>
        <v>#DIV/0!</v>
      </c>
      <c r="T104" s="6" t="e">
        <f>+(L104-3)/4</f>
        <v>#DIV/0!</v>
      </c>
      <c r="U104" s="2" t="e">
        <f>IF(T104&lt;0,0,IF(T104&gt;2.375,2.375,T104))</f>
        <v>#DIV/0!</v>
      </c>
      <c r="V104" t="e">
        <f>+J104/5</f>
        <v>#DIV/0!</v>
      </c>
      <c r="W104" s="2" t="e">
        <f>IF(V104&lt;0,0,IF(V104&gt;2.375,2.375,V104))</f>
        <v>#DIV/0!</v>
      </c>
      <c r="X104" t="e">
        <f>(9.5-K104)/4</f>
        <v>#DIV/0!</v>
      </c>
      <c r="Y104" s="2" t="e">
        <f>IF(X104&lt;0,0,X104)</f>
        <v>#DIV/0!</v>
      </c>
    </row>
    <row r="105" spans="1:25" ht="12.75">
      <c r="A105" t="s">
        <v>116</v>
      </c>
      <c r="E105" s="12" t="e">
        <f>+D105/C105*100</f>
        <v>#DIV/0!</v>
      </c>
      <c r="J105" s="8" t="e">
        <f>+G105/C105*100</f>
        <v>#DIV/0!</v>
      </c>
      <c r="K105" s="12" t="e">
        <f>+I105/C105*100</f>
        <v>#DIV/0!</v>
      </c>
      <c r="L105" s="12" t="e">
        <f>+F105/C105</f>
        <v>#DIV/0!</v>
      </c>
      <c r="M105" s="12" t="e">
        <f>100*(S105+U105+W105+Y105)/6</f>
        <v>#DIV/0!</v>
      </c>
      <c r="R105" t="e">
        <f>+(E105-30)/20</f>
        <v>#DIV/0!</v>
      </c>
      <c r="S105" s="2" t="e">
        <f>IF(R105&lt;0,0,IF(R105&gt;2.375,2.375,R105))</f>
        <v>#DIV/0!</v>
      </c>
      <c r="T105" s="6" t="e">
        <f>+(L105-3)/4</f>
        <v>#DIV/0!</v>
      </c>
      <c r="U105" s="2" t="e">
        <f>IF(T105&lt;0,0,IF(T105&gt;2.375,2.375,T105))</f>
        <v>#DIV/0!</v>
      </c>
      <c r="V105" t="e">
        <f>+J105/5</f>
        <v>#DIV/0!</v>
      </c>
      <c r="W105" s="2" t="e">
        <f>IF(V105&lt;0,0,IF(V105&gt;2.375,2.375,V105))</f>
        <v>#DIV/0!</v>
      </c>
      <c r="X105" t="e">
        <f>(9.5-K105)/4</f>
        <v>#DIV/0!</v>
      </c>
      <c r="Y105" s="2" t="e">
        <f>IF(X105&lt;0,0,X105)</f>
        <v>#DIV/0!</v>
      </c>
    </row>
    <row r="106" spans="1:25" ht="12.75">
      <c r="A106" t="s">
        <v>107</v>
      </c>
      <c r="E106" s="12" t="e">
        <f>+D106/C106*100</f>
        <v>#DIV/0!</v>
      </c>
      <c r="J106" s="8" t="e">
        <f>+G106/C106*100</f>
        <v>#DIV/0!</v>
      </c>
      <c r="K106" s="12" t="e">
        <f>+I106/C106*100</f>
        <v>#DIV/0!</v>
      </c>
      <c r="L106" s="12" t="e">
        <f>+F106/C106</f>
        <v>#DIV/0!</v>
      </c>
      <c r="M106" s="12" t="e">
        <f>100*(S106+U106+W106+Y106)/6</f>
        <v>#DIV/0!</v>
      </c>
      <c r="R106" t="e">
        <f>+(E106-30)/20</f>
        <v>#DIV/0!</v>
      </c>
      <c r="S106" s="2" t="e">
        <f>IF(R106&lt;0,0,IF(R106&gt;2.375,2.375,R106))</f>
        <v>#DIV/0!</v>
      </c>
      <c r="T106" s="6" t="e">
        <f>+(L106-3)/4</f>
        <v>#DIV/0!</v>
      </c>
      <c r="U106" s="2" t="e">
        <f>IF(T106&lt;0,0,IF(T106&gt;2.375,2.375,T106))</f>
        <v>#DIV/0!</v>
      </c>
      <c r="V106" t="e">
        <f>+J106/5</f>
        <v>#DIV/0!</v>
      </c>
      <c r="W106" s="2" t="e">
        <f>IF(V106&lt;0,0,IF(V106&gt;2.375,2.375,V106))</f>
        <v>#DIV/0!</v>
      </c>
      <c r="X106" t="e">
        <f>(9.5-K106)/4</f>
        <v>#DIV/0!</v>
      </c>
      <c r="Y106" s="2" t="e">
        <f>IF(X106&lt;0,0,X106)</f>
        <v>#DIV/0!</v>
      </c>
    </row>
    <row r="109" spans="1:9" ht="12.75">
      <c r="A109" s="2" t="s">
        <v>67</v>
      </c>
      <c r="C109" s="3" t="s">
        <v>68</v>
      </c>
      <c r="D109" s="3" t="s">
        <v>69</v>
      </c>
      <c r="E109" s="3" t="s">
        <v>70</v>
      </c>
      <c r="F109" s="3" t="s">
        <v>49</v>
      </c>
      <c r="G109" s="3" t="s">
        <v>60</v>
      </c>
      <c r="H109" s="3" t="s">
        <v>51</v>
      </c>
      <c r="I109" s="3" t="s">
        <v>80</v>
      </c>
    </row>
    <row r="110" spans="1:9" ht="12.75">
      <c r="A110" t="s">
        <v>124</v>
      </c>
      <c r="C110">
        <v>1</v>
      </c>
      <c r="D110">
        <v>1</v>
      </c>
      <c r="E110">
        <v>9</v>
      </c>
      <c r="F110" s="12">
        <v>0</v>
      </c>
      <c r="G110">
        <v>9</v>
      </c>
      <c r="H110">
        <v>0</v>
      </c>
      <c r="I110">
        <v>0</v>
      </c>
    </row>
    <row r="111" spans="1:6" ht="12.75">
      <c r="A111" t="s">
        <v>123</v>
      </c>
      <c r="F111" s="12" t="e">
        <f>+E111/C111</f>
        <v>#DIV/0!</v>
      </c>
    </row>
    <row r="112" spans="1:6" ht="12.75">
      <c r="A112" t="s">
        <v>117</v>
      </c>
      <c r="F112" s="12" t="e">
        <f>+E112/C112</f>
        <v>#DIV/0!</v>
      </c>
    </row>
    <row r="114" spans="1:8" ht="12.75">
      <c r="A114" s="2" t="s">
        <v>30</v>
      </c>
      <c r="C114" s="3" t="s">
        <v>68</v>
      </c>
      <c r="D114" s="3" t="s">
        <v>70</v>
      </c>
      <c r="E114" s="3" t="s">
        <v>49</v>
      </c>
      <c r="F114" s="3" t="s">
        <v>60</v>
      </c>
      <c r="G114" s="3" t="s">
        <v>51</v>
      </c>
      <c r="H114" s="3" t="s">
        <v>80</v>
      </c>
    </row>
    <row r="115" spans="1:8" ht="12.75">
      <c r="A115" t="s">
        <v>114</v>
      </c>
      <c r="C115">
        <v>1</v>
      </c>
      <c r="D115">
        <v>19</v>
      </c>
      <c r="E115" s="12">
        <f aca="true" t="shared" si="2" ref="E115:E120">+D115/C115</f>
        <v>19</v>
      </c>
      <c r="F115">
        <v>19</v>
      </c>
      <c r="G115">
        <v>0</v>
      </c>
      <c r="H115">
        <v>0</v>
      </c>
    </row>
    <row r="116" spans="1:5" ht="12.75">
      <c r="A116" t="s">
        <v>125</v>
      </c>
      <c r="E116" s="12" t="e">
        <f t="shared" si="2"/>
        <v>#DIV/0!</v>
      </c>
    </row>
    <row r="117" spans="1:8" ht="12.75">
      <c r="A117" t="s">
        <v>116</v>
      </c>
      <c r="C117">
        <v>1</v>
      </c>
      <c r="D117">
        <v>10</v>
      </c>
      <c r="E117" s="12">
        <f t="shared" si="2"/>
        <v>10</v>
      </c>
      <c r="F117">
        <v>10</v>
      </c>
      <c r="G117">
        <v>0</v>
      </c>
      <c r="H117">
        <v>0</v>
      </c>
    </row>
    <row r="118" spans="1:5" ht="12.75">
      <c r="A118" t="s">
        <v>108</v>
      </c>
      <c r="E118" s="12" t="e">
        <f t="shared" si="2"/>
        <v>#DIV/0!</v>
      </c>
    </row>
    <row r="119" spans="1:5" ht="12.75">
      <c r="A119" t="s">
        <v>115</v>
      </c>
      <c r="E119" s="12" t="e">
        <f t="shared" si="2"/>
        <v>#DIV/0!</v>
      </c>
    </row>
    <row r="120" spans="1:5" ht="12.75">
      <c r="A120" t="s">
        <v>121</v>
      </c>
      <c r="E120" s="12" t="e">
        <f t="shared" si="2"/>
        <v>#DIV/0!</v>
      </c>
    </row>
    <row r="122" spans="1:7" ht="12.75">
      <c r="A122" s="2" t="s">
        <v>71</v>
      </c>
      <c r="C122" s="3" t="s">
        <v>68</v>
      </c>
      <c r="D122" s="3" t="s">
        <v>70</v>
      </c>
      <c r="E122" s="3" t="s">
        <v>49</v>
      </c>
      <c r="F122" s="3" t="s">
        <v>60</v>
      </c>
      <c r="G122" s="3" t="s">
        <v>72</v>
      </c>
    </row>
    <row r="123" spans="1:7" ht="12.75">
      <c r="A123" t="s">
        <v>126</v>
      </c>
      <c r="C123">
        <v>5</v>
      </c>
      <c r="D123">
        <v>206</v>
      </c>
      <c r="E123" s="12">
        <f>+D123/C123</f>
        <v>41.2</v>
      </c>
      <c r="F123">
        <v>54</v>
      </c>
      <c r="G123">
        <v>0</v>
      </c>
    </row>
    <row r="124" spans="1:5" ht="12.75">
      <c r="A124" t="s">
        <v>113</v>
      </c>
      <c r="E124" s="12" t="e">
        <f>+D124/C124</f>
        <v>#DIV/0!</v>
      </c>
    </row>
    <row r="125" ht="12.75">
      <c r="I125" s="5" t="s">
        <v>63</v>
      </c>
    </row>
    <row r="126" spans="1:10" ht="12.75">
      <c r="A126" s="4" t="s">
        <v>79</v>
      </c>
      <c r="C126" s="3" t="s">
        <v>73</v>
      </c>
      <c r="D126" s="3" t="s">
        <v>74</v>
      </c>
      <c r="E126" s="3" t="s">
        <v>75</v>
      </c>
      <c r="F126" s="3" t="s">
        <v>76</v>
      </c>
      <c r="G126" s="3" t="s">
        <v>77</v>
      </c>
      <c r="H126" s="3" t="s">
        <v>78</v>
      </c>
      <c r="I126" s="3" t="s">
        <v>82</v>
      </c>
      <c r="J126" s="3" t="s">
        <v>60</v>
      </c>
    </row>
    <row r="127" spans="1:10" ht="12.75">
      <c r="A127" t="s">
        <v>127</v>
      </c>
      <c r="C127">
        <v>4</v>
      </c>
      <c r="D127">
        <v>0</v>
      </c>
      <c r="E127">
        <v>3</v>
      </c>
      <c r="F127">
        <v>3</v>
      </c>
      <c r="G127">
        <v>1</v>
      </c>
      <c r="H127">
        <v>1</v>
      </c>
      <c r="I127" s="12">
        <f>+H127/G127*100</f>
        <v>100</v>
      </c>
      <c r="J127">
        <v>43</v>
      </c>
    </row>
    <row r="129" spans="1:8" ht="12.75">
      <c r="A129" s="2" t="s">
        <v>81</v>
      </c>
      <c r="C129" s="3" t="s">
        <v>68</v>
      </c>
      <c r="D129" s="3" t="s">
        <v>70</v>
      </c>
      <c r="E129" s="3" t="s">
        <v>49</v>
      </c>
      <c r="F129" s="3" t="s">
        <v>60</v>
      </c>
      <c r="G129" s="3" t="s">
        <v>51</v>
      </c>
      <c r="H129" s="3" t="s">
        <v>80</v>
      </c>
    </row>
    <row r="130" spans="1:5" ht="12.75">
      <c r="A130" t="s">
        <v>128</v>
      </c>
      <c r="E130" s="12" t="e">
        <f>+D130/C130</f>
        <v>#DIV/0!</v>
      </c>
    </row>
    <row r="131" spans="1:5" ht="12.75">
      <c r="A131" t="s">
        <v>129</v>
      </c>
      <c r="E131" s="12" t="e">
        <f aca="true" t="shared" si="3" ref="E131:E138">+D131/C131</f>
        <v>#DIV/0!</v>
      </c>
    </row>
    <row r="132" spans="1:5" ht="12.75">
      <c r="A132" t="s">
        <v>130</v>
      </c>
      <c r="E132" s="12" t="e">
        <f t="shared" si="3"/>
        <v>#DIV/0!</v>
      </c>
    </row>
    <row r="133" spans="1:8" ht="12.75">
      <c r="A133" t="s">
        <v>124</v>
      </c>
      <c r="C133">
        <v>1</v>
      </c>
      <c r="D133">
        <v>0</v>
      </c>
      <c r="E133" s="12">
        <f t="shared" si="3"/>
        <v>0</v>
      </c>
      <c r="F133">
        <v>0</v>
      </c>
      <c r="G133">
        <v>0</v>
      </c>
      <c r="H133">
        <v>0</v>
      </c>
    </row>
    <row r="134" spans="1:5" ht="12.75">
      <c r="A134" t="s">
        <v>131</v>
      </c>
      <c r="E134" s="12" t="e">
        <f t="shared" si="3"/>
        <v>#DIV/0!</v>
      </c>
    </row>
    <row r="135" spans="1:5" ht="12.75">
      <c r="A135" t="s">
        <v>132</v>
      </c>
      <c r="E135" s="12" t="e">
        <f t="shared" si="3"/>
        <v>#DIV/0!</v>
      </c>
    </row>
    <row r="136" spans="1:5" ht="12.75">
      <c r="A136" t="s">
        <v>133</v>
      </c>
      <c r="E136" s="12" t="e">
        <f t="shared" si="3"/>
        <v>#DIV/0!</v>
      </c>
    </row>
    <row r="137" spans="1:5" ht="12.75">
      <c r="A137" t="s">
        <v>134</v>
      </c>
      <c r="E137" s="12" t="e">
        <f t="shared" si="3"/>
        <v>#DIV/0!</v>
      </c>
    </row>
    <row r="138" spans="1:5" ht="12.75">
      <c r="A138" t="s">
        <v>135</v>
      </c>
      <c r="E138" s="12" t="e">
        <f t="shared" si="3"/>
        <v>#DIV/0!</v>
      </c>
    </row>
    <row r="139" ht="12.75">
      <c r="A139" t="s">
        <v>136</v>
      </c>
    </row>
    <row r="141" spans="1:4" ht="12.75">
      <c r="A141" s="2" t="s">
        <v>90</v>
      </c>
      <c r="C141" s="3" t="s">
        <v>68</v>
      </c>
      <c r="D141" s="3"/>
    </row>
    <row r="142" ht="12.75">
      <c r="A142" t="s">
        <v>137</v>
      </c>
    </row>
    <row r="143" ht="12.75">
      <c r="A143" t="s">
        <v>134</v>
      </c>
    </row>
    <row r="144" ht="12.75">
      <c r="A144" t="s">
        <v>138</v>
      </c>
    </row>
    <row r="145" spans="1:3" ht="12.75">
      <c r="A145" t="s">
        <v>136</v>
      </c>
      <c r="C145">
        <v>1</v>
      </c>
    </row>
    <row r="146" spans="1:3" ht="12.75">
      <c r="A146" t="s">
        <v>139</v>
      </c>
      <c r="C146">
        <v>1</v>
      </c>
    </row>
    <row r="147" spans="1:3" ht="12.75">
      <c r="A147" t="s">
        <v>135</v>
      </c>
      <c r="C147">
        <v>1</v>
      </c>
    </row>
    <row r="148" ht="12.75">
      <c r="A148" t="s">
        <v>133</v>
      </c>
    </row>
    <row r="149" spans="1:3" ht="12.75">
      <c r="A149" t="s">
        <v>140</v>
      </c>
      <c r="C149">
        <v>1</v>
      </c>
    </row>
    <row r="150" ht="12.75">
      <c r="A150" t="s">
        <v>141</v>
      </c>
    </row>
    <row r="151" ht="12.75">
      <c r="A151" t="s">
        <v>142</v>
      </c>
    </row>
    <row r="152" spans="1:3" ht="12.75">
      <c r="A152" t="s">
        <v>143</v>
      </c>
      <c r="C152">
        <v>1</v>
      </c>
    </row>
    <row r="153" ht="12.75">
      <c r="A153" t="s">
        <v>124</v>
      </c>
    </row>
    <row r="154" ht="12.75">
      <c r="A154" t="s">
        <v>129</v>
      </c>
    </row>
    <row r="155" ht="12.75">
      <c r="A155" t="s">
        <v>132</v>
      </c>
    </row>
    <row r="156" ht="12.75">
      <c r="A156" t="s">
        <v>144</v>
      </c>
    </row>
    <row r="158" spans="4:14" ht="12.75">
      <c r="D158" s="2" t="s">
        <v>84</v>
      </c>
      <c r="E158" s="2" t="s">
        <v>85</v>
      </c>
      <c r="M158" s="2" t="s">
        <v>84</v>
      </c>
      <c r="N158" s="2" t="s">
        <v>85</v>
      </c>
    </row>
    <row r="159" spans="1:13" ht="12.75">
      <c r="A159" t="s">
        <v>93</v>
      </c>
      <c r="D159">
        <v>16</v>
      </c>
      <c r="H159" t="s">
        <v>93</v>
      </c>
      <c r="M159">
        <v>13</v>
      </c>
    </row>
    <row r="160" spans="1:13" ht="12.75">
      <c r="A160" t="s">
        <v>94</v>
      </c>
      <c r="D160">
        <v>7</v>
      </c>
      <c r="H160" t="s">
        <v>94</v>
      </c>
      <c r="M160">
        <v>4</v>
      </c>
    </row>
    <row r="161" spans="1:13" ht="12.75">
      <c r="A161" t="s">
        <v>95</v>
      </c>
      <c r="D161" s="8">
        <f>D160/D159*100</f>
        <v>43.75</v>
      </c>
      <c r="H161" t="s">
        <v>95</v>
      </c>
      <c r="M161">
        <f>+M160/M159*100</f>
        <v>30.76923076923077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3"/>
  </sheetPr>
  <dimension ref="A1:Y161"/>
  <sheetViews>
    <sheetView zoomScalePageLayoutView="0" workbookViewId="0" topLeftCell="A60">
      <selection activeCell="A73" sqref="A73:M154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109</v>
      </c>
      <c r="E1" s="2" t="s">
        <v>96</v>
      </c>
      <c r="F1" s="2" t="s">
        <v>97</v>
      </c>
    </row>
    <row r="2" ht="12.75">
      <c r="E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10</v>
      </c>
      <c r="H6" s="1" t="s">
        <v>29</v>
      </c>
      <c r="M6" s="2">
        <f>M7+M8+M9</f>
        <v>14</v>
      </c>
    </row>
    <row r="7" spans="1:13" ht="12.75">
      <c r="A7" s="1" t="s">
        <v>103</v>
      </c>
      <c r="D7" s="2">
        <v>2</v>
      </c>
      <c r="H7" s="1" t="s">
        <v>103</v>
      </c>
      <c r="M7" s="2">
        <v>6</v>
      </c>
    </row>
    <row r="8" spans="1:13" ht="12.75">
      <c r="A8" s="1" t="s">
        <v>105</v>
      </c>
      <c r="D8" s="2">
        <v>8</v>
      </c>
      <c r="H8" s="1" t="s">
        <v>105</v>
      </c>
      <c r="M8" s="2">
        <v>8</v>
      </c>
    </row>
    <row r="9" spans="1:13" ht="12.75">
      <c r="A9" s="1" t="s">
        <v>104</v>
      </c>
      <c r="D9" s="2">
        <v>0</v>
      </c>
      <c r="H9" s="1" t="s">
        <v>104</v>
      </c>
      <c r="M9" s="2">
        <v>0</v>
      </c>
    </row>
    <row r="11" spans="1:23" ht="12.75">
      <c r="A11" t="s">
        <v>1</v>
      </c>
      <c r="D11" s="2">
        <v>24</v>
      </c>
      <c r="H11" t="s">
        <v>1</v>
      </c>
      <c r="M11" s="2">
        <v>37</v>
      </c>
      <c r="V11">
        <f>+D11</f>
        <v>24</v>
      </c>
      <c r="W11">
        <f>+M11</f>
        <v>37</v>
      </c>
    </row>
    <row r="12" spans="1:23" ht="12.75">
      <c r="A12" t="s">
        <v>2</v>
      </c>
      <c r="D12" s="2">
        <v>71</v>
      </c>
      <c r="H12" t="s">
        <v>2</v>
      </c>
      <c r="M12" s="2">
        <v>147</v>
      </c>
      <c r="U12" s="13"/>
      <c r="V12">
        <f>+D16</f>
        <v>13</v>
      </c>
      <c r="W12">
        <f>+M16</f>
        <v>17</v>
      </c>
    </row>
    <row r="13" spans="1:23" ht="12.75">
      <c r="A13" s="1" t="s">
        <v>3</v>
      </c>
      <c r="D13" s="8">
        <f>D12/D11</f>
        <v>2.9583333333333335</v>
      </c>
      <c r="H13" s="1" t="s">
        <v>3</v>
      </c>
      <c r="M13" s="8">
        <f>+M12/M11</f>
        <v>3.972972972972973</v>
      </c>
      <c r="V13">
        <f>+(D15-D16)/2</f>
        <v>6.5</v>
      </c>
      <c r="W13">
        <f>+(M15-M16)/2</f>
        <v>8.5</v>
      </c>
    </row>
    <row r="14" spans="22:23" ht="12.75">
      <c r="V14">
        <f>+D38/2</f>
        <v>4</v>
      </c>
      <c r="W14">
        <f>+M38/2</f>
        <v>4.5</v>
      </c>
    </row>
    <row r="15" spans="1:23" ht="12.75">
      <c r="A15" t="s">
        <v>4</v>
      </c>
      <c r="D15" s="2">
        <v>26</v>
      </c>
      <c r="H15" t="s">
        <v>4</v>
      </c>
      <c r="M15" s="2">
        <v>34</v>
      </c>
      <c r="V15">
        <f>+D42/2</f>
        <v>1</v>
      </c>
      <c r="W15">
        <f>+M42/2</f>
        <v>2</v>
      </c>
    </row>
    <row r="16" spans="1:23" ht="12.75">
      <c r="A16" t="s">
        <v>5</v>
      </c>
      <c r="D16" s="2">
        <v>13</v>
      </c>
      <c r="H16" t="s">
        <v>5</v>
      </c>
      <c r="M16" s="2">
        <v>17</v>
      </c>
      <c r="V16">
        <f>+D48/2</f>
        <v>1.5</v>
      </c>
      <c r="W16">
        <f>+M48/2</f>
        <v>2</v>
      </c>
    </row>
    <row r="17" spans="1:13" ht="12.75">
      <c r="A17" t="s">
        <v>6</v>
      </c>
      <c r="D17" s="8">
        <f>+D16/D15*100</f>
        <v>50</v>
      </c>
      <c r="H17" t="s">
        <v>6</v>
      </c>
      <c r="M17" s="8">
        <f>+M16/M15*100</f>
        <v>50</v>
      </c>
    </row>
    <row r="18" spans="1:24" ht="12.75">
      <c r="A18" t="s">
        <v>7</v>
      </c>
      <c r="D18" s="2">
        <v>182</v>
      </c>
      <c r="H18" t="s">
        <v>7</v>
      </c>
      <c r="M18" s="2">
        <v>178</v>
      </c>
      <c r="V18">
        <f>SUM(V11:V16)</f>
        <v>50</v>
      </c>
      <c r="W18">
        <f>SUM(W11:W16)</f>
        <v>71</v>
      </c>
      <c r="X18">
        <f>+W18+V18</f>
        <v>121</v>
      </c>
    </row>
    <row r="19" spans="1:23" ht="12.75">
      <c r="A19" t="s">
        <v>8</v>
      </c>
      <c r="D19" s="2">
        <v>4</v>
      </c>
      <c r="H19" t="s">
        <v>8</v>
      </c>
      <c r="M19" s="2">
        <v>4</v>
      </c>
      <c r="V19">
        <f>+V18/X18</f>
        <v>0.4132231404958678</v>
      </c>
      <c r="W19">
        <f>+W18/X18</f>
        <v>0.5867768595041323</v>
      </c>
    </row>
    <row r="20" spans="1:23" ht="12.75">
      <c r="A20" t="s">
        <v>9</v>
      </c>
      <c r="D20" s="2">
        <v>29</v>
      </c>
      <c r="H20" t="s">
        <v>9</v>
      </c>
      <c r="M20" s="2">
        <v>48</v>
      </c>
      <c r="V20">
        <f>+V19*60</f>
        <v>24.793388429752067</v>
      </c>
      <c r="W20">
        <f>+W19*60</f>
        <v>35.20661157024794</v>
      </c>
    </row>
    <row r="21" spans="1:23" ht="12.75">
      <c r="A21" t="s">
        <v>10</v>
      </c>
      <c r="D21">
        <f>+D18-D20</f>
        <v>153</v>
      </c>
      <c r="H21" t="s">
        <v>10</v>
      </c>
      <c r="M21">
        <f>+M18-M20</f>
        <v>130</v>
      </c>
      <c r="V21">
        <f>+V20-INT(V20)</f>
        <v>0.793388429752067</v>
      </c>
      <c r="W21">
        <f>+W20-INT(W20)</f>
        <v>0.20661157024793653</v>
      </c>
    </row>
    <row r="22" spans="1:23" ht="12.75">
      <c r="A22" t="s">
        <v>11</v>
      </c>
      <c r="D22" s="7">
        <f>+D21/(D15+D19)</f>
        <v>5.1</v>
      </c>
      <c r="H22" t="s">
        <v>11</v>
      </c>
      <c r="M22" s="7">
        <f>+M21/(M15+M19)</f>
        <v>3.4210526315789473</v>
      </c>
      <c r="V22">
        <f>+V21*60</f>
        <v>47.60330578512402</v>
      </c>
      <c r="W22">
        <f>+W21*60</f>
        <v>12.396694214876192</v>
      </c>
    </row>
    <row r="23" spans="1:23" ht="12.75">
      <c r="A23" t="s">
        <v>12</v>
      </c>
      <c r="D23" s="7">
        <f>+D18/D16</f>
        <v>14</v>
      </c>
      <c r="H23" t="s">
        <v>12</v>
      </c>
      <c r="M23" s="7">
        <f>+M18/M16</f>
        <v>10.470588235294118</v>
      </c>
      <c r="U23">
        <v>0</v>
      </c>
      <c r="V23" s="11">
        <f>ROUND(V22,0)</f>
        <v>48</v>
      </c>
      <c r="W23">
        <f>ROUND(W22,0)</f>
        <v>12</v>
      </c>
    </row>
    <row r="24" spans="22:23" ht="12.75">
      <c r="V24">
        <f>INT(V20)</f>
        <v>24</v>
      </c>
      <c r="W24">
        <f>INT(W20)</f>
        <v>35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224</v>
      </c>
      <c r="H26" t="s">
        <v>14</v>
      </c>
      <c r="M26">
        <f>+M21+M12</f>
        <v>277</v>
      </c>
      <c r="V26" s="14" t="str">
        <f>+V24&amp;V25&amp;V23</f>
        <v>24:48</v>
      </c>
      <c r="W26" s="9" t="str">
        <f>+W24&amp;W25&amp;W23</f>
        <v>35:12</v>
      </c>
    </row>
    <row r="27" spans="1:23" ht="12.75">
      <c r="A27" t="s">
        <v>15</v>
      </c>
      <c r="D27" s="7">
        <f>+D12/D26*100</f>
        <v>31.69642857142857</v>
      </c>
      <c r="H27" t="s">
        <v>15</v>
      </c>
      <c r="M27" s="7">
        <f>+M12/M26*100</f>
        <v>53.068592057761734</v>
      </c>
      <c r="V27" s="9" t="str">
        <f>IF(V23&lt;10,+V24&amp;V25&amp;$U$23&amp;V23,+V24&amp;V25&amp;V23)</f>
        <v>24:48</v>
      </c>
      <c r="W27" s="9" t="str">
        <f>IF(W23&lt;10,+W24&amp;W25&amp;$U$23&amp;W23,+W24&amp;W25&amp;W23)</f>
        <v>35:12</v>
      </c>
    </row>
    <row r="28" spans="1:13" ht="12.75">
      <c r="A28" s="1" t="s">
        <v>86</v>
      </c>
      <c r="D28" s="7">
        <f>+D21/D26*100</f>
        <v>68.30357142857143</v>
      </c>
      <c r="H28" s="1" t="s">
        <v>86</v>
      </c>
      <c r="M28" s="7">
        <f>+M21/M26*100</f>
        <v>46.931407942238266</v>
      </c>
    </row>
    <row r="30" spans="1:13" ht="12.75">
      <c r="A30" t="s">
        <v>16</v>
      </c>
      <c r="D30">
        <f>+D11+D15+D19</f>
        <v>54</v>
      </c>
      <c r="H30" t="s">
        <v>16</v>
      </c>
      <c r="M30">
        <f>+M11+M15+M19</f>
        <v>75</v>
      </c>
    </row>
    <row r="31" spans="1:13" ht="12.75">
      <c r="A31" t="s">
        <v>17</v>
      </c>
      <c r="D31" s="8">
        <f>+D26/D30</f>
        <v>4.148148148148148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3.6933333333333334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3</v>
      </c>
      <c r="H34" t="s">
        <v>19</v>
      </c>
      <c r="M34" s="2">
        <v>0</v>
      </c>
    </row>
    <row r="35" spans="1:13" ht="12.75">
      <c r="A35" t="s">
        <v>20</v>
      </c>
      <c r="D35" s="2">
        <v>16</v>
      </c>
      <c r="H35" t="s">
        <v>20</v>
      </c>
      <c r="M35" s="2">
        <v>0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8</v>
      </c>
      <c r="H38" t="s">
        <v>22</v>
      </c>
      <c r="M38" s="2">
        <v>9</v>
      </c>
    </row>
    <row r="39" spans="1:13" ht="12.75">
      <c r="A39" t="s">
        <v>23</v>
      </c>
      <c r="D39" s="2">
        <v>358</v>
      </c>
      <c r="H39" t="s">
        <v>23</v>
      </c>
      <c r="M39" s="2">
        <v>360</v>
      </c>
    </row>
    <row r="40" spans="1:13" ht="12.75">
      <c r="A40" t="s">
        <v>24</v>
      </c>
      <c r="D40" s="8">
        <f>+D39/D38</f>
        <v>44.75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40</v>
      </c>
    </row>
    <row r="42" spans="1:13" ht="12.75">
      <c r="A42" t="s">
        <v>25</v>
      </c>
      <c r="D42" s="2">
        <v>2</v>
      </c>
      <c r="H42" t="s">
        <v>25</v>
      </c>
      <c r="M42" s="2">
        <v>4</v>
      </c>
    </row>
    <row r="43" spans="1:13" ht="12.75">
      <c r="A43" t="s">
        <v>26</v>
      </c>
      <c r="D43" s="2">
        <v>3</v>
      </c>
      <c r="H43" t="s">
        <v>26</v>
      </c>
      <c r="M43" s="2">
        <v>44</v>
      </c>
    </row>
    <row r="44" spans="1:13" ht="12.75">
      <c r="A44" t="s">
        <v>27</v>
      </c>
      <c r="D44" s="8">
        <v>0</v>
      </c>
      <c r="H44" t="s">
        <v>27</v>
      </c>
      <c r="M44" s="8">
        <f>+M43/M42</f>
        <v>11</v>
      </c>
    </row>
    <row r="45" spans="1:13" ht="12.75">
      <c r="A45" t="s">
        <v>106</v>
      </c>
      <c r="D45" s="2">
        <v>3</v>
      </c>
      <c r="H45" t="s">
        <v>106</v>
      </c>
      <c r="M45" s="2">
        <v>2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3</v>
      </c>
      <c r="H48" t="s">
        <v>30</v>
      </c>
      <c r="M48" s="2">
        <v>4</v>
      </c>
    </row>
    <row r="49" spans="1:13" ht="12.75">
      <c r="A49" t="s">
        <v>26</v>
      </c>
      <c r="D49" s="2">
        <v>71</v>
      </c>
      <c r="H49" t="s">
        <v>26</v>
      </c>
      <c r="M49" s="2">
        <v>85</v>
      </c>
    </row>
    <row r="50" spans="1:13" ht="12.75">
      <c r="A50" t="s">
        <v>27</v>
      </c>
      <c r="D50" s="8">
        <f>+D49/D48</f>
        <v>23.666666666666668</v>
      </c>
      <c r="H50" t="s">
        <v>27</v>
      </c>
      <c r="M50" s="8">
        <f>+M49/M48</f>
        <v>21.25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2</v>
      </c>
      <c r="H53" t="s">
        <v>31</v>
      </c>
      <c r="M53" s="2">
        <v>1</v>
      </c>
    </row>
    <row r="54" spans="1:13" ht="12.75">
      <c r="A54" t="s">
        <v>32</v>
      </c>
      <c r="D54" s="2">
        <v>15</v>
      </c>
      <c r="H54" t="s">
        <v>32</v>
      </c>
      <c r="M54" s="2">
        <v>10</v>
      </c>
    </row>
    <row r="56" spans="1:13" ht="12.75">
      <c r="A56" t="s">
        <v>33</v>
      </c>
      <c r="D56" s="2">
        <v>1</v>
      </c>
      <c r="H56" t="s">
        <v>33</v>
      </c>
      <c r="M56" s="2">
        <v>1</v>
      </c>
    </row>
    <row r="57" spans="1:13" ht="12.75">
      <c r="A57" t="s">
        <v>101</v>
      </c>
      <c r="D57" s="2">
        <v>1</v>
      </c>
      <c r="H57" t="s">
        <v>101</v>
      </c>
      <c r="M57" s="2">
        <v>1</v>
      </c>
    </row>
    <row r="59" spans="1:13" ht="12.75">
      <c r="A59" t="s">
        <v>34</v>
      </c>
      <c r="D59" s="2">
        <v>13</v>
      </c>
      <c r="H59" t="s">
        <v>34</v>
      </c>
      <c r="M59" s="2">
        <v>12</v>
      </c>
    </row>
    <row r="60" spans="1:13" ht="12.75">
      <c r="A60" t="s">
        <v>35</v>
      </c>
      <c r="D60" s="2">
        <v>1</v>
      </c>
      <c r="H60" t="s">
        <v>35</v>
      </c>
      <c r="M60" s="2">
        <v>0</v>
      </c>
    </row>
    <row r="61" spans="1:13" ht="12.75">
      <c r="A61" t="s">
        <v>36</v>
      </c>
      <c r="D61" s="2">
        <v>0</v>
      </c>
      <c r="H61" t="s">
        <v>36</v>
      </c>
      <c r="M61" s="2">
        <v>0</v>
      </c>
    </row>
    <row r="62" spans="1:13" ht="12.75">
      <c r="A62" t="s">
        <v>37</v>
      </c>
      <c r="D62" s="2">
        <v>1</v>
      </c>
      <c r="H62" t="s">
        <v>37</v>
      </c>
      <c r="M62" s="2">
        <v>0</v>
      </c>
    </row>
    <row r="63" spans="1:13" ht="12.75">
      <c r="A63" t="s">
        <v>38</v>
      </c>
      <c r="D63" s="2">
        <v>0</v>
      </c>
      <c r="H63" t="s">
        <v>38</v>
      </c>
      <c r="M63" s="2">
        <v>0</v>
      </c>
    </row>
    <row r="64" spans="1:13" ht="12.75">
      <c r="A64" t="s">
        <v>39</v>
      </c>
      <c r="D64" s="2">
        <v>1</v>
      </c>
      <c r="H64" t="s">
        <v>39</v>
      </c>
      <c r="M64" s="2">
        <v>0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2</v>
      </c>
      <c r="H66" t="s">
        <v>41</v>
      </c>
      <c r="M66" s="2">
        <v>4</v>
      </c>
    </row>
    <row r="67" spans="1:13" ht="12.75">
      <c r="A67" t="s">
        <v>42</v>
      </c>
      <c r="D67" s="2">
        <v>2</v>
      </c>
      <c r="H67" t="s">
        <v>42</v>
      </c>
      <c r="M67" s="2">
        <v>4</v>
      </c>
    </row>
    <row r="68" spans="1:13" ht="12.75">
      <c r="A68" t="s">
        <v>43</v>
      </c>
      <c r="D68" s="8">
        <f>+D66/D67*100</f>
        <v>100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100</v>
      </c>
    </row>
    <row r="69" spans="1:13" ht="12.75">
      <c r="A69" t="s">
        <v>89</v>
      </c>
      <c r="D69" s="10" t="str">
        <f>IF(V23&lt;10,V27,V26)</f>
        <v>24:48</v>
      </c>
      <c r="E69" s="8"/>
      <c r="F69" s="8"/>
      <c r="H69" t="s">
        <v>89</v>
      </c>
      <c r="M69" s="10" t="str">
        <f>IF(W23&lt;10,W27,W26)</f>
        <v>35:12</v>
      </c>
    </row>
    <row r="70" spans="1:13" ht="12.75">
      <c r="A70" t="s">
        <v>102</v>
      </c>
      <c r="D70" s="23">
        <f>D161</f>
        <v>16.666666666666664</v>
      </c>
      <c r="E70" s="8"/>
      <c r="F70" s="8"/>
      <c r="H70" t="s">
        <v>102</v>
      </c>
      <c r="M70" s="23">
        <f>M161</f>
        <v>21.052631578947366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110</v>
      </c>
      <c r="C74">
        <v>18</v>
      </c>
      <c r="D74">
        <v>53</v>
      </c>
      <c r="E74" s="12">
        <f aca="true" t="shared" si="0" ref="E74:E84">+D74/C74</f>
        <v>2.9444444444444446</v>
      </c>
      <c r="F74">
        <v>9</v>
      </c>
      <c r="G74">
        <v>0</v>
      </c>
      <c r="H74">
        <v>1</v>
      </c>
    </row>
    <row r="75" spans="1:8" ht="12.75">
      <c r="A75" t="s">
        <v>111</v>
      </c>
      <c r="C75">
        <v>5</v>
      </c>
      <c r="D75">
        <v>16</v>
      </c>
      <c r="E75" s="12">
        <f t="shared" si="0"/>
        <v>3.2</v>
      </c>
      <c r="F75">
        <v>7</v>
      </c>
      <c r="G75">
        <v>0</v>
      </c>
      <c r="H75">
        <v>0</v>
      </c>
    </row>
    <row r="76" spans="1:5" ht="12.75">
      <c r="A76" t="s">
        <v>112</v>
      </c>
      <c r="E76" s="12" t="e">
        <f t="shared" si="0"/>
        <v>#DIV/0!</v>
      </c>
    </row>
    <row r="77" spans="1:5" ht="12.75">
      <c r="A77" t="s">
        <v>113</v>
      </c>
      <c r="E77" s="12" t="e">
        <f t="shared" si="0"/>
        <v>#DIV/0!</v>
      </c>
    </row>
    <row r="78" spans="1:5" ht="12.75">
      <c r="A78" t="s">
        <v>108</v>
      </c>
      <c r="E78" s="12" t="e">
        <f t="shared" si="0"/>
        <v>#DIV/0!</v>
      </c>
    </row>
    <row r="79" spans="1:5" ht="12.75">
      <c r="A79" t="s">
        <v>114</v>
      </c>
      <c r="E79" s="12" t="e">
        <f t="shared" si="0"/>
        <v>#DIV/0!</v>
      </c>
    </row>
    <row r="80" spans="1:8" ht="12.75">
      <c r="A80" t="s">
        <v>115</v>
      </c>
      <c r="C80">
        <v>1</v>
      </c>
      <c r="D80">
        <v>2</v>
      </c>
      <c r="E80" s="12">
        <f t="shared" si="0"/>
        <v>2</v>
      </c>
      <c r="F80">
        <v>2</v>
      </c>
      <c r="G80">
        <v>0</v>
      </c>
      <c r="H80">
        <v>0</v>
      </c>
    </row>
    <row r="81" spans="1:5" ht="12.75">
      <c r="A81" t="s">
        <v>116</v>
      </c>
      <c r="E81" s="12" t="e">
        <f t="shared" si="0"/>
        <v>#DIV/0!</v>
      </c>
    </row>
    <row r="82" spans="1:5" ht="12.75">
      <c r="A82" t="s">
        <v>117</v>
      </c>
      <c r="E82" s="12" t="e">
        <f t="shared" si="0"/>
        <v>#DIV/0!</v>
      </c>
    </row>
    <row r="83" spans="1:5" ht="12.75">
      <c r="A83" t="s">
        <v>118</v>
      </c>
      <c r="E83" s="12" t="e">
        <f t="shared" si="0"/>
        <v>#DIV/0!</v>
      </c>
    </row>
    <row r="84" spans="1:5" ht="12.75">
      <c r="A84" t="s">
        <v>107</v>
      </c>
      <c r="E84" s="12" t="e">
        <f t="shared" si="0"/>
        <v>#DIV/0!</v>
      </c>
    </row>
    <row r="85" ht="12.75">
      <c r="E85" s="8"/>
    </row>
    <row r="86" spans="1:8" ht="12.75">
      <c r="A86" s="2" t="s">
        <v>52</v>
      </c>
      <c r="C86" s="3" t="s">
        <v>53</v>
      </c>
      <c r="D86" s="3" t="s">
        <v>48</v>
      </c>
      <c r="E86" s="15" t="s">
        <v>49</v>
      </c>
      <c r="F86" s="3" t="s">
        <v>50</v>
      </c>
      <c r="G86" s="3" t="s">
        <v>51</v>
      </c>
      <c r="H86" s="3" t="s">
        <v>80</v>
      </c>
    </row>
    <row r="87" spans="1:8" ht="12.75">
      <c r="A87" t="s">
        <v>107</v>
      </c>
      <c r="C87">
        <v>2</v>
      </c>
      <c r="D87">
        <v>27</v>
      </c>
      <c r="E87" s="12">
        <f aca="true" t="shared" si="1" ref="E87:E98">+D87/C87</f>
        <v>13.5</v>
      </c>
      <c r="F87">
        <v>14</v>
      </c>
      <c r="G87">
        <v>1</v>
      </c>
      <c r="H87">
        <v>0</v>
      </c>
    </row>
    <row r="88" spans="1:8" ht="12.75">
      <c r="A88" t="s">
        <v>119</v>
      </c>
      <c r="C88">
        <v>4</v>
      </c>
      <c r="D88">
        <v>53</v>
      </c>
      <c r="E88" s="12">
        <f t="shared" si="1"/>
        <v>13.25</v>
      </c>
      <c r="F88">
        <v>27</v>
      </c>
      <c r="G88">
        <v>0</v>
      </c>
      <c r="H88">
        <v>0</v>
      </c>
    </row>
    <row r="89" spans="1:8" ht="12.75">
      <c r="A89" t="s">
        <v>120</v>
      </c>
      <c r="C89">
        <v>5</v>
      </c>
      <c r="D89">
        <v>95</v>
      </c>
      <c r="E89" s="12">
        <f t="shared" si="1"/>
        <v>19</v>
      </c>
      <c r="F89">
        <v>34</v>
      </c>
      <c r="G89">
        <v>0</v>
      </c>
      <c r="H89">
        <v>0</v>
      </c>
    </row>
    <row r="90" spans="1:8" ht="12.75">
      <c r="A90" t="s">
        <v>110</v>
      </c>
      <c r="C90">
        <v>1</v>
      </c>
      <c r="D90">
        <v>10</v>
      </c>
      <c r="E90" s="12">
        <f t="shared" si="1"/>
        <v>10</v>
      </c>
      <c r="F90">
        <v>10</v>
      </c>
      <c r="G90">
        <v>0</v>
      </c>
      <c r="H90">
        <v>0</v>
      </c>
    </row>
    <row r="91" spans="1:8" ht="12.75">
      <c r="A91" t="s">
        <v>111</v>
      </c>
      <c r="C91">
        <v>1</v>
      </c>
      <c r="D91">
        <v>-3</v>
      </c>
      <c r="E91" s="12">
        <f t="shared" si="1"/>
        <v>-3</v>
      </c>
      <c r="F91">
        <v>-3</v>
      </c>
      <c r="G91">
        <v>0</v>
      </c>
      <c r="H91">
        <v>0</v>
      </c>
    </row>
    <row r="92" spans="1:5" ht="12.75">
      <c r="A92" t="s">
        <v>116</v>
      </c>
      <c r="E92" s="12" t="e">
        <f t="shared" si="1"/>
        <v>#DIV/0!</v>
      </c>
    </row>
    <row r="93" spans="1:5" ht="12.75">
      <c r="A93" t="s">
        <v>121</v>
      </c>
      <c r="E93" s="12" t="e">
        <f t="shared" si="1"/>
        <v>#DIV/0!</v>
      </c>
    </row>
    <row r="94" spans="1:5" ht="12.75">
      <c r="A94" t="s">
        <v>122</v>
      </c>
      <c r="E94" s="12" t="e">
        <f t="shared" si="1"/>
        <v>#DIV/0!</v>
      </c>
    </row>
    <row r="95" spans="1:5" ht="12.75">
      <c r="A95" t="s">
        <v>115</v>
      </c>
      <c r="E95" s="12" t="e">
        <f t="shared" si="1"/>
        <v>#DIV/0!</v>
      </c>
    </row>
    <row r="96" spans="1:5" ht="12.75">
      <c r="A96" t="s">
        <v>123</v>
      </c>
      <c r="E96" s="12" t="e">
        <f t="shared" si="1"/>
        <v>#DIV/0!</v>
      </c>
    </row>
    <row r="97" spans="1:5" ht="12.75">
      <c r="A97" t="s">
        <v>113</v>
      </c>
      <c r="E97" s="12" t="e">
        <f t="shared" si="1"/>
        <v>#DIV/0!</v>
      </c>
    </row>
    <row r="98" spans="1:5" ht="12.75">
      <c r="A98" t="s">
        <v>114</v>
      </c>
      <c r="E98" s="12" t="e">
        <f t="shared" si="1"/>
        <v>#DIV/0!</v>
      </c>
    </row>
    <row r="99" ht="12.75">
      <c r="E99" s="8"/>
    </row>
    <row r="100" spans="1:13" ht="12.75">
      <c r="A100" s="2"/>
      <c r="B100" s="2"/>
      <c r="C100" s="3"/>
      <c r="D100" s="3"/>
      <c r="E100" s="15" t="s">
        <v>57</v>
      </c>
      <c r="F100" s="3" t="s">
        <v>58</v>
      </c>
      <c r="G100" s="3"/>
      <c r="H100" s="3"/>
      <c r="I100" s="3" t="s">
        <v>61</v>
      </c>
      <c r="J100" s="3" t="s">
        <v>63</v>
      </c>
      <c r="K100" s="3" t="s">
        <v>57</v>
      </c>
      <c r="L100" s="3" t="s">
        <v>49</v>
      </c>
      <c r="M100" s="3"/>
    </row>
    <row r="101" spans="1:14" ht="12.75">
      <c r="A101" s="2" t="s">
        <v>54</v>
      </c>
      <c r="B101" s="2"/>
      <c r="C101" s="3" t="s">
        <v>55</v>
      </c>
      <c r="D101" s="3" t="s">
        <v>56</v>
      </c>
      <c r="E101" s="15" t="s">
        <v>56</v>
      </c>
      <c r="F101" s="3" t="s">
        <v>59</v>
      </c>
      <c r="G101" s="3" t="s">
        <v>51</v>
      </c>
      <c r="H101" s="3" t="s">
        <v>60</v>
      </c>
      <c r="I101" s="5" t="s">
        <v>62</v>
      </c>
      <c r="J101" s="3" t="s">
        <v>51</v>
      </c>
      <c r="K101" s="3" t="s">
        <v>64</v>
      </c>
      <c r="L101" s="3" t="s">
        <v>65</v>
      </c>
      <c r="M101" s="3" t="s">
        <v>66</v>
      </c>
      <c r="N101" s="3" t="s">
        <v>80</v>
      </c>
    </row>
    <row r="102" spans="1:25" ht="12.75">
      <c r="A102" t="s">
        <v>113</v>
      </c>
      <c r="C102">
        <v>20</v>
      </c>
      <c r="D102">
        <v>7</v>
      </c>
      <c r="E102" s="12">
        <f>+D102/C102*100</f>
        <v>35</v>
      </c>
      <c r="F102">
        <v>62</v>
      </c>
      <c r="G102">
        <v>0</v>
      </c>
      <c r="H102">
        <v>19</v>
      </c>
      <c r="I102">
        <v>3</v>
      </c>
      <c r="J102" s="8">
        <f>+G102/C102*100</f>
        <v>0</v>
      </c>
      <c r="K102" s="12">
        <f>+I102/C102*100</f>
        <v>15</v>
      </c>
      <c r="L102" s="12">
        <f>+F102/C102</f>
        <v>3.1</v>
      </c>
      <c r="M102" s="12">
        <f>100*(S102+U102+W102+Y102)/6</f>
        <v>4.583333333333334</v>
      </c>
      <c r="R102">
        <f>+(E102-30)/20</f>
        <v>0.25</v>
      </c>
      <c r="S102" s="2">
        <f>IF(R102&lt;0,0,IF(R102&gt;2.375,2.375,R102))</f>
        <v>0.25</v>
      </c>
      <c r="T102" s="6">
        <f>+(L102-3)/4</f>
        <v>0.025000000000000022</v>
      </c>
      <c r="U102" s="2">
        <f>IF(T102&lt;0,0,IF(T102&gt;2.375,2.375,T102))</f>
        <v>0.025000000000000022</v>
      </c>
      <c r="V102">
        <f>+J102/5</f>
        <v>0</v>
      </c>
      <c r="W102" s="2">
        <f>IF(V102&lt;0,0,IF(V102&gt;2.375,2.375,V102))</f>
        <v>0</v>
      </c>
      <c r="X102">
        <f>(9.5-K102)/4</f>
        <v>-1.375</v>
      </c>
      <c r="Y102" s="2">
        <f>IF(X102&lt;0,0,X102)</f>
        <v>0</v>
      </c>
    </row>
    <row r="103" spans="1:25" ht="12.75">
      <c r="A103" t="s">
        <v>112</v>
      </c>
      <c r="C103">
        <v>6</v>
      </c>
      <c r="D103">
        <v>6</v>
      </c>
      <c r="E103" s="12">
        <f>+D103/C103*100</f>
        <v>100</v>
      </c>
      <c r="F103">
        <v>120</v>
      </c>
      <c r="G103">
        <v>1</v>
      </c>
      <c r="H103">
        <v>34</v>
      </c>
      <c r="I103">
        <v>0</v>
      </c>
      <c r="J103" s="8">
        <f>+G103/C103*100</f>
        <v>16.666666666666664</v>
      </c>
      <c r="K103" s="12">
        <f>+I103/C103*100</f>
        <v>0</v>
      </c>
      <c r="L103" s="12">
        <f>+F103/C103</f>
        <v>20</v>
      </c>
      <c r="M103" s="12">
        <f>100*(S103+U103+W103+Y103)/6</f>
        <v>158.33333333333334</v>
      </c>
      <c r="R103">
        <f>+(E103-30)/20</f>
        <v>3.5</v>
      </c>
      <c r="S103" s="2">
        <f>IF(R103&lt;0,0,IF(R103&gt;2.375,2.375,R103))</f>
        <v>2.375</v>
      </c>
      <c r="T103" s="6">
        <f>+(L103-3)/4</f>
        <v>4.25</v>
      </c>
      <c r="U103" s="2">
        <f>IF(T103&lt;0,0,IF(T103&gt;2.375,2.375,T103))</f>
        <v>2.375</v>
      </c>
      <c r="V103">
        <f>+J103/5</f>
        <v>3.333333333333333</v>
      </c>
      <c r="W103" s="2">
        <f>IF(V103&lt;0,0,IF(V103&gt;2.375,2.375,V103))</f>
        <v>2.375</v>
      </c>
      <c r="X103">
        <f>(9.5-K103)/4</f>
        <v>2.375</v>
      </c>
      <c r="Y103" s="2">
        <f>IF(X103&lt;0,0,X103)</f>
        <v>2.375</v>
      </c>
    </row>
    <row r="104" spans="1:25" ht="12.75">
      <c r="A104" t="s">
        <v>118</v>
      </c>
      <c r="E104" s="12" t="e">
        <f>+D104/C104*100</f>
        <v>#DIV/0!</v>
      </c>
      <c r="J104" s="8" t="e">
        <f>+G104/C104*100</f>
        <v>#DIV/0!</v>
      </c>
      <c r="K104" s="12" t="e">
        <f>+I104/C104*100</f>
        <v>#DIV/0!</v>
      </c>
      <c r="L104" s="12" t="e">
        <f>+F104/C104</f>
        <v>#DIV/0!</v>
      </c>
      <c r="M104" s="12" t="e">
        <f>100*(S104+U104+W104+Y104)/6</f>
        <v>#DIV/0!</v>
      </c>
      <c r="R104" t="e">
        <f>+(E104-30)/20</f>
        <v>#DIV/0!</v>
      </c>
      <c r="S104" s="2" t="e">
        <f>IF(R104&lt;0,0,IF(R104&gt;2.375,2.375,R104))</f>
        <v>#DIV/0!</v>
      </c>
      <c r="T104" s="6" t="e">
        <f>+(L104-3)/4</f>
        <v>#DIV/0!</v>
      </c>
      <c r="U104" s="2" t="e">
        <f>IF(T104&lt;0,0,IF(T104&gt;2.375,2.375,T104))</f>
        <v>#DIV/0!</v>
      </c>
      <c r="V104" t="e">
        <f>+J104/5</f>
        <v>#DIV/0!</v>
      </c>
      <c r="W104" s="2" t="e">
        <f>IF(V104&lt;0,0,IF(V104&gt;2.375,2.375,V104))</f>
        <v>#DIV/0!</v>
      </c>
      <c r="X104" t="e">
        <f>(9.5-K104)/4</f>
        <v>#DIV/0!</v>
      </c>
      <c r="Y104" s="2" t="e">
        <f>IF(X104&lt;0,0,X104)</f>
        <v>#DIV/0!</v>
      </c>
    </row>
    <row r="105" spans="1:25" ht="12.75">
      <c r="A105" t="s">
        <v>116</v>
      </c>
      <c r="E105" s="12" t="e">
        <f>+D105/C105*100</f>
        <v>#DIV/0!</v>
      </c>
      <c r="J105" s="8" t="e">
        <f>+G105/C105*100</f>
        <v>#DIV/0!</v>
      </c>
      <c r="K105" s="12" t="e">
        <f>+I105/C105*100</f>
        <v>#DIV/0!</v>
      </c>
      <c r="L105" s="12" t="e">
        <f>+F105/C105</f>
        <v>#DIV/0!</v>
      </c>
      <c r="M105" s="12" t="e">
        <f>100*(S105+U105+W105+Y105)/6</f>
        <v>#DIV/0!</v>
      </c>
      <c r="R105" t="e">
        <f>+(E105-30)/20</f>
        <v>#DIV/0!</v>
      </c>
      <c r="S105" s="2" t="e">
        <f>IF(R105&lt;0,0,IF(R105&gt;2.375,2.375,R105))</f>
        <v>#DIV/0!</v>
      </c>
      <c r="T105" s="6" t="e">
        <f>+(L105-3)/4</f>
        <v>#DIV/0!</v>
      </c>
      <c r="U105" s="2" t="e">
        <f>IF(T105&lt;0,0,IF(T105&gt;2.375,2.375,T105))</f>
        <v>#DIV/0!</v>
      </c>
      <c r="V105" t="e">
        <f>+J105/5</f>
        <v>#DIV/0!</v>
      </c>
      <c r="W105" s="2" t="e">
        <f>IF(V105&lt;0,0,IF(V105&gt;2.375,2.375,V105))</f>
        <v>#DIV/0!</v>
      </c>
      <c r="X105" t="e">
        <f>(9.5-K105)/4</f>
        <v>#DIV/0!</v>
      </c>
      <c r="Y105" s="2" t="e">
        <f>IF(X105&lt;0,0,X105)</f>
        <v>#DIV/0!</v>
      </c>
    </row>
    <row r="106" spans="1:25" ht="12.75">
      <c r="A106" t="s">
        <v>107</v>
      </c>
      <c r="E106" s="12" t="e">
        <f>+D106/C106*100</f>
        <v>#DIV/0!</v>
      </c>
      <c r="J106" s="8" t="e">
        <f>+G106/C106*100</f>
        <v>#DIV/0!</v>
      </c>
      <c r="K106" s="12" t="e">
        <f>+I106/C106*100</f>
        <v>#DIV/0!</v>
      </c>
      <c r="L106" s="12" t="e">
        <f>+F106/C106</f>
        <v>#DIV/0!</v>
      </c>
      <c r="M106" s="12" t="e">
        <f>100*(S106+U106+W106+Y106)/6</f>
        <v>#DIV/0!</v>
      </c>
      <c r="R106" t="e">
        <f>+(E106-30)/20</f>
        <v>#DIV/0!</v>
      </c>
      <c r="S106" s="2" t="e">
        <f>IF(R106&lt;0,0,IF(R106&gt;2.375,2.375,R106))</f>
        <v>#DIV/0!</v>
      </c>
      <c r="T106" s="6" t="e">
        <f>+(L106-3)/4</f>
        <v>#DIV/0!</v>
      </c>
      <c r="U106" s="2" t="e">
        <f>IF(T106&lt;0,0,IF(T106&gt;2.375,2.375,T106))</f>
        <v>#DIV/0!</v>
      </c>
      <c r="V106" t="e">
        <f>+J106/5</f>
        <v>#DIV/0!</v>
      </c>
      <c r="W106" s="2" t="e">
        <f>IF(V106&lt;0,0,IF(V106&gt;2.375,2.375,V106))</f>
        <v>#DIV/0!</v>
      </c>
      <c r="X106" t="e">
        <f>(9.5-K106)/4</f>
        <v>#DIV/0!</v>
      </c>
      <c r="Y106" s="2" t="e">
        <f>IF(X106&lt;0,0,X106)</f>
        <v>#DIV/0!</v>
      </c>
    </row>
    <row r="109" spans="1:9" ht="12.75">
      <c r="A109" s="2" t="s">
        <v>67</v>
      </c>
      <c r="C109" s="3" t="s">
        <v>68</v>
      </c>
      <c r="D109" s="3" t="s">
        <v>69</v>
      </c>
      <c r="E109" s="3" t="s">
        <v>70</v>
      </c>
      <c r="F109" s="3" t="s">
        <v>49</v>
      </c>
      <c r="G109" s="3" t="s">
        <v>60</v>
      </c>
      <c r="H109" s="3" t="s">
        <v>51</v>
      </c>
      <c r="I109" s="3" t="s">
        <v>80</v>
      </c>
    </row>
    <row r="110" spans="1:9" ht="12.75">
      <c r="A110" t="s">
        <v>124</v>
      </c>
      <c r="C110">
        <v>2</v>
      </c>
      <c r="D110">
        <v>3</v>
      </c>
      <c r="E110">
        <v>3</v>
      </c>
      <c r="F110" s="12">
        <f>+E110/C110</f>
        <v>1.5</v>
      </c>
      <c r="G110">
        <v>2</v>
      </c>
      <c r="H110">
        <v>0</v>
      </c>
      <c r="I110">
        <v>0</v>
      </c>
    </row>
    <row r="111" spans="1:6" ht="12.75">
      <c r="A111" t="s">
        <v>123</v>
      </c>
      <c r="F111" s="12" t="e">
        <f>+E111/C111</f>
        <v>#DIV/0!</v>
      </c>
    </row>
    <row r="112" spans="1:6" ht="12.75">
      <c r="A112" t="s">
        <v>117</v>
      </c>
      <c r="F112" s="12" t="e">
        <f>+E112/C112</f>
        <v>#DIV/0!</v>
      </c>
    </row>
    <row r="114" spans="1:8" ht="12.75">
      <c r="A114" s="2" t="s">
        <v>30</v>
      </c>
      <c r="C114" s="3" t="s">
        <v>68</v>
      </c>
      <c r="D114" s="3" t="s">
        <v>70</v>
      </c>
      <c r="E114" s="3" t="s">
        <v>49</v>
      </c>
      <c r="F114" s="3" t="s">
        <v>60</v>
      </c>
      <c r="G114" s="3" t="s">
        <v>51</v>
      </c>
      <c r="H114" s="3" t="s">
        <v>80</v>
      </c>
    </row>
    <row r="115" spans="1:8" ht="12.75">
      <c r="A115" t="s">
        <v>114</v>
      </c>
      <c r="C115">
        <v>2</v>
      </c>
      <c r="D115">
        <v>44</v>
      </c>
      <c r="E115" s="12">
        <f aca="true" t="shared" si="2" ref="E115:E120">+D115/C115</f>
        <v>22</v>
      </c>
      <c r="F115">
        <v>26</v>
      </c>
      <c r="G115">
        <v>0</v>
      </c>
      <c r="H115">
        <v>0</v>
      </c>
    </row>
    <row r="116" spans="1:5" ht="12.75">
      <c r="A116" t="s">
        <v>125</v>
      </c>
      <c r="E116" s="12" t="e">
        <f t="shared" si="2"/>
        <v>#DIV/0!</v>
      </c>
    </row>
    <row r="117" spans="1:8" ht="12.75">
      <c r="A117" t="s">
        <v>116</v>
      </c>
      <c r="C117">
        <v>1</v>
      </c>
      <c r="D117">
        <v>27</v>
      </c>
      <c r="E117" s="12">
        <f t="shared" si="2"/>
        <v>27</v>
      </c>
      <c r="F117">
        <v>27</v>
      </c>
      <c r="G117">
        <v>0</v>
      </c>
      <c r="H117">
        <v>0</v>
      </c>
    </row>
    <row r="118" spans="1:5" ht="12.75">
      <c r="A118" t="s">
        <v>108</v>
      </c>
      <c r="E118" s="12" t="e">
        <f t="shared" si="2"/>
        <v>#DIV/0!</v>
      </c>
    </row>
    <row r="119" spans="1:5" ht="12.75">
      <c r="A119" t="s">
        <v>115</v>
      </c>
      <c r="E119" s="12" t="e">
        <f t="shared" si="2"/>
        <v>#DIV/0!</v>
      </c>
    </row>
    <row r="120" spans="1:5" ht="12.75">
      <c r="A120" t="s">
        <v>121</v>
      </c>
      <c r="E120" s="12" t="e">
        <f t="shared" si="2"/>
        <v>#DIV/0!</v>
      </c>
    </row>
    <row r="122" spans="1:7" ht="12.75">
      <c r="A122" s="2" t="s">
        <v>71</v>
      </c>
      <c r="C122" s="3" t="s">
        <v>68</v>
      </c>
      <c r="D122" s="3" t="s">
        <v>70</v>
      </c>
      <c r="E122" s="3" t="s">
        <v>49</v>
      </c>
      <c r="F122" s="3" t="s">
        <v>60</v>
      </c>
      <c r="G122" s="3" t="s">
        <v>72</v>
      </c>
    </row>
    <row r="123" spans="1:7" ht="12.75">
      <c r="A123" t="s">
        <v>126</v>
      </c>
      <c r="C123">
        <v>8</v>
      </c>
      <c r="D123">
        <v>358</v>
      </c>
      <c r="E123" s="12">
        <f>+D123/C123</f>
        <v>44.75</v>
      </c>
      <c r="F123">
        <v>60</v>
      </c>
      <c r="G123">
        <v>0</v>
      </c>
    </row>
    <row r="124" spans="1:5" ht="12.75">
      <c r="A124" t="s">
        <v>113</v>
      </c>
      <c r="E124" s="12" t="e">
        <f>+D124/C124</f>
        <v>#DIV/0!</v>
      </c>
    </row>
    <row r="125" ht="12.75">
      <c r="I125" s="5" t="s">
        <v>63</v>
      </c>
    </row>
    <row r="126" spans="1:10" ht="12.75">
      <c r="A126" s="4" t="s">
        <v>79</v>
      </c>
      <c r="C126" s="3" t="s">
        <v>73</v>
      </c>
      <c r="D126" s="3" t="s">
        <v>74</v>
      </c>
      <c r="E126" s="3" t="s">
        <v>75</v>
      </c>
      <c r="F126" s="3" t="s">
        <v>76</v>
      </c>
      <c r="G126" s="3" t="s">
        <v>77</v>
      </c>
      <c r="H126" s="3" t="s">
        <v>78</v>
      </c>
      <c r="I126" s="3" t="s">
        <v>82</v>
      </c>
      <c r="J126" s="3" t="s">
        <v>60</v>
      </c>
    </row>
    <row r="127" spans="1:10" ht="12.75">
      <c r="A127" t="s">
        <v>127</v>
      </c>
      <c r="C127">
        <v>4</v>
      </c>
      <c r="D127">
        <v>0</v>
      </c>
      <c r="E127">
        <v>1</v>
      </c>
      <c r="F127">
        <v>1</v>
      </c>
      <c r="G127">
        <v>2</v>
      </c>
      <c r="H127">
        <v>2</v>
      </c>
      <c r="I127" s="12">
        <f>+H127/G127*100</f>
        <v>100</v>
      </c>
      <c r="J127">
        <v>46</v>
      </c>
    </row>
    <row r="129" spans="1:8" ht="12.75">
      <c r="A129" s="2" t="s">
        <v>81</v>
      </c>
      <c r="C129" s="3" t="s">
        <v>68</v>
      </c>
      <c r="D129" s="3" t="s">
        <v>70</v>
      </c>
      <c r="E129" s="3" t="s">
        <v>49</v>
      </c>
      <c r="F129" s="3" t="s">
        <v>60</v>
      </c>
      <c r="G129" s="3" t="s">
        <v>51</v>
      </c>
      <c r="H129" s="3" t="s">
        <v>80</v>
      </c>
    </row>
    <row r="130" spans="1:5" ht="12.75">
      <c r="A130" t="s">
        <v>128</v>
      </c>
      <c r="E130" s="12" t="e">
        <f>+D130/C130</f>
        <v>#DIV/0!</v>
      </c>
    </row>
    <row r="131" spans="1:5" ht="12.75">
      <c r="A131" t="s">
        <v>129</v>
      </c>
      <c r="E131" s="12" t="e">
        <f aca="true" t="shared" si="3" ref="E131:E138">+D131/C131</f>
        <v>#DIV/0!</v>
      </c>
    </row>
    <row r="132" spans="1:5" ht="12.75">
      <c r="A132" t="s">
        <v>130</v>
      </c>
      <c r="E132" s="12" t="e">
        <f t="shared" si="3"/>
        <v>#DIV/0!</v>
      </c>
    </row>
    <row r="133" spans="1:5" ht="12.75">
      <c r="A133" t="s">
        <v>124</v>
      </c>
      <c r="E133" s="12" t="e">
        <f t="shared" si="3"/>
        <v>#DIV/0!</v>
      </c>
    </row>
    <row r="134" spans="1:5" ht="12.75">
      <c r="A134" t="s">
        <v>131</v>
      </c>
      <c r="E134" s="12" t="e">
        <f t="shared" si="3"/>
        <v>#DIV/0!</v>
      </c>
    </row>
    <row r="135" spans="1:5" ht="12.75">
      <c r="A135" t="s">
        <v>132</v>
      </c>
      <c r="E135" s="12" t="e">
        <f t="shared" si="3"/>
        <v>#DIV/0!</v>
      </c>
    </row>
    <row r="136" spans="1:5" ht="12.75">
      <c r="A136" t="s">
        <v>133</v>
      </c>
      <c r="E136" s="12" t="e">
        <f t="shared" si="3"/>
        <v>#DIV/0!</v>
      </c>
    </row>
    <row r="137" spans="1:5" ht="12.75">
      <c r="A137" t="s">
        <v>134</v>
      </c>
      <c r="E137" s="12" t="e">
        <f t="shared" si="3"/>
        <v>#DIV/0!</v>
      </c>
    </row>
    <row r="138" spans="1:5" ht="12.75">
      <c r="A138" t="s">
        <v>135</v>
      </c>
      <c r="E138" s="12" t="e">
        <f t="shared" si="3"/>
        <v>#DIV/0!</v>
      </c>
    </row>
    <row r="139" ht="12.75">
      <c r="A139" t="s">
        <v>136</v>
      </c>
    </row>
    <row r="141" spans="1:4" ht="12.75">
      <c r="A141" s="2" t="s">
        <v>90</v>
      </c>
      <c r="C141" s="3" t="s">
        <v>68</v>
      </c>
      <c r="D141" s="3"/>
    </row>
    <row r="142" ht="12.75">
      <c r="A142" t="s">
        <v>137</v>
      </c>
    </row>
    <row r="143" spans="1:3" ht="12.75">
      <c r="A143" t="s">
        <v>134</v>
      </c>
      <c r="C143">
        <v>0.5</v>
      </c>
    </row>
    <row r="144" spans="1:3" ht="12.75">
      <c r="A144" t="s">
        <v>138</v>
      </c>
      <c r="C144">
        <v>1</v>
      </c>
    </row>
    <row r="145" spans="1:3" ht="12.75">
      <c r="A145" t="s">
        <v>136</v>
      </c>
      <c r="C145">
        <v>1</v>
      </c>
    </row>
    <row r="146" ht="12.75">
      <c r="A146" t="s">
        <v>139</v>
      </c>
    </row>
    <row r="147" spans="1:3" ht="12.75">
      <c r="A147" t="s">
        <v>135</v>
      </c>
      <c r="C147">
        <v>0.5</v>
      </c>
    </row>
    <row r="148" ht="12.75">
      <c r="A148" t="s">
        <v>133</v>
      </c>
    </row>
    <row r="149" ht="12.75">
      <c r="A149" t="s">
        <v>140</v>
      </c>
    </row>
    <row r="150" ht="12.75">
      <c r="A150" t="s">
        <v>141</v>
      </c>
    </row>
    <row r="151" ht="12.75">
      <c r="A151" t="s">
        <v>142</v>
      </c>
    </row>
    <row r="152" ht="12.75">
      <c r="A152" t="s">
        <v>143</v>
      </c>
    </row>
    <row r="153" ht="12.75">
      <c r="A153" t="s">
        <v>124</v>
      </c>
    </row>
    <row r="154" spans="1:3" ht="12.75">
      <c r="A154" t="s">
        <v>129</v>
      </c>
      <c r="C154">
        <v>1</v>
      </c>
    </row>
    <row r="155" ht="12.75">
      <c r="A155" t="s">
        <v>132</v>
      </c>
    </row>
    <row r="156" ht="12.75">
      <c r="A156" t="s">
        <v>144</v>
      </c>
    </row>
    <row r="158" spans="4:14" ht="12.75">
      <c r="D158" s="2" t="s">
        <v>84</v>
      </c>
      <c r="E158" s="2" t="s">
        <v>85</v>
      </c>
      <c r="M158" s="2" t="s">
        <v>84</v>
      </c>
      <c r="N158" s="2" t="s">
        <v>85</v>
      </c>
    </row>
    <row r="159" spans="1:13" ht="12.75">
      <c r="A159" t="s">
        <v>93</v>
      </c>
      <c r="D159">
        <v>12</v>
      </c>
      <c r="H159" t="s">
        <v>93</v>
      </c>
      <c r="M159">
        <v>19</v>
      </c>
    </row>
    <row r="160" spans="1:13" ht="12.75">
      <c r="A160" t="s">
        <v>94</v>
      </c>
      <c r="D160">
        <v>2</v>
      </c>
      <c r="H160" t="s">
        <v>94</v>
      </c>
      <c r="M160">
        <v>4</v>
      </c>
    </row>
    <row r="161" spans="1:13" ht="12.75">
      <c r="A161" t="s">
        <v>95</v>
      </c>
      <c r="D161">
        <f>D160/D159*100</f>
        <v>16.666666666666664</v>
      </c>
      <c r="H161" t="s">
        <v>95</v>
      </c>
      <c r="M161">
        <f>+M160/M159*100</f>
        <v>21.052631578947366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Y161"/>
  <sheetViews>
    <sheetView zoomScalePageLayoutView="0" workbookViewId="0" topLeftCell="A60">
      <selection activeCell="T69" sqref="T69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109</v>
      </c>
      <c r="E1" s="2" t="s">
        <v>96</v>
      </c>
      <c r="F1" s="2" t="s">
        <v>97</v>
      </c>
    </row>
    <row r="2" ht="12.75">
      <c r="F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15</v>
      </c>
      <c r="H6" s="1" t="s">
        <v>29</v>
      </c>
      <c r="M6" s="2">
        <f>M7+M8+M9</f>
        <v>15</v>
      </c>
    </row>
    <row r="7" spans="1:13" ht="12.75">
      <c r="A7" s="1" t="s">
        <v>103</v>
      </c>
      <c r="D7" s="2">
        <v>5</v>
      </c>
      <c r="H7" s="1" t="s">
        <v>103</v>
      </c>
      <c r="M7" s="2">
        <v>10</v>
      </c>
    </row>
    <row r="8" spans="1:13" ht="12.75">
      <c r="A8" s="1" t="s">
        <v>105</v>
      </c>
      <c r="D8" s="2">
        <v>8</v>
      </c>
      <c r="H8" s="1" t="s">
        <v>105</v>
      </c>
      <c r="M8" s="2">
        <v>4</v>
      </c>
    </row>
    <row r="9" spans="1:13" ht="12.75">
      <c r="A9" s="1" t="s">
        <v>104</v>
      </c>
      <c r="D9" s="2">
        <v>2</v>
      </c>
      <c r="H9" s="1" t="s">
        <v>104</v>
      </c>
      <c r="M9" s="2">
        <v>1</v>
      </c>
    </row>
    <row r="11" spans="1:23" ht="12.75">
      <c r="A11" t="s">
        <v>1</v>
      </c>
      <c r="D11" s="2">
        <v>28</v>
      </c>
      <c r="H11" t="s">
        <v>1</v>
      </c>
      <c r="M11" s="2">
        <v>43</v>
      </c>
      <c r="V11">
        <f>+D11</f>
        <v>28</v>
      </c>
      <c r="W11">
        <f>+M11</f>
        <v>43</v>
      </c>
    </row>
    <row r="12" spans="1:23" ht="12.75">
      <c r="A12" t="s">
        <v>2</v>
      </c>
      <c r="D12" s="2">
        <v>113</v>
      </c>
      <c r="H12" t="s">
        <v>2</v>
      </c>
      <c r="M12" s="2">
        <v>270</v>
      </c>
      <c r="U12" s="13"/>
      <c r="V12">
        <f>+D16</f>
        <v>14</v>
      </c>
      <c r="W12">
        <f>+M16</f>
        <v>9</v>
      </c>
    </row>
    <row r="13" spans="1:23" ht="12.75">
      <c r="A13" s="1" t="s">
        <v>3</v>
      </c>
      <c r="D13" s="8">
        <f>D12/D11</f>
        <v>4.035714285714286</v>
      </c>
      <c r="H13" s="1" t="s">
        <v>3</v>
      </c>
      <c r="M13" s="8">
        <f>+M12/M11</f>
        <v>6.27906976744186</v>
      </c>
      <c r="V13">
        <f>+(D15-D16)/2</f>
        <v>9.5</v>
      </c>
      <c r="W13">
        <f>+(M15-M16)/2</f>
        <v>7</v>
      </c>
    </row>
    <row r="14" spans="22:23" ht="12.75">
      <c r="V14">
        <f>+D38/2</f>
        <v>2.5</v>
      </c>
      <c r="W14">
        <f>+M38/2</f>
        <v>4.5</v>
      </c>
    </row>
    <row r="15" spans="1:23" ht="12.75">
      <c r="A15" t="s">
        <v>4</v>
      </c>
      <c r="D15" s="2">
        <v>33</v>
      </c>
      <c r="H15" t="s">
        <v>4</v>
      </c>
      <c r="M15" s="2">
        <v>23</v>
      </c>
      <c r="V15">
        <f>+D42/2</f>
        <v>3.5</v>
      </c>
      <c r="W15">
        <f>+M42/2</f>
        <v>1</v>
      </c>
    </row>
    <row r="16" spans="1:23" ht="12.75">
      <c r="A16" t="s">
        <v>5</v>
      </c>
      <c r="D16" s="2">
        <v>14</v>
      </c>
      <c r="H16" t="s">
        <v>5</v>
      </c>
      <c r="M16" s="2">
        <v>9</v>
      </c>
      <c r="V16">
        <f>+D48/2</f>
        <v>1.5</v>
      </c>
      <c r="W16">
        <f>+M48/2</f>
        <v>1.5</v>
      </c>
    </row>
    <row r="17" spans="1:13" ht="12.75">
      <c r="A17" t="s">
        <v>6</v>
      </c>
      <c r="D17" s="8">
        <f>+D16/D15*100</f>
        <v>42.42424242424242</v>
      </c>
      <c r="H17" t="s">
        <v>6</v>
      </c>
      <c r="M17" s="8">
        <f>+M16/M15*100</f>
        <v>39.130434782608695</v>
      </c>
    </row>
    <row r="18" spans="1:24" ht="12.75">
      <c r="A18" t="s">
        <v>7</v>
      </c>
      <c r="D18" s="2">
        <v>185</v>
      </c>
      <c r="H18" t="s">
        <v>7</v>
      </c>
      <c r="M18" s="2">
        <v>77</v>
      </c>
      <c r="V18">
        <f>SUM(V11:V16)</f>
        <v>59</v>
      </c>
      <c r="W18">
        <f>SUM(W11:W16)</f>
        <v>66</v>
      </c>
      <c r="X18">
        <f>+W18+V18</f>
        <v>125</v>
      </c>
    </row>
    <row r="19" spans="1:23" ht="12.75">
      <c r="A19" t="s">
        <v>8</v>
      </c>
      <c r="D19" s="2">
        <v>4</v>
      </c>
      <c r="H19" t="s">
        <v>8</v>
      </c>
      <c r="M19" s="2">
        <v>5</v>
      </c>
      <c r="V19">
        <f>+V18/X18</f>
        <v>0.472</v>
      </c>
      <c r="W19">
        <f>+W18/X18</f>
        <v>0.528</v>
      </c>
    </row>
    <row r="20" spans="1:23" ht="12.75">
      <c r="A20" t="s">
        <v>9</v>
      </c>
      <c r="D20" s="2">
        <v>32</v>
      </c>
      <c r="H20" t="s">
        <v>9</v>
      </c>
      <c r="M20" s="2">
        <v>37</v>
      </c>
      <c r="V20">
        <f>+V19*60</f>
        <v>28.32</v>
      </c>
      <c r="W20">
        <f>+W19*60</f>
        <v>31.68</v>
      </c>
    </row>
    <row r="21" spans="1:23" ht="12.75">
      <c r="A21" t="s">
        <v>10</v>
      </c>
      <c r="D21">
        <f>+D18-D20</f>
        <v>153</v>
      </c>
      <c r="H21" t="s">
        <v>10</v>
      </c>
      <c r="M21">
        <f>+M18-M20</f>
        <v>40</v>
      </c>
      <c r="V21">
        <f>+V20-INT(V20)</f>
        <v>0.3200000000000003</v>
      </c>
      <c r="W21">
        <f>+W20-INT(W20)</f>
        <v>0.6799999999999997</v>
      </c>
    </row>
    <row r="22" spans="1:23" ht="12.75">
      <c r="A22" t="s">
        <v>11</v>
      </c>
      <c r="D22" s="7">
        <f>+D21/(D15+D19)</f>
        <v>4.135135135135135</v>
      </c>
      <c r="H22" t="s">
        <v>11</v>
      </c>
      <c r="M22" s="7">
        <f>+M21/(M15+M19)</f>
        <v>1.4285714285714286</v>
      </c>
      <c r="V22">
        <f>+V21*60</f>
        <v>19.200000000000017</v>
      </c>
      <c r="W22">
        <f>+W21*60</f>
        <v>40.79999999999998</v>
      </c>
    </row>
    <row r="23" spans="1:23" ht="12.75">
      <c r="A23" t="s">
        <v>12</v>
      </c>
      <c r="D23" s="7">
        <f>+D18/D16</f>
        <v>13.214285714285714</v>
      </c>
      <c r="H23" t="s">
        <v>12</v>
      </c>
      <c r="M23" s="7">
        <f>+M18/M16</f>
        <v>8.555555555555555</v>
      </c>
      <c r="U23">
        <v>0</v>
      </c>
      <c r="V23" s="11">
        <f>ROUND(V22,0)</f>
        <v>19</v>
      </c>
      <c r="W23">
        <f>ROUND(W22,0)</f>
        <v>41</v>
      </c>
    </row>
    <row r="24" spans="22:23" ht="12.75">
      <c r="V24">
        <f>INT(V20)</f>
        <v>28</v>
      </c>
      <c r="W24">
        <f>INT(W20)</f>
        <v>31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266</v>
      </c>
      <c r="H26" t="s">
        <v>14</v>
      </c>
      <c r="M26">
        <f>+M21+M12</f>
        <v>310</v>
      </c>
      <c r="V26" s="14" t="str">
        <f>+V24&amp;V25&amp;V23</f>
        <v>28:19</v>
      </c>
      <c r="W26" s="9" t="str">
        <f>+W24&amp;W25&amp;W23</f>
        <v>31:41</v>
      </c>
    </row>
    <row r="27" spans="1:23" ht="12.75">
      <c r="A27" t="s">
        <v>15</v>
      </c>
      <c r="D27" s="7">
        <f>+D12/D26*100</f>
        <v>42.4812030075188</v>
      </c>
      <c r="H27" t="s">
        <v>15</v>
      </c>
      <c r="M27" s="7">
        <f>+M12/M26*100</f>
        <v>87.09677419354838</v>
      </c>
      <c r="V27" s="9" t="str">
        <f>IF(V23&lt;10,+V24&amp;V25&amp;$U$23&amp;V23,+V24&amp;V25&amp;V23)</f>
        <v>28:19</v>
      </c>
      <c r="W27" s="9" t="str">
        <f>IF(W23&lt;10,+W24&amp;W25&amp;$U$23&amp;W23,+W24&amp;W25&amp;W23)</f>
        <v>31:41</v>
      </c>
    </row>
    <row r="28" spans="1:13" ht="12.75">
      <c r="A28" s="1" t="s">
        <v>86</v>
      </c>
      <c r="D28" s="7">
        <f>+D21/D26*100</f>
        <v>57.5187969924812</v>
      </c>
      <c r="H28" s="1" t="s">
        <v>86</v>
      </c>
      <c r="M28" s="7">
        <f>+M21/M26*100</f>
        <v>12.903225806451612</v>
      </c>
    </row>
    <row r="30" spans="1:13" ht="12.75">
      <c r="A30" t="s">
        <v>16</v>
      </c>
      <c r="D30">
        <f>+D11+D15+D19</f>
        <v>65</v>
      </c>
      <c r="H30" t="s">
        <v>16</v>
      </c>
      <c r="M30">
        <f>+M11+M15+M19</f>
        <v>71</v>
      </c>
    </row>
    <row r="31" spans="1:13" ht="12.75">
      <c r="A31" t="s">
        <v>17</v>
      </c>
      <c r="D31" s="8">
        <f>+D26/D30</f>
        <v>4.092307692307692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4.366197183098592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4</v>
      </c>
      <c r="H34" t="s">
        <v>19</v>
      </c>
      <c r="M34" s="2">
        <v>0</v>
      </c>
    </row>
    <row r="35" spans="1:13" ht="12.75">
      <c r="A35" t="s">
        <v>20</v>
      </c>
      <c r="D35" s="2">
        <v>51</v>
      </c>
      <c r="H35" t="s">
        <v>20</v>
      </c>
      <c r="M35" s="2">
        <v>0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5</v>
      </c>
      <c r="H38" t="s">
        <v>22</v>
      </c>
      <c r="M38" s="2">
        <v>9</v>
      </c>
    </row>
    <row r="39" spans="1:13" ht="12.75">
      <c r="A39" t="s">
        <v>23</v>
      </c>
      <c r="D39" s="2">
        <v>214</v>
      </c>
      <c r="H39" t="s">
        <v>23</v>
      </c>
      <c r="M39" s="2">
        <v>420</v>
      </c>
    </row>
    <row r="40" spans="1:13" ht="12.75">
      <c r="A40" t="s">
        <v>24</v>
      </c>
      <c r="D40" s="8">
        <f>+D39/D38</f>
        <v>42.8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46.666666666666664</v>
      </c>
    </row>
    <row r="42" spans="1:13" ht="12.75">
      <c r="A42" t="s">
        <v>25</v>
      </c>
      <c r="D42" s="2">
        <v>7</v>
      </c>
      <c r="H42" t="s">
        <v>25</v>
      </c>
      <c r="M42" s="2">
        <v>2</v>
      </c>
    </row>
    <row r="43" spans="1:13" ht="12.75">
      <c r="A43" t="s">
        <v>26</v>
      </c>
      <c r="D43" s="2">
        <v>32</v>
      </c>
      <c r="H43" t="s">
        <v>26</v>
      </c>
      <c r="M43" s="2">
        <v>15</v>
      </c>
    </row>
    <row r="44" spans="1:13" ht="12.75">
      <c r="A44" t="s">
        <v>27</v>
      </c>
      <c r="D44" s="8">
        <f>+D43/D42</f>
        <v>4.571428571428571</v>
      </c>
      <c r="H44" t="s">
        <v>27</v>
      </c>
      <c r="M44" s="8">
        <f>+M43/M42</f>
        <v>7.5</v>
      </c>
    </row>
    <row r="45" spans="1:13" ht="12.75">
      <c r="A45" t="s">
        <v>106</v>
      </c>
      <c r="D45" s="2">
        <v>0</v>
      </c>
      <c r="H45" t="s">
        <v>106</v>
      </c>
      <c r="M45" s="2">
        <v>2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3</v>
      </c>
      <c r="H48" t="s">
        <v>30</v>
      </c>
      <c r="M48" s="2">
        <v>3</v>
      </c>
    </row>
    <row r="49" spans="1:13" ht="12.75">
      <c r="A49" t="s">
        <v>26</v>
      </c>
      <c r="D49" s="2">
        <v>69</v>
      </c>
      <c r="H49" t="s">
        <v>26</v>
      </c>
      <c r="M49" s="2">
        <v>52</v>
      </c>
    </row>
    <row r="50" spans="1:13" ht="12.75">
      <c r="A50" t="s">
        <v>27</v>
      </c>
      <c r="D50" s="8">
        <f>+D49/D48</f>
        <v>23</v>
      </c>
      <c r="H50" t="s">
        <v>27</v>
      </c>
      <c r="M50" s="8">
        <f>+M49/M48</f>
        <v>17.333333333333332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4</v>
      </c>
      <c r="H53" t="s">
        <v>31</v>
      </c>
      <c r="M53" s="2">
        <v>8</v>
      </c>
    </row>
    <row r="54" spans="1:13" ht="12.75">
      <c r="A54" t="s">
        <v>32</v>
      </c>
      <c r="D54" s="2">
        <v>30</v>
      </c>
      <c r="H54" t="s">
        <v>32</v>
      </c>
      <c r="M54" s="2">
        <v>75</v>
      </c>
    </row>
    <row r="56" spans="1:13" ht="12.75">
      <c r="A56" t="s">
        <v>33</v>
      </c>
      <c r="D56" s="2">
        <v>0</v>
      </c>
      <c r="H56" t="s">
        <v>33</v>
      </c>
      <c r="M56" s="2">
        <v>3</v>
      </c>
    </row>
    <row r="57" spans="1:13" ht="12.75">
      <c r="A57" t="s">
        <v>101</v>
      </c>
      <c r="D57" s="2">
        <v>0</v>
      </c>
      <c r="H57" t="s">
        <v>101</v>
      </c>
      <c r="M57" s="2">
        <v>1</v>
      </c>
    </row>
    <row r="59" spans="1:13" ht="12.75">
      <c r="A59" t="s">
        <v>34</v>
      </c>
      <c r="D59" s="2">
        <v>10</v>
      </c>
      <c r="H59" t="s">
        <v>34</v>
      </c>
      <c r="M59" s="2">
        <v>17</v>
      </c>
    </row>
    <row r="60" spans="1:13" ht="12.75">
      <c r="A60" t="s">
        <v>35</v>
      </c>
      <c r="D60" s="2">
        <v>1</v>
      </c>
      <c r="H60" t="s">
        <v>35</v>
      </c>
      <c r="M60" s="2">
        <v>2</v>
      </c>
    </row>
    <row r="61" spans="1:13" ht="12.75">
      <c r="A61" t="s">
        <v>36</v>
      </c>
      <c r="D61" s="2">
        <v>1</v>
      </c>
      <c r="H61" t="s">
        <v>36</v>
      </c>
      <c r="M61" s="2">
        <v>1</v>
      </c>
    </row>
    <row r="62" spans="1:13" ht="12.75">
      <c r="A62" t="s">
        <v>37</v>
      </c>
      <c r="D62" s="2">
        <v>0</v>
      </c>
      <c r="H62" t="s">
        <v>37</v>
      </c>
      <c r="M62" s="2">
        <v>1</v>
      </c>
    </row>
    <row r="63" spans="1:13" ht="12.75">
      <c r="A63" t="s">
        <v>38</v>
      </c>
      <c r="D63" s="2">
        <v>0</v>
      </c>
      <c r="H63" t="s">
        <v>38</v>
      </c>
      <c r="M63" s="2">
        <v>0</v>
      </c>
    </row>
    <row r="64" spans="1:13" ht="12.75">
      <c r="A64" t="s">
        <v>39</v>
      </c>
      <c r="D64" s="2">
        <v>1</v>
      </c>
      <c r="H64" t="s">
        <v>39</v>
      </c>
      <c r="M64" s="2">
        <v>2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1</v>
      </c>
      <c r="H66" t="s">
        <v>41</v>
      </c>
      <c r="M66" s="2">
        <v>1</v>
      </c>
    </row>
    <row r="67" spans="1:13" ht="12.75">
      <c r="A67" t="s">
        <v>42</v>
      </c>
      <c r="D67" s="2">
        <v>3</v>
      </c>
      <c r="H67" t="s">
        <v>42</v>
      </c>
      <c r="M67" s="2">
        <v>2</v>
      </c>
    </row>
    <row r="68" spans="1:13" ht="12.75">
      <c r="A68" t="s">
        <v>43</v>
      </c>
      <c r="D68" s="8">
        <f>+D66/D67*100</f>
        <v>33.33333333333333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50</v>
      </c>
    </row>
    <row r="69" spans="1:13" ht="12.75">
      <c r="A69" t="s">
        <v>92</v>
      </c>
      <c r="D69" s="10" t="str">
        <f>IF(V23&lt;10,V27,V26)</f>
        <v>28:19</v>
      </c>
      <c r="E69" s="8"/>
      <c r="F69" s="8"/>
      <c r="H69" t="s">
        <v>92</v>
      </c>
      <c r="M69" s="10" t="str">
        <f>IF(W23&lt;10,W27,W26)</f>
        <v>31:41</v>
      </c>
    </row>
    <row r="70" spans="1:13" ht="12.75">
      <c r="A70" t="s">
        <v>102</v>
      </c>
      <c r="D70" s="23">
        <f>D161</f>
        <v>31.25</v>
      </c>
      <c r="E70" s="8"/>
      <c r="F70" s="8"/>
      <c r="H70" t="s">
        <v>102</v>
      </c>
      <c r="M70" s="23">
        <f>M161</f>
        <v>17.647058823529413</v>
      </c>
    </row>
    <row r="71" spans="4:13" ht="12.75">
      <c r="D71" s="2"/>
      <c r="M71" s="2"/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110</v>
      </c>
      <c r="C74">
        <v>19</v>
      </c>
      <c r="D74">
        <v>93</v>
      </c>
      <c r="E74" s="12">
        <f aca="true" t="shared" si="0" ref="E74:E84">+D74/C74</f>
        <v>4.894736842105263</v>
      </c>
      <c r="F74">
        <v>53</v>
      </c>
      <c r="G74">
        <v>1</v>
      </c>
      <c r="H74">
        <v>0</v>
      </c>
    </row>
    <row r="75" spans="1:8" ht="12.75">
      <c r="A75" t="s">
        <v>111</v>
      </c>
      <c r="C75">
        <v>5</v>
      </c>
      <c r="D75">
        <v>19</v>
      </c>
      <c r="E75" s="12">
        <f t="shared" si="0"/>
        <v>3.8</v>
      </c>
      <c r="F75">
        <v>10</v>
      </c>
      <c r="G75">
        <v>0</v>
      </c>
      <c r="H75">
        <v>0</v>
      </c>
    </row>
    <row r="76" spans="1:5" ht="12.75">
      <c r="A76" t="s">
        <v>112</v>
      </c>
      <c r="E76" s="12" t="e">
        <f t="shared" si="0"/>
        <v>#DIV/0!</v>
      </c>
    </row>
    <row r="77" spans="1:8" ht="12.75">
      <c r="A77" t="s">
        <v>113</v>
      </c>
      <c r="C77">
        <v>4</v>
      </c>
      <c r="D77">
        <v>1</v>
      </c>
      <c r="E77" s="12">
        <f t="shared" si="0"/>
        <v>0.25</v>
      </c>
      <c r="F77">
        <v>1</v>
      </c>
      <c r="G77">
        <v>0</v>
      </c>
      <c r="H77">
        <v>0</v>
      </c>
    </row>
    <row r="78" spans="1:5" ht="12.75">
      <c r="A78" t="s">
        <v>108</v>
      </c>
      <c r="E78" s="12" t="e">
        <f t="shared" si="0"/>
        <v>#DIV/0!</v>
      </c>
    </row>
    <row r="79" spans="1:5" ht="12.75">
      <c r="A79" t="s">
        <v>114</v>
      </c>
      <c r="E79" s="12" t="e">
        <f t="shared" si="0"/>
        <v>#DIV/0!</v>
      </c>
    </row>
    <row r="80" spans="1:5" ht="12.75">
      <c r="A80" t="s">
        <v>115</v>
      </c>
      <c r="E80" s="12" t="e">
        <f t="shared" si="0"/>
        <v>#DIV/0!</v>
      </c>
    </row>
    <row r="81" spans="1:5" ht="12.75">
      <c r="A81" t="s">
        <v>116</v>
      </c>
      <c r="E81" s="12" t="e">
        <f t="shared" si="0"/>
        <v>#DIV/0!</v>
      </c>
    </row>
    <row r="82" spans="1:5" ht="12.75">
      <c r="A82" t="s">
        <v>117</v>
      </c>
      <c r="E82" s="12" t="e">
        <f t="shared" si="0"/>
        <v>#DIV/0!</v>
      </c>
    </row>
    <row r="83" spans="1:5" ht="12.75">
      <c r="A83" t="s">
        <v>118</v>
      </c>
      <c r="E83" s="12" t="e">
        <f t="shared" si="0"/>
        <v>#DIV/0!</v>
      </c>
    </row>
    <row r="84" spans="1:5" ht="12.75">
      <c r="A84" t="s">
        <v>107</v>
      </c>
      <c r="E84" s="12" t="e">
        <f t="shared" si="0"/>
        <v>#DIV/0!</v>
      </c>
    </row>
    <row r="85" ht="12.75">
      <c r="E85" s="8"/>
    </row>
    <row r="86" spans="1:8" ht="12.75">
      <c r="A86" s="2" t="s">
        <v>52</v>
      </c>
      <c r="C86" s="3" t="s">
        <v>53</v>
      </c>
      <c r="D86" s="3" t="s">
        <v>48</v>
      </c>
      <c r="E86" s="15" t="s">
        <v>49</v>
      </c>
      <c r="F86" s="3" t="s">
        <v>50</v>
      </c>
      <c r="G86" s="3" t="s">
        <v>51</v>
      </c>
      <c r="H86" s="3" t="s">
        <v>80</v>
      </c>
    </row>
    <row r="87" spans="1:8" ht="12.75">
      <c r="A87" t="s">
        <v>107</v>
      </c>
      <c r="C87">
        <v>4</v>
      </c>
      <c r="D87">
        <v>44</v>
      </c>
      <c r="E87" s="12">
        <f aca="true" t="shared" si="1" ref="E87:E98">+D87/C87</f>
        <v>11</v>
      </c>
      <c r="F87">
        <v>25</v>
      </c>
      <c r="G87">
        <v>0</v>
      </c>
      <c r="H87">
        <v>0</v>
      </c>
    </row>
    <row r="88" spans="1:8" ht="12.75">
      <c r="A88" t="s">
        <v>119</v>
      </c>
      <c r="C88">
        <v>4</v>
      </c>
      <c r="D88">
        <v>64</v>
      </c>
      <c r="E88" s="12">
        <f t="shared" si="1"/>
        <v>16</v>
      </c>
      <c r="F88">
        <v>24</v>
      </c>
      <c r="G88">
        <v>0</v>
      </c>
      <c r="H88">
        <v>0</v>
      </c>
    </row>
    <row r="89" spans="1:8" ht="12.75">
      <c r="A89" t="s">
        <v>120</v>
      </c>
      <c r="C89">
        <v>3</v>
      </c>
      <c r="D89">
        <v>65</v>
      </c>
      <c r="E89" s="12">
        <f t="shared" si="1"/>
        <v>21.666666666666668</v>
      </c>
      <c r="F89">
        <v>29</v>
      </c>
      <c r="G89">
        <v>0</v>
      </c>
      <c r="H89">
        <v>0</v>
      </c>
    </row>
    <row r="90" spans="1:8" ht="12.75">
      <c r="A90" t="s">
        <v>110</v>
      </c>
      <c r="C90">
        <v>1</v>
      </c>
      <c r="D90">
        <v>3</v>
      </c>
      <c r="E90" s="12">
        <f t="shared" si="1"/>
        <v>3</v>
      </c>
      <c r="F90">
        <v>3</v>
      </c>
      <c r="G90">
        <v>0</v>
      </c>
      <c r="H90">
        <v>0</v>
      </c>
    </row>
    <row r="91" spans="1:8" ht="12.75">
      <c r="A91" t="s">
        <v>111</v>
      </c>
      <c r="C91">
        <v>1</v>
      </c>
      <c r="D91">
        <v>4</v>
      </c>
      <c r="E91" s="12">
        <f t="shared" si="1"/>
        <v>4</v>
      </c>
      <c r="F91">
        <v>4</v>
      </c>
      <c r="G91">
        <v>0</v>
      </c>
      <c r="H91">
        <v>0</v>
      </c>
    </row>
    <row r="92" spans="1:8" ht="12.75">
      <c r="A92" t="s">
        <v>116</v>
      </c>
      <c r="C92">
        <v>1</v>
      </c>
      <c r="D92">
        <v>5</v>
      </c>
      <c r="E92" s="12">
        <f t="shared" si="1"/>
        <v>5</v>
      </c>
      <c r="F92">
        <v>5</v>
      </c>
      <c r="G92">
        <v>0</v>
      </c>
      <c r="H92">
        <v>0</v>
      </c>
    </row>
    <row r="93" spans="1:5" ht="12.75">
      <c r="A93" t="s">
        <v>121</v>
      </c>
      <c r="E93" s="12" t="e">
        <f t="shared" si="1"/>
        <v>#DIV/0!</v>
      </c>
    </row>
    <row r="94" spans="1:5" ht="12.75">
      <c r="A94" t="s">
        <v>122</v>
      </c>
      <c r="E94" s="12" t="e">
        <f t="shared" si="1"/>
        <v>#DIV/0!</v>
      </c>
    </row>
    <row r="95" spans="1:5" ht="12.75">
      <c r="A95" t="s">
        <v>115</v>
      </c>
      <c r="E95" s="12" t="e">
        <f t="shared" si="1"/>
        <v>#DIV/0!</v>
      </c>
    </row>
    <row r="96" spans="1:5" ht="12.75">
      <c r="A96" t="s">
        <v>123</v>
      </c>
      <c r="E96" s="12" t="e">
        <f t="shared" si="1"/>
        <v>#DIV/0!</v>
      </c>
    </row>
    <row r="97" spans="1:5" ht="12.75">
      <c r="A97" t="s">
        <v>113</v>
      </c>
      <c r="E97" s="12" t="e">
        <f t="shared" si="1"/>
        <v>#DIV/0!</v>
      </c>
    </row>
    <row r="98" spans="1:5" ht="12.75">
      <c r="A98" t="s">
        <v>114</v>
      </c>
      <c r="E98" s="12" t="e">
        <f t="shared" si="1"/>
        <v>#DIV/0!</v>
      </c>
    </row>
    <row r="99" ht="12.75">
      <c r="E99" s="8"/>
    </row>
    <row r="100" spans="1:13" ht="12.75">
      <c r="A100" s="2"/>
      <c r="B100" s="2"/>
      <c r="C100" s="3"/>
      <c r="D100" s="3"/>
      <c r="E100" s="15" t="s">
        <v>57</v>
      </c>
      <c r="F100" s="3" t="s">
        <v>58</v>
      </c>
      <c r="G100" s="3"/>
      <c r="H100" s="3"/>
      <c r="I100" s="3" t="s">
        <v>61</v>
      </c>
      <c r="J100" s="3" t="s">
        <v>63</v>
      </c>
      <c r="K100" s="3" t="s">
        <v>57</v>
      </c>
      <c r="L100" s="3" t="s">
        <v>49</v>
      </c>
      <c r="M100" s="3"/>
    </row>
    <row r="101" spans="1:14" ht="12.75">
      <c r="A101" s="2" t="s">
        <v>54</v>
      </c>
      <c r="B101" s="2"/>
      <c r="C101" s="3" t="s">
        <v>55</v>
      </c>
      <c r="D101" s="3" t="s">
        <v>56</v>
      </c>
      <c r="E101" s="15" t="s">
        <v>56</v>
      </c>
      <c r="F101" s="3" t="s">
        <v>59</v>
      </c>
      <c r="G101" s="3" t="s">
        <v>51</v>
      </c>
      <c r="H101" s="3" t="s">
        <v>60</v>
      </c>
      <c r="I101" s="5" t="s">
        <v>62</v>
      </c>
      <c r="J101" s="3" t="s">
        <v>51</v>
      </c>
      <c r="K101" s="3" t="s">
        <v>64</v>
      </c>
      <c r="L101" s="3" t="s">
        <v>65</v>
      </c>
      <c r="M101" s="3" t="s">
        <v>66</v>
      </c>
      <c r="N101" s="3" t="s">
        <v>80</v>
      </c>
    </row>
    <row r="102" spans="1:25" ht="12.75">
      <c r="A102" t="s">
        <v>113</v>
      </c>
      <c r="C102">
        <v>27</v>
      </c>
      <c r="D102">
        <v>13</v>
      </c>
      <c r="E102" s="12">
        <f>+D102/C102*100</f>
        <v>48.148148148148145</v>
      </c>
      <c r="F102">
        <v>170</v>
      </c>
      <c r="G102">
        <v>0</v>
      </c>
      <c r="H102">
        <v>29</v>
      </c>
      <c r="I102">
        <v>2</v>
      </c>
      <c r="J102" s="8">
        <f>+G102/C102*100</f>
        <v>0</v>
      </c>
      <c r="K102" s="12">
        <f>+I102/C102*100</f>
        <v>7.4074074074074066</v>
      </c>
      <c r="L102" s="12">
        <f>+F102/C102</f>
        <v>6.296296296296297</v>
      </c>
      <c r="M102" s="12">
        <f>100*(S102+U102+W102+Y102)/6</f>
        <v>37.577160493827165</v>
      </c>
      <c r="R102">
        <f>+(E102-30)/20</f>
        <v>0.9074074074074072</v>
      </c>
      <c r="S102" s="2">
        <f>IF(R102&lt;0,0,IF(R102&gt;2.375,2.375,R102))</f>
        <v>0.9074074074074072</v>
      </c>
      <c r="T102" s="6">
        <f>+(L102-3)/4</f>
        <v>0.8240740740740742</v>
      </c>
      <c r="U102" s="2">
        <f>IF(T102&lt;0,0,IF(T102&gt;2.375,2.375,T102))</f>
        <v>0.8240740740740742</v>
      </c>
      <c r="V102">
        <f>+J102/5</f>
        <v>0</v>
      </c>
      <c r="W102" s="2">
        <f>IF(V102&lt;0,0,IF(V102&gt;2.375,2.375,V102))</f>
        <v>0</v>
      </c>
      <c r="X102">
        <f>(9.5-K102)/4</f>
        <v>0.5231481481481484</v>
      </c>
      <c r="Y102" s="2">
        <f>IF(X102&lt;0,0,X102)</f>
        <v>0.5231481481481484</v>
      </c>
    </row>
    <row r="103" spans="1:25" ht="12.75">
      <c r="A103" t="s">
        <v>112</v>
      </c>
      <c r="C103">
        <v>6</v>
      </c>
      <c r="D103">
        <v>1</v>
      </c>
      <c r="E103" s="12">
        <f>+D103/C103*100</f>
        <v>16.666666666666664</v>
      </c>
      <c r="F103">
        <v>15</v>
      </c>
      <c r="G103">
        <v>0</v>
      </c>
      <c r="H103">
        <v>15</v>
      </c>
      <c r="I103">
        <v>2</v>
      </c>
      <c r="J103" s="8">
        <f>+G103/C103*100</f>
        <v>0</v>
      </c>
      <c r="K103" s="12">
        <f>+I103/C103*100</f>
        <v>33.33333333333333</v>
      </c>
      <c r="L103" s="12">
        <f>+F103/C103</f>
        <v>2.5</v>
      </c>
      <c r="M103" s="12">
        <f>100*(S103+U103+W103+Y103)/6</f>
        <v>0</v>
      </c>
      <c r="R103">
        <f>+(E103-30)/20</f>
        <v>-0.6666666666666667</v>
      </c>
      <c r="S103" s="2">
        <f>IF(R103&lt;0,0,IF(R103&gt;2.375,2.375,R103))</f>
        <v>0</v>
      </c>
      <c r="T103" s="6">
        <f>+(L103-3)/4</f>
        <v>-0.125</v>
      </c>
      <c r="U103" s="2">
        <f>IF(T103&lt;0,0,IF(T103&gt;2.375,2.375,T103))</f>
        <v>0</v>
      </c>
      <c r="V103">
        <f>+J103/5</f>
        <v>0</v>
      </c>
      <c r="W103" s="2">
        <f>IF(V103&lt;0,0,IF(V103&gt;2.375,2.375,V103))</f>
        <v>0</v>
      </c>
      <c r="X103">
        <f>(9.5-K103)/4</f>
        <v>-5.958333333333332</v>
      </c>
      <c r="Y103" s="2">
        <f>IF(X103&lt;0,0,X103)</f>
        <v>0</v>
      </c>
    </row>
    <row r="104" spans="1:25" ht="12.75">
      <c r="A104" t="s">
        <v>118</v>
      </c>
      <c r="E104" s="12" t="e">
        <f>+D104/C104*100</f>
        <v>#DIV/0!</v>
      </c>
      <c r="J104" s="8" t="e">
        <f>+G104/C104*100</f>
        <v>#DIV/0!</v>
      </c>
      <c r="K104" s="12" t="e">
        <f>+I104/C104*100</f>
        <v>#DIV/0!</v>
      </c>
      <c r="L104" s="12" t="e">
        <f>+F104/C104</f>
        <v>#DIV/0!</v>
      </c>
      <c r="M104" s="12" t="e">
        <f>100*(S104+U104+W104+Y104)/6</f>
        <v>#DIV/0!</v>
      </c>
      <c r="R104" t="e">
        <f>+(E104-30)/20</f>
        <v>#DIV/0!</v>
      </c>
      <c r="S104" s="2" t="e">
        <f>IF(R104&lt;0,0,IF(R104&gt;2.375,2.375,R104))</f>
        <v>#DIV/0!</v>
      </c>
      <c r="T104" s="6" t="e">
        <f>+(L104-3)/4</f>
        <v>#DIV/0!</v>
      </c>
      <c r="U104" s="2" t="e">
        <f>IF(T104&lt;0,0,IF(T104&gt;2.375,2.375,T104))</f>
        <v>#DIV/0!</v>
      </c>
      <c r="V104" t="e">
        <f>+J104/5</f>
        <v>#DIV/0!</v>
      </c>
      <c r="W104" s="2" t="e">
        <f>IF(V104&lt;0,0,IF(V104&gt;2.375,2.375,V104))</f>
        <v>#DIV/0!</v>
      </c>
      <c r="X104" t="e">
        <f>(9.5-K104)/4</f>
        <v>#DIV/0!</v>
      </c>
      <c r="Y104" s="2" t="e">
        <f>IF(X104&lt;0,0,X104)</f>
        <v>#DIV/0!</v>
      </c>
    </row>
    <row r="105" spans="1:25" ht="12.75">
      <c r="A105" t="s">
        <v>116</v>
      </c>
      <c r="E105" s="12" t="e">
        <f>+D105/C105*100</f>
        <v>#DIV/0!</v>
      </c>
      <c r="J105" s="8" t="e">
        <f>+G105/C105*100</f>
        <v>#DIV/0!</v>
      </c>
      <c r="K105" s="12" t="e">
        <f>+I105/C105*100</f>
        <v>#DIV/0!</v>
      </c>
      <c r="L105" s="12" t="e">
        <f>+F105/C105</f>
        <v>#DIV/0!</v>
      </c>
      <c r="M105" s="12" t="e">
        <f>100*(S105+U105+W105+Y105)/6</f>
        <v>#DIV/0!</v>
      </c>
      <c r="R105" t="e">
        <f>+(E105-30)/20</f>
        <v>#DIV/0!</v>
      </c>
      <c r="S105" s="2" t="e">
        <f>IF(R105&lt;0,0,IF(R105&gt;2.375,2.375,R105))</f>
        <v>#DIV/0!</v>
      </c>
      <c r="T105" s="6" t="e">
        <f>+(L105-3)/4</f>
        <v>#DIV/0!</v>
      </c>
      <c r="U105" s="2" t="e">
        <f>IF(T105&lt;0,0,IF(T105&gt;2.375,2.375,T105))</f>
        <v>#DIV/0!</v>
      </c>
      <c r="V105" t="e">
        <f>+J105/5</f>
        <v>#DIV/0!</v>
      </c>
      <c r="W105" s="2" t="e">
        <f>IF(V105&lt;0,0,IF(V105&gt;2.375,2.375,V105))</f>
        <v>#DIV/0!</v>
      </c>
      <c r="X105" t="e">
        <f>(9.5-K105)/4</f>
        <v>#DIV/0!</v>
      </c>
      <c r="Y105" s="2" t="e">
        <f>IF(X105&lt;0,0,X105)</f>
        <v>#DIV/0!</v>
      </c>
    </row>
    <row r="106" spans="1:25" ht="12.75">
      <c r="A106" t="s">
        <v>107</v>
      </c>
      <c r="E106" s="12" t="e">
        <f>+D106/C106*100</f>
        <v>#DIV/0!</v>
      </c>
      <c r="J106" s="8" t="e">
        <f>+G106/C106*100</f>
        <v>#DIV/0!</v>
      </c>
      <c r="K106" s="12" t="e">
        <f>+I106/C106*100</f>
        <v>#DIV/0!</v>
      </c>
      <c r="L106" s="12" t="e">
        <f>+F106/C106</f>
        <v>#DIV/0!</v>
      </c>
      <c r="M106" s="12" t="e">
        <f>100*(S106+U106+W106+Y106)/6</f>
        <v>#DIV/0!</v>
      </c>
      <c r="R106" t="e">
        <f>+(E106-30)/20</f>
        <v>#DIV/0!</v>
      </c>
      <c r="S106" s="2" t="e">
        <f>IF(R106&lt;0,0,IF(R106&gt;2.375,2.375,R106))</f>
        <v>#DIV/0!</v>
      </c>
      <c r="T106" s="6" t="e">
        <f>+(L106-3)/4</f>
        <v>#DIV/0!</v>
      </c>
      <c r="U106" s="2" t="e">
        <f>IF(T106&lt;0,0,IF(T106&gt;2.375,2.375,T106))</f>
        <v>#DIV/0!</v>
      </c>
      <c r="V106" t="e">
        <f>+J106/5</f>
        <v>#DIV/0!</v>
      </c>
      <c r="W106" s="2" t="e">
        <f>IF(V106&lt;0,0,IF(V106&gt;2.375,2.375,V106))</f>
        <v>#DIV/0!</v>
      </c>
      <c r="X106" t="e">
        <f>(9.5-K106)/4</f>
        <v>#DIV/0!</v>
      </c>
      <c r="Y106" s="2" t="e">
        <f>IF(X106&lt;0,0,X106)</f>
        <v>#DIV/0!</v>
      </c>
    </row>
    <row r="109" spans="1:9" ht="12.75">
      <c r="A109" s="2" t="s">
        <v>67</v>
      </c>
      <c r="C109" s="3" t="s">
        <v>68</v>
      </c>
      <c r="D109" s="3" t="s">
        <v>69</v>
      </c>
      <c r="E109" s="3" t="s">
        <v>70</v>
      </c>
      <c r="F109" s="3" t="s">
        <v>49</v>
      </c>
      <c r="G109" s="3" t="s">
        <v>60</v>
      </c>
      <c r="H109" s="3" t="s">
        <v>51</v>
      </c>
      <c r="I109" s="3" t="s">
        <v>80</v>
      </c>
    </row>
    <row r="110" spans="1:9" ht="12.75">
      <c r="A110" t="s">
        <v>124</v>
      </c>
      <c r="C110">
        <v>6</v>
      </c>
      <c r="D110">
        <v>0</v>
      </c>
      <c r="E110">
        <v>31</v>
      </c>
      <c r="F110" s="12">
        <f>+E110/C110</f>
        <v>5.166666666666667</v>
      </c>
      <c r="G110">
        <v>9</v>
      </c>
      <c r="H110">
        <v>0</v>
      </c>
      <c r="I110">
        <v>0</v>
      </c>
    </row>
    <row r="111" spans="1:9" ht="12.75">
      <c r="A111" t="s">
        <v>123</v>
      </c>
      <c r="C111">
        <v>1</v>
      </c>
      <c r="D111">
        <v>0</v>
      </c>
      <c r="E111">
        <v>1</v>
      </c>
      <c r="F111" s="12">
        <f>+E111/C111</f>
        <v>1</v>
      </c>
      <c r="G111">
        <v>1</v>
      </c>
      <c r="H111">
        <v>0</v>
      </c>
      <c r="I111">
        <v>0</v>
      </c>
    </row>
    <row r="112" spans="1:6" ht="12.75">
      <c r="A112" t="s">
        <v>117</v>
      </c>
      <c r="F112" s="12" t="e">
        <f>+E112/C112</f>
        <v>#DIV/0!</v>
      </c>
    </row>
    <row r="114" spans="1:8" ht="12.75">
      <c r="A114" s="2" t="s">
        <v>30</v>
      </c>
      <c r="C114" s="3" t="s">
        <v>68</v>
      </c>
      <c r="D114" s="3" t="s">
        <v>70</v>
      </c>
      <c r="E114" s="3" t="s">
        <v>49</v>
      </c>
      <c r="F114" s="3" t="s">
        <v>60</v>
      </c>
      <c r="G114" s="3" t="s">
        <v>51</v>
      </c>
      <c r="H114" s="3" t="s">
        <v>80</v>
      </c>
    </row>
    <row r="115" spans="1:8" ht="12.75">
      <c r="A115" t="s">
        <v>114</v>
      </c>
      <c r="C115">
        <v>2</v>
      </c>
      <c r="D115">
        <v>51</v>
      </c>
      <c r="E115" s="12">
        <f aca="true" t="shared" si="2" ref="E115:E120">+D115/C115</f>
        <v>25.5</v>
      </c>
      <c r="F115">
        <v>30</v>
      </c>
      <c r="G115">
        <v>0</v>
      </c>
      <c r="H115">
        <v>0</v>
      </c>
    </row>
    <row r="116" spans="1:5" ht="12.75">
      <c r="A116" t="s">
        <v>125</v>
      </c>
      <c r="E116" s="12" t="e">
        <f t="shared" si="2"/>
        <v>#DIV/0!</v>
      </c>
    </row>
    <row r="117" spans="1:8" ht="12.75">
      <c r="A117" t="s">
        <v>116</v>
      </c>
      <c r="C117">
        <v>1</v>
      </c>
      <c r="D117">
        <v>18</v>
      </c>
      <c r="E117" s="12">
        <f t="shared" si="2"/>
        <v>18</v>
      </c>
      <c r="F117">
        <v>18</v>
      </c>
      <c r="G117">
        <v>0</v>
      </c>
      <c r="H117">
        <v>0</v>
      </c>
    </row>
    <row r="118" spans="1:5" ht="12.75">
      <c r="A118" t="s">
        <v>108</v>
      </c>
      <c r="E118" s="12" t="e">
        <f t="shared" si="2"/>
        <v>#DIV/0!</v>
      </c>
    </row>
    <row r="119" spans="1:5" ht="12.75">
      <c r="A119" t="s">
        <v>115</v>
      </c>
      <c r="E119" s="12" t="e">
        <f t="shared" si="2"/>
        <v>#DIV/0!</v>
      </c>
    </row>
    <row r="120" spans="1:5" ht="12.75">
      <c r="A120" t="s">
        <v>121</v>
      </c>
      <c r="E120" s="12" t="e">
        <f t="shared" si="2"/>
        <v>#DIV/0!</v>
      </c>
    </row>
    <row r="122" spans="1:7" ht="12.75">
      <c r="A122" s="2" t="s">
        <v>71</v>
      </c>
      <c r="C122" s="3" t="s">
        <v>68</v>
      </c>
      <c r="D122" s="3" t="s">
        <v>70</v>
      </c>
      <c r="E122" s="3" t="s">
        <v>49</v>
      </c>
      <c r="F122" s="3" t="s">
        <v>60</v>
      </c>
      <c r="G122" s="3" t="s">
        <v>72</v>
      </c>
    </row>
    <row r="123" spans="1:7" ht="12.75">
      <c r="A123" t="s">
        <v>126</v>
      </c>
      <c r="C123">
        <v>5</v>
      </c>
      <c r="D123">
        <v>214</v>
      </c>
      <c r="E123" s="12">
        <f>+D123/C123</f>
        <v>42.8</v>
      </c>
      <c r="F123">
        <v>54</v>
      </c>
      <c r="G123">
        <v>0</v>
      </c>
    </row>
    <row r="124" spans="1:5" ht="12.75">
      <c r="A124" t="s">
        <v>113</v>
      </c>
      <c r="E124" s="12" t="e">
        <f>+D124/C124</f>
        <v>#DIV/0!</v>
      </c>
    </row>
    <row r="125" ht="12.75">
      <c r="I125" s="5" t="s">
        <v>63</v>
      </c>
    </row>
    <row r="126" spans="1:10" ht="12.75">
      <c r="A126" s="4" t="s">
        <v>79</v>
      </c>
      <c r="C126" s="3" t="s">
        <v>73</v>
      </c>
      <c r="D126" s="3" t="s">
        <v>74</v>
      </c>
      <c r="E126" s="3" t="s">
        <v>75</v>
      </c>
      <c r="F126" s="3" t="s">
        <v>76</v>
      </c>
      <c r="G126" s="3" t="s">
        <v>77</v>
      </c>
      <c r="H126" s="3" t="s">
        <v>78</v>
      </c>
      <c r="I126" s="3" t="s">
        <v>82</v>
      </c>
      <c r="J126" s="3" t="s">
        <v>60</v>
      </c>
    </row>
    <row r="127" spans="1:10" ht="12.75">
      <c r="A127" t="s">
        <v>127</v>
      </c>
      <c r="C127">
        <v>3</v>
      </c>
      <c r="D127">
        <v>0</v>
      </c>
      <c r="E127">
        <v>1</v>
      </c>
      <c r="F127">
        <v>1</v>
      </c>
      <c r="G127">
        <v>3</v>
      </c>
      <c r="H127">
        <v>1</v>
      </c>
      <c r="I127" s="12">
        <f>+H127/G127*100</f>
        <v>33.33333333333333</v>
      </c>
      <c r="J127">
        <v>24</v>
      </c>
    </row>
    <row r="129" spans="1:8" ht="12.75">
      <c r="A129" s="2" t="s">
        <v>81</v>
      </c>
      <c r="C129" s="3" t="s">
        <v>68</v>
      </c>
      <c r="D129" s="3" t="s">
        <v>70</v>
      </c>
      <c r="E129" s="3" t="s">
        <v>49</v>
      </c>
      <c r="F129" s="3" t="s">
        <v>60</v>
      </c>
      <c r="G129" s="3" t="s">
        <v>51</v>
      </c>
      <c r="H129" s="3" t="s">
        <v>80</v>
      </c>
    </row>
    <row r="130" spans="1:5" ht="12.75">
      <c r="A130" t="s">
        <v>128</v>
      </c>
      <c r="E130" s="12" t="e">
        <f>+D130/C130</f>
        <v>#DIV/0!</v>
      </c>
    </row>
    <row r="131" spans="1:5" ht="12.75">
      <c r="A131" t="s">
        <v>129</v>
      </c>
      <c r="E131" s="12" t="e">
        <f aca="true" t="shared" si="3" ref="E131:E138">+D131/C131</f>
        <v>#DIV/0!</v>
      </c>
    </row>
    <row r="132" spans="1:5" ht="12.75">
      <c r="A132" t="s">
        <v>130</v>
      </c>
      <c r="E132" s="12" t="e">
        <f t="shared" si="3"/>
        <v>#DIV/0!</v>
      </c>
    </row>
    <row r="133" spans="1:5" ht="12.75">
      <c r="A133" t="s">
        <v>124</v>
      </c>
      <c r="E133" s="12" t="e">
        <f t="shared" si="3"/>
        <v>#DIV/0!</v>
      </c>
    </row>
    <row r="134" spans="1:5" ht="12.75">
      <c r="A134" t="s">
        <v>131</v>
      </c>
      <c r="E134" s="12" t="e">
        <f t="shared" si="3"/>
        <v>#DIV/0!</v>
      </c>
    </row>
    <row r="135" spans="1:5" ht="12.75">
      <c r="A135" t="s">
        <v>132</v>
      </c>
      <c r="E135" s="12" t="e">
        <f t="shared" si="3"/>
        <v>#DIV/0!</v>
      </c>
    </row>
    <row r="136" spans="1:5" ht="12.75">
      <c r="A136" t="s">
        <v>133</v>
      </c>
      <c r="E136" s="12" t="e">
        <f t="shared" si="3"/>
        <v>#DIV/0!</v>
      </c>
    </row>
    <row r="137" spans="1:5" ht="12.75">
      <c r="A137" t="s">
        <v>134</v>
      </c>
      <c r="E137" s="12" t="e">
        <f t="shared" si="3"/>
        <v>#DIV/0!</v>
      </c>
    </row>
    <row r="138" spans="1:5" ht="12.75">
      <c r="A138" t="s">
        <v>135</v>
      </c>
      <c r="E138" s="12" t="e">
        <f t="shared" si="3"/>
        <v>#DIV/0!</v>
      </c>
    </row>
    <row r="139" ht="12.75">
      <c r="A139" t="s">
        <v>136</v>
      </c>
    </row>
    <row r="141" spans="1:4" ht="12.75">
      <c r="A141" s="2" t="s">
        <v>90</v>
      </c>
      <c r="C141" s="3" t="s">
        <v>68</v>
      </c>
      <c r="D141" s="3"/>
    </row>
    <row r="142" spans="1:3" ht="12.75">
      <c r="A142" t="s">
        <v>137</v>
      </c>
      <c r="C142">
        <v>1</v>
      </c>
    </row>
    <row r="143" ht="12.75">
      <c r="A143" t="s">
        <v>134</v>
      </c>
    </row>
    <row r="144" ht="12.75">
      <c r="A144" t="s">
        <v>138</v>
      </c>
    </row>
    <row r="145" spans="1:3" ht="12.75">
      <c r="A145" t="s">
        <v>136</v>
      </c>
      <c r="C145">
        <v>1.5</v>
      </c>
    </row>
    <row r="146" ht="12.75">
      <c r="A146" t="s">
        <v>139</v>
      </c>
    </row>
    <row r="147" spans="1:3" ht="12.75">
      <c r="A147" t="s">
        <v>135</v>
      </c>
      <c r="C147">
        <v>0.5</v>
      </c>
    </row>
    <row r="148" ht="12.75">
      <c r="A148" t="s">
        <v>133</v>
      </c>
    </row>
    <row r="149" ht="12.75">
      <c r="A149" t="s">
        <v>140</v>
      </c>
    </row>
    <row r="150" ht="12.75">
      <c r="A150" t="s">
        <v>141</v>
      </c>
    </row>
    <row r="151" spans="1:3" ht="12.75">
      <c r="A151" t="s">
        <v>142</v>
      </c>
      <c r="C151">
        <v>1</v>
      </c>
    </row>
    <row r="152" spans="1:3" ht="12.75">
      <c r="A152" t="s">
        <v>143</v>
      </c>
      <c r="C152">
        <v>0.5</v>
      </c>
    </row>
    <row r="153" spans="1:3" ht="12.75">
      <c r="A153" t="s">
        <v>124</v>
      </c>
      <c r="C153">
        <v>0.5</v>
      </c>
    </row>
    <row r="154" ht="12.75">
      <c r="A154" t="s">
        <v>129</v>
      </c>
    </row>
    <row r="155" ht="12.75">
      <c r="A155" t="s">
        <v>132</v>
      </c>
    </row>
    <row r="156" ht="12.75">
      <c r="A156" t="s">
        <v>144</v>
      </c>
    </row>
    <row r="158" spans="4:14" ht="12.75">
      <c r="D158" s="2" t="s">
        <v>84</v>
      </c>
      <c r="E158" s="2" t="s">
        <v>85</v>
      </c>
      <c r="M158" s="2" t="s">
        <v>84</v>
      </c>
      <c r="N158" s="2" t="s">
        <v>85</v>
      </c>
    </row>
    <row r="159" spans="1:13" ht="12.75">
      <c r="A159" t="s">
        <v>93</v>
      </c>
      <c r="D159">
        <v>16</v>
      </c>
      <c r="H159" t="s">
        <v>93</v>
      </c>
      <c r="M159">
        <v>17</v>
      </c>
    </row>
    <row r="160" spans="1:13" ht="12.75">
      <c r="A160" t="s">
        <v>94</v>
      </c>
      <c r="D160">
        <v>5</v>
      </c>
      <c r="H160" t="s">
        <v>94</v>
      </c>
      <c r="M160">
        <v>3</v>
      </c>
    </row>
    <row r="161" spans="1:13" ht="12.75">
      <c r="A161" t="s">
        <v>95</v>
      </c>
      <c r="D161" s="8">
        <f>D160/D159*100</f>
        <v>31.25</v>
      </c>
      <c r="H161" t="s">
        <v>95</v>
      </c>
      <c r="M161">
        <f>+M160/M159*100</f>
        <v>17.647058823529413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Y161"/>
  <sheetViews>
    <sheetView zoomScalePageLayoutView="0" workbookViewId="0" topLeftCell="A1">
      <selection activeCell="P17" sqref="P17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109</v>
      </c>
      <c r="E1" s="2" t="s">
        <v>96</v>
      </c>
      <c r="F1" s="2" t="s">
        <v>97</v>
      </c>
    </row>
    <row r="2" ht="12.75">
      <c r="F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15</v>
      </c>
      <c r="H6" s="1" t="s">
        <v>29</v>
      </c>
      <c r="M6" s="2">
        <f>M7+M8+M9</f>
        <v>15</v>
      </c>
    </row>
    <row r="7" spans="1:13" ht="12.75">
      <c r="A7" s="1" t="s">
        <v>103</v>
      </c>
      <c r="D7" s="2">
        <v>4</v>
      </c>
      <c r="H7" s="1" t="s">
        <v>103</v>
      </c>
      <c r="M7" s="2">
        <v>5</v>
      </c>
    </row>
    <row r="8" spans="1:13" ht="12.75">
      <c r="A8" s="1" t="s">
        <v>105</v>
      </c>
      <c r="D8" s="2">
        <v>10</v>
      </c>
      <c r="H8" s="1" t="s">
        <v>105</v>
      </c>
      <c r="M8" s="2">
        <v>9</v>
      </c>
    </row>
    <row r="9" spans="1:13" ht="12.75">
      <c r="A9" s="1" t="s">
        <v>104</v>
      </c>
      <c r="D9" s="2">
        <v>1</v>
      </c>
      <c r="H9" s="1" t="s">
        <v>104</v>
      </c>
      <c r="M9" s="2">
        <v>1</v>
      </c>
    </row>
    <row r="11" spans="1:23" ht="12.75">
      <c r="A11" t="s">
        <v>1</v>
      </c>
      <c r="D11" s="2">
        <v>28</v>
      </c>
      <c r="H11" t="s">
        <v>1</v>
      </c>
      <c r="M11" s="2">
        <v>24</v>
      </c>
      <c r="V11">
        <f>+D11</f>
        <v>28</v>
      </c>
      <c r="W11">
        <f>+M11</f>
        <v>24</v>
      </c>
    </row>
    <row r="12" spans="1:23" ht="12.75">
      <c r="A12" t="s">
        <v>2</v>
      </c>
      <c r="D12" s="2">
        <v>93</v>
      </c>
      <c r="H12" t="s">
        <v>2</v>
      </c>
      <c r="M12" s="2">
        <v>138</v>
      </c>
      <c r="U12" s="13"/>
      <c r="V12">
        <f>+D16</f>
        <v>16</v>
      </c>
      <c r="W12">
        <f>+M16</f>
        <v>13</v>
      </c>
    </row>
    <row r="13" spans="1:23" ht="12.75">
      <c r="A13" s="1" t="s">
        <v>3</v>
      </c>
      <c r="D13" s="8">
        <f>+D12/D11</f>
        <v>3.3214285714285716</v>
      </c>
      <c r="H13" s="1" t="s">
        <v>3</v>
      </c>
      <c r="M13" s="8">
        <f>+M12/M11</f>
        <v>5.75</v>
      </c>
      <c r="V13">
        <f>+(D15-D16)/2</f>
        <v>8</v>
      </c>
      <c r="W13">
        <f>+(M15-M16)/2</f>
        <v>11</v>
      </c>
    </row>
    <row r="14" spans="22:23" ht="12.75">
      <c r="V14">
        <f>+D38/2</f>
        <v>3.5</v>
      </c>
      <c r="W14">
        <f>+M38/2</f>
        <v>4.5</v>
      </c>
    </row>
    <row r="15" spans="1:23" ht="12.75">
      <c r="A15" t="s">
        <v>4</v>
      </c>
      <c r="D15" s="2">
        <v>32</v>
      </c>
      <c r="H15" t="s">
        <v>4</v>
      </c>
      <c r="M15" s="2">
        <v>35</v>
      </c>
      <c r="V15">
        <f>+D42/2</f>
        <v>1.5</v>
      </c>
      <c r="W15">
        <f>+M42/2</f>
        <v>2.5</v>
      </c>
    </row>
    <row r="16" spans="1:23" ht="12.75">
      <c r="A16" t="s">
        <v>5</v>
      </c>
      <c r="D16" s="2">
        <v>16</v>
      </c>
      <c r="H16" t="s">
        <v>5</v>
      </c>
      <c r="M16" s="2">
        <v>13</v>
      </c>
      <c r="V16">
        <f>+D48/2</f>
        <v>2</v>
      </c>
      <c r="W16">
        <f>+M48/2</f>
        <v>1.5</v>
      </c>
    </row>
    <row r="17" spans="1:13" ht="12.75">
      <c r="A17" t="s">
        <v>6</v>
      </c>
      <c r="D17" s="8">
        <f>+D16/D15*100</f>
        <v>50</v>
      </c>
      <c r="H17" t="s">
        <v>6</v>
      </c>
      <c r="M17" s="8">
        <f>+M16/M15*100</f>
        <v>37.142857142857146</v>
      </c>
    </row>
    <row r="18" spans="1:24" ht="12.75">
      <c r="A18" t="s">
        <v>7</v>
      </c>
      <c r="D18" s="2">
        <v>247</v>
      </c>
      <c r="H18" t="s">
        <v>7</v>
      </c>
      <c r="M18" s="2">
        <v>208</v>
      </c>
      <c r="V18">
        <f>SUM(V11:V16)</f>
        <v>59</v>
      </c>
      <c r="W18">
        <f>SUM(W11:W16)</f>
        <v>56.5</v>
      </c>
      <c r="X18">
        <f>+W18+V18</f>
        <v>115.5</v>
      </c>
    </row>
    <row r="19" spans="1:23" ht="12.75">
      <c r="A19" t="s">
        <v>8</v>
      </c>
      <c r="D19" s="2">
        <v>7</v>
      </c>
      <c r="H19" t="s">
        <v>8</v>
      </c>
      <c r="M19" s="2">
        <v>3</v>
      </c>
      <c r="V19">
        <f>+V18/X18</f>
        <v>0.5108225108225108</v>
      </c>
      <c r="W19">
        <f>+W18/X18</f>
        <v>0.48917748917748916</v>
      </c>
    </row>
    <row r="20" spans="1:23" ht="12.75">
      <c r="A20" t="s">
        <v>9</v>
      </c>
      <c r="D20" s="2">
        <v>53</v>
      </c>
      <c r="H20" t="s">
        <v>9</v>
      </c>
      <c r="M20" s="2">
        <v>29</v>
      </c>
      <c r="V20">
        <f>+V19*60</f>
        <v>30.64935064935065</v>
      </c>
      <c r="W20">
        <f>+W19*60</f>
        <v>29.35064935064935</v>
      </c>
    </row>
    <row r="21" spans="1:23" ht="12.75">
      <c r="A21" t="s">
        <v>10</v>
      </c>
      <c r="D21">
        <f>+D18-D20</f>
        <v>194</v>
      </c>
      <c r="H21" t="s">
        <v>10</v>
      </c>
      <c r="M21">
        <f>+M18-M20</f>
        <v>179</v>
      </c>
      <c r="V21">
        <f>+V20-INT(V20)</f>
        <v>0.6493506493506516</v>
      </c>
      <c r="W21">
        <f>+W20-INT(W20)</f>
        <v>0.35064935064934843</v>
      </c>
    </row>
    <row r="22" spans="1:23" ht="12.75">
      <c r="A22" t="s">
        <v>11</v>
      </c>
      <c r="D22" s="7">
        <f>+D21/(D15+D19)</f>
        <v>4.9743589743589745</v>
      </c>
      <c r="H22" t="s">
        <v>11</v>
      </c>
      <c r="M22" s="7">
        <f>+M21/(M15+M19)</f>
        <v>4.7105263157894735</v>
      </c>
      <c r="V22">
        <f>+V21*60</f>
        <v>38.961038961039094</v>
      </c>
      <c r="W22">
        <f>+W21*60</f>
        <v>21.038961038960906</v>
      </c>
    </row>
    <row r="23" spans="1:23" ht="12.75">
      <c r="A23" t="s">
        <v>12</v>
      </c>
      <c r="D23" s="7">
        <f>+D18/D16</f>
        <v>15.4375</v>
      </c>
      <c r="H23" t="s">
        <v>12</v>
      </c>
      <c r="M23" s="7">
        <f>+M18/M16</f>
        <v>16</v>
      </c>
      <c r="U23">
        <v>0</v>
      </c>
      <c r="V23" s="11">
        <f>ROUND(V22,0)</f>
        <v>39</v>
      </c>
      <c r="W23">
        <f>ROUND(W22,0)</f>
        <v>21</v>
      </c>
    </row>
    <row r="24" spans="22:23" ht="12.75">
      <c r="V24">
        <f>INT(V20)</f>
        <v>30</v>
      </c>
      <c r="W24">
        <f>INT(W20)</f>
        <v>29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287</v>
      </c>
      <c r="H26" t="s">
        <v>14</v>
      </c>
      <c r="M26">
        <f>+M21+M12</f>
        <v>317</v>
      </c>
      <c r="V26" s="14" t="str">
        <f>+V24&amp;V25&amp;V23</f>
        <v>30:39</v>
      </c>
      <c r="W26" s="9" t="str">
        <f>+W24&amp;W25&amp;W23</f>
        <v>29:21</v>
      </c>
    </row>
    <row r="27" spans="1:23" ht="12.75">
      <c r="A27" t="s">
        <v>15</v>
      </c>
      <c r="D27" s="7">
        <f>+D12/D26*100</f>
        <v>32.40418118466899</v>
      </c>
      <c r="H27" t="s">
        <v>15</v>
      </c>
      <c r="M27" s="7">
        <f>+M12/M26*100</f>
        <v>43.53312302839117</v>
      </c>
      <c r="V27" s="9" t="str">
        <f>IF(V23&lt;10,+V24&amp;V25&amp;$U$23&amp;V23,+V24&amp;V25&amp;V23)</f>
        <v>30:39</v>
      </c>
      <c r="W27" s="9" t="str">
        <f>IF(W23&lt;10,+W24&amp;W25&amp;$U$23&amp;W23,+W24&amp;W25&amp;W23)</f>
        <v>29:21</v>
      </c>
    </row>
    <row r="28" spans="1:13" ht="12.75">
      <c r="A28" s="1" t="s">
        <v>86</v>
      </c>
      <c r="D28" s="7">
        <f>+D21/D26*100</f>
        <v>67.59581881533101</v>
      </c>
      <c r="H28" s="1" t="s">
        <v>86</v>
      </c>
      <c r="M28" s="7">
        <f>+M21/M26*100</f>
        <v>56.46687697160884</v>
      </c>
    </row>
    <row r="30" spans="1:13" ht="12.75">
      <c r="A30" t="s">
        <v>16</v>
      </c>
      <c r="D30">
        <f>+D11+D15+D19</f>
        <v>67</v>
      </c>
      <c r="H30" t="s">
        <v>16</v>
      </c>
      <c r="M30">
        <f>+M11+M15+M19</f>
        <v>62</v>
      </c>
    </row>
    <row r="31" spans="1:13" ht="12.75">
      <c r="A31" t="s">
        <v>17</v>
      </c>
      <c r="D31" s="8">
        <f>+D26/D30</f>
        <v>4.2835820895522385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5.112903225806452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2</v>
      </c>
      <c r="H34" t="s">
        <v>19</v>
      </c>
      <c r="M34" s="2">
        <v>1</v>
      </c>
    </row>
    <row r="35" spans="1:13" ht="12.75">
      <c r="A35" t="s">
        <v>20</v>
      </c>
      <c r="D35" s="2">
        <v>49</v>
      </c>
      <c r="H35" t="s">
        <v>20</v>
      </c>
      <c r="M35" s="2">
        <v>29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7</v>
      </c>
      <c r="H38" t="s">
        <v>22</v>
      </c>
      <c r="M38" s="2">
        <v>9</v>
      </c>
    </row>
    <row r="39" spans="1:13" ht="12.75">
      <c r="A39" t="s">
        <v>23</v>
      </c>
      <c r="D39" s="2">
        <v>302</v>
      </c>
      <c r="H39" t="s">
        <v>23</v>
      </c>
      <c r="M39" s="2">
        <v>332</v>
      </c>
    </row>
    <row r="40" spans="1:13" ht="12.75">
      <c r="A40" t="s">
        <v>24</v>
      </c>
      <c r="D40" s="8">
        <f>+D39/D38</f>
        <v>43.142857142857146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36.888888888888886</v>
      </c>
    </row>
    <row r="42" spans="1:13" ht="12.75">
      <c r="A42" t="s">
        <v>25</v>
      </c>
      <c r="D42" s="2">
        <v>3</v>
      </c>
      <c r="H42" t="s">
        <v>25</v>
      </c>
      <c r="M42" s="2">
        <v>5</v>
      </c>
    </row>
    <row r="43" spans="1:13" ht="12.75">
      <c r="A43" t="s">
        <v>26</v>
      </c>
      <c r="D43" s="2">
        <v>16</v>
      </c>
      <c r="H43" t="s">
        <v>26</v>
      </c>
      <c r="M43" s="2">
        <v>7</v>
      </c>
    </row>
    <row r="44" spans="1:13" ht="12.75">
      <c r="A44" t="s">
        <v>27</v>
      </c>
      <c r="D44" s="8">
        <f>+D43/D42</f>
        <v>5.333333333333333</v>
      </c>
      <c r="H44" t="s">
        <v>27</v>
      </c>
      <c r="M44" s="8">
        <f>+M43/M42</f>
        <v>1.4</v>
      </c>
    </row>
    <row r="45" spans="1:13" ht="12.75">
      <c r="A45" t="s">
        <v>106</v>
      </c>
      <c r="D45" s="2">
        <v>3</v>
      </c>
      <c r="H45" t="s">
        <v>106</v>
      </c>
      <c r="M45" s="2">
        <v>0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4</v>
      </c>
      <c r="H48" t="s">
        <v>30</v>
      </c>
      <c r="M48" s="2">
        <v>3</v>
      </c>
    </row>
    <row r="49" spans="1:13" ht="12.75">
      <c r="A49" t="s">
        <v>26</v>
      </c>
      <c r="D49" s="2">
        <v>83</v>
      </c>
      <c r="H49" t="s">
        <v>26</v>
      </c>
      <c r="M49" s="2">
        <v>45</v>
      </c>
    </row>
    <row r="50" spans="1:13" ht="12.75">
      <c r="A50" t="s">
        <v>27</v>
      </c>
      <c r="D50" s="8">
        <f>+D49/D48</f>
        <v>20.75</v>
      </c>
      <c r="H50" t="s">
        <v>27</v>
      </c>
      <c r="M50" s="8">
        <f>+M49/M48</f>
        <v>15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4</v>
      </c>
      <c r="H53" t="s">
        <v>31</v>
      </c>
      <c r="M53" s="2">
        <v>6</v>
      </c>
    </row>
    <row r="54" spans="1:13" ht="12.75">
      <c r="A54" t="s">
        <v>32</v>
      </c>
      <c r="D54" s="2">
        <v>35</v>
      </c>
      <c r="H54" t="s">
        <v>32</v>
      </c>
      <c r="M54" s="2">
        <v>45</v>
      </c>
    </row>
    <row r="56" spans="1:13" ht="12.75">
      <c r="A56" t="s">
        <v>33</v>
      </c>
      <c r="D56" s="2">
        <v>0</v>
      </c>
      <c r="H56" t="s">
        <v>33</v>
      </c>
      <c r="M56" s="2">
        <v>0</v>
      </c>
    </row>
    <row r="57" spans="1:13" ht="12.75">
      <c r="A57" t="s">
        <v>101</v>
      </c>
      <c r="D57" s="2">
        <v>0</v>
      </c>
      <c r="H57" t="s">
        <v>101</v>
      </c>
      <c r="M57" s="2">
        <v>0</v>
      </c>
    </row>
    <row r="59" spans="1:13" ht="12.75">
      <c r="A59" t="s">
        <v>34</v>
      </c>
      <c r="D59" s="2">
        <v>17</v>
      </c>
      <c r="H59" t="s">
        <v>34</v>
      </c>
      <c r="M59" s="2">
        <v>24</v>
      </c>
    </row>
    <row r="60" spans="1:13" ht="12.75">
      <c r="A60" t="s">
        <v>35</v>
      </c>
      <c r="D60" s="2">
        <v>2</v>
      </c>
      <c r="H60" t="s">
        <v>35</v>
      </c>
      <c r="M60" s="2">
        <v>3</v>
      </c>
    </row>
    <row r="61" spans="1:13" ht="12.75">
      <c r="A61" t="s">
        <v>36</v>
      </c>
      <c r="D61" s="2">
        <v>0</v>
      </c>
      <c r="H61" t="s">
        <v>36</v>
      </c>
      <c r="M61" s="2">
        <v>1</v>
      </c>
    </row>
    <row r="62" spans="1:13" ht="12.75">
      <c r="A62" t="s">
        <v>37</v>
      </c>
      <c r="D62" s="2">
        <v>2</v>
      </c>
      <c r="H62" t="s">
        <v>37</v>
      </c>
      <c r="M62" s="2">
        <v>2</v>
      </c>
    </row>
    <row r="63" spans="1:13" ht="12.75">
      <c r="A63" t="s">
        <v>38</v>
      </c>
      <c r="D63" s="2">
        <v>0</v>
      </c>
      <c r="H63" t="s">
        <v>38</v>
      </c>
      <c r="M63" s="2">
        <v>0</v>
      </c>
    </row>
    <row r="64" spans="1:13" ht="12.75">
      <c r="A64" t="s">
        <v>39</v>
      </c>
      <c r="D64" s="2">
        <v>2</v>
      </c>
      <c r="H64" t="s">
        <v>39</v>
      </c>
      <c r="M64" s="2">
        <v>3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1</v>
      </c>
      <c r="H66" t="s">
        <v>41</v>
      </c>
      <c r="M66" s="2">
        <v>1</v>
      </c>
    </row>
    <row r="67" spans="1:13" ht="12.75">
      <c r="A67" t="s">
        <v>42</v>
      </c>
      <c r="D67" s="2">
        <v>1</v>
      </c>
      <c r="H67" t="s">
        <v>42</v>
      </c>
      <c r="M67" s="2">
        <v>2</v>
      </c>
    </row>
    <row r="68" spans="1:13" ht="12.75">
      <c r="A68" t="s">
        <v>43</v>
      </c>
      <c r="D68" s="8">
        <f>+D66/D67*100</f>
        <v>100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50</v>
      </c>
    </row>
    <row r="69" spans="1:13" ht="12.75">
      <c r="A69" t="s">
        <v>89</v>
      </c>
      <c r="D69" s="10" t="str">
        <f>IF(V23&lt;10,V27,V26)</f>
        <v>30:39</v>
      </c>
      <c r="E69" s="8"/>
      <c r="F69" s="8"/>
      <c r="H69" t="s">
        <v>89</v>
      </c>
      <c r="M69" s="10" t="str">
        <f>IF(W23&lt;10,W27,W26)</f>
        <v>29:21</v>
      </c>
    </row>
    <row r="70" spans="1:13" ht="12.75">
      <c r="A70" t="s">
        <v>102</v>
      </c>
      <c r="D70" s="23">
        <f>D161</f>
        <v>21.428571428571427</v>
      </c>
      <c r="E70" s="8"/>
      <c r="F70" s="8"/>
      <c r="H70" t="s">
        <v>102</v>
      </c>
      <c r="M70" s="23">
        <f>M161</f>
        <v>42.857142857142854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110</v>
      </c>
      <c r="C74">
        <v>20</v>
      </c>
      <c r="D74">
        <v>67</v>
      </c>
      <c r="E74" s="12">
        <f aca="true" t="shared" si="0" ref="E74:E84">+D74/C74</f>
        <v>3.35</v>
      </c>
      <c r="F74">
        <v>10</v>
      </c>
      <c r="G74">
        <v>0</v>
      </c>
      <c r="H74">
        <v>0</v>
      </c>
    </row>
    <row r="75" spans="1:8" ht="12.75">
      <c r="A75" t="s">
        <v>111</v>
      </c>
      <c r="C75">
        <v>4</v>
      </c>
      <c r="D75">
        <v>18</v>
      </c>
      <c r="E75" s="12">
        <f t="shared" si="0"/>
        <v>4.5</v>
      </c>
      <c r="F75">
        <v>6</v>
      </c>
      <c r="G75">
        <v>0</v>
      </c>
      <c r="H75">
        <v>0</v>
      </c>
    </row>
    <row r="76" spans="1:5" ht="12.75">
      <c r="A76" t="s">
        <v>112</v>
      </c>
      <c r="E76" s="12" t="e">
        <f t="shared" si="0"/>
        <v>#DIV/0!</v>
      </c>
    </row>
    <row r="77" spans="1:8" ht="12.75">
      <c r="A77" t="s">
        <v>113</v>
      </c>
      <c r="C77">
        <v>1</v>
      </c>
      <c r="D77">
        <v>2</v>
      </c>
      <c r="E77" s="12">
        <f t="shared" si="0"/>
        <v>2</v>
      </c>
      <c r="F77">
        <v>2</v>
      </c>
      <c r="G77">
        <v>0</v>
      </c>
      <c r="H77">
        <v>0</v>
      </c>
    </row>
    <row r="78" spans="1:5" ht="12.75">
      <c r="A78" t="s">
        <v>108</v>
      </c>
      <c r="E78" s="12" t="e">
        <f t="shared" si="0"/>
        <v>#DIV/0!</v>
      </c>
    </row>
    <row r="79" spans="1:8" ht="12.75">
      <c r="A79" t="s">
        <v>114</v>
      </c>
      <c r="C79">
        <v>1</v>
      </c>
      <c r="D79">
        <v>0</v>
      </c>
      <c r="E79" s="12">
        <f t="shared" si="0"/>
        <v>0</v>
      </c>
      <c r="F79">
        <v>0</v>
      </c>
      <c r="G79">
        <v>0</v>
      </c>
      <c r="H79">
        <v>0</v>
      </c>
    </row>
    <row r="80" spans="1:8" ht="12.75">
      <c r="A80" t="s">
        <v>115</v>
      </c>
      <c r="C80">
        <v>1</v>
      </c>
      <c r="D80">
        <v>5</v>
      </c>
      <c r="E80" s="12">
        <f t="shared" si="0"/>
        <v>5</v>
      </c>
      <c r="F80">
        <v>5</v>
      </c>
      <c r="G80">
        <v>0</v>
      </c>
      <c r="H80">
        <v>0</v>
      </c>
    </row>
    <row r="81" spans="1:5" ht="12.75">
      <c r="A81" t="s">
        <v>116</v>
      </c>
      <c r="E81" s="12" t="e">
        <f t="shared" si="0"/>
        <v>#DIV/0!</v>
      </c>
    </row>
    <row r="82" spans="1:5" ht="12.75">
      <c r="A82" t="s">
        <v>117</v>
      </c>
      <c r="E82" s="12" t="e">
        <f t="shared" si="0"/>
        <v>#DIV/0!</v>
      </c>
    </row>
    <row r="83" spans="1:5" ht="12.75">
      <c r="A83" t="s">
        <v>118</v>
      </c>
      <c r="E83" s="12" t="e">
        <f t="shared" si="0"/>
        <v>#DIV/0!</v>
      </c>
    </row>
    <row r="84" spans="1:5" ht="12.75">
      <c r="A84" t="s">
        <v>107</v>
      </c>
      <c r="E84" s="12" t="e">
        <f t="shared" si="0"/>
        <v>#DIV/0!</v>
      </c>
    </row>
    <row r="85" ht="12.75">
      <c r="E85" s="8"/>
    </row>
    <row r="86" spans="1:8" ht="12.75">
      <c r="A86" s="2" t="s">
        <v>52</v>
      </c>
      <c r="C86" s="3" t="s">
        <v>53</v>
      </c>
      <c r="D86" s="3" t="s">
        <v>48</v>
      </c>
      <c r="E86" s="15" t="s">
        <v>49</v>
      </c>
      <c r="F86" s="3" t="s">
        <v>50</v>
      </c>
      <c r="G86" s="3" t="s">
        <v>51</v>
      </c>
      <c r="H86" s="3" t="s">
        <v>80</v>
      </c>
    </row>
    <row r="87" spans="1:8" ht="12.75">
      <c r="A87" t="s">
        <v>107</v>
      </c>
      <c r="C87">
        <v>4</v>
      </c>
      <c r="D87">
        <v>60</v>
      </c>
      <c r="E87" s="12">
        <f aca="true" t="shared" si="1" ref="E87:E98">+D87/C87</f>
        <v>15</v>
      </c>
      <c r="F87">
        <v>29</v>
      </c>
      <c r="G87">
        <v>0</v>
      </c>
      <c r="H87">
        <v>0</v>
      </c>
    </row>
    <row r="88" spans="1:8" ht="12.75">
      <c r="A88" t="s">
        <v>119</v>
      </c>
      <c r="C88">
        <v>2</v>
      </c>
      <c r="D88">
        <v>19</v>
      </c>
      <c r="E88" s="12">
        <f t="shared" si="1"/>
        <v>9.5</v>
      </c>
      <c r="F88">
        <v>12</v>
      </c>
      <c r="G88">
        <v>0</v>
      </c>
      <c r="H88">
        <v>0</v>
      </c>
    </row>
    <row r="89" spans="1:8" ht="12.75">
      <c r="A89" t="s">
        <v>120</v>
      </c>
      <c r="C89">
        <v>3</v>
      </c>
      <c r="D89">
        <v>66</v>
      </c>
      <c r="E89" s="12">
        <f t="shared" si="1"/>
        <v>22</v>
      </c>
      <c r="F89">
        <v>45</v>
      </c>
      <c r="G89">
        <v>2</v>
      </c>
      <c r="H89">
        <v>0</v>
      </c>
    </row>
    <row r="90" spans="1:8" ht="12.75">
      <c r="A90" t="s">
        <v>110</v>
      </c>
      <c r="C90">
        <v>4</v>
      </c>
      <c r="D90">
        <v>50</v>
      </c>
      <c r="E90" s="12">
        <f t="shared" si="1"/>
        <v>12.5</v>
      </c>
      <c r="F90">
        <v>22</v>
      </c>
      <c r="G90">
        <v>0</v>
      </c>
      <c r="H90">
        <v>0</v>
      </c>
    </row>
    <row r="91" spans="1:8" ht="12.75">
      <c r="A91" t="s">
        <v>111</v>
      </c>
      <c r="C91">
        <v>2</v>
      </c>
      <c r="D91">
        <v>1</v>
      </c>
      <c r="E91" s="12">
        <f t="shared" si="1"/>
        <v>0.5</v>
      </c>
      <c r="F91">
        <v>4</v>
      </c>
      <c r="G91">
        <v>0</v>
      </c>
      <c r="H91">
        <v>0</v>
      </c>
    </row>
    <row r="92" spans="1:5" ht="12.75">
      <c r="A92" t="s">
        <v>116</v>
      </c>
      <c r="E92" s="12" t="e">
        <f t="shared" si="1"/>
        <v>#DIV/0!</v>
      </c>
    </row>
    <row r="93" spans="1:8" ht="12.75">
      <c r="A93" t="s">
        <v>121</v>
      </c>
      <c r="C93">
        <v>1</v>
      </c>
      <c r="D93">
        <v>51</v>
      </c>
      <c r="E93" s="12">
        <f t="shared" si="1"/>
        <v>51</v>
      </c>
      <c r="F93">
        <v>51</v>
      </c>
      <c r="G93">
        <v>0</v>
      </c>
      <c r="H93">
        <v>0</v>
      </c>
    </row>
    <row r="94" spans="1:5" ht="12.75">
      <c r="A94" t="s">
        <v>122</v>
      </c>
      <c r="E94" s="12" t="e">
        <f t="shared" si="1"/>
        <v>#DIV/0!</v>
      </c>
    </row>
    <row r="95" spans="1:5" ht="12.75">
      <c r="A95" t="s">
        <v>115</v>
      </c>
      <c r="E95" s="12" t="e">
        <f t="shared" si="1"/>
        <v>#DIV/0!</v>
      </c>
    </row>
    <row r="96" spans="1:5" ht="12.75">
      <c r="A96" t="s">
        <v>123</v>
      </c>
      <c r="E96" s="12" t="e">
        <f t="shared" si="1"/>
        <v>#DIV/0!</v>
      </c>
    </row>
    <row r="97" spans="1:5" ht="12.75">
      <c r="A97" t="s">
        <v>113</v>
      </c>
      <c r="E97" s="12" t="e">
        <f t="shared" si="1"/>
        <v>#DIV/0!</v>
      </c>
    </row>
    <row r="98" spans="1:5" ht="12.75">
      <c r="A98" t="s">
        <v>114</v>
      </c>
      <c r="E98" s="12" t="e">
        <f t="shared" si="1"/>
        <v>#DIV/0!</v>
      </c>
    </row>
    <row r="99" ht="12.75">
      <c r="E99" s="8"/>
    </row>
    <row r="100" spans="1:13" ht="12.75">
      <c r="A100" s="2"/>
      <c r="B100" s="2"/>
      <c r="C100" s="3"/>
      <c r="D100" s="3"/>
      <c r="E100" s="15" t="s">
        <v>57</v>
      </c>
      <c r="F100" s="3" t="s">
        <v>58</v>
      </c>
      <c r="G100" s="3"/>
      <c r="H100" s="3"/>
      <c r="I100" s="3" t="s">
        <v>61</v>
      </c>
      <c r="J100" s="3" t="s">
        <v>63</v>
      </c>
      <c r="K100" s="3" t="s">
        <v>57</v>
      </c>
      <c r="L100" s="3" t="s">
        <v>49</v>
      </c>
      <c r="M100" s="3"/>
    </row>
    <row r="101" spans="1:14" ht="12.75">
      <c r="A101" s="2" t="s">
        <v>54</v>
      </c>
      <c r="B101" s="2"/>
      <c r="C101" s="3" t="s">
        <v>55</v>
      </c>
      <c r="D101" s="3" t="s">
        <v>56</v>
      </c>
      <c r="E101" s="15" t="s">
        <v>56</v>
      </c>
      <c r="F101" s="3" t="s">
        <v>59</v>
      </c>
      <c r="G101" s="3" t="s">
        <v>51</v>
      </c>
      <c r="H101" s="3" t="s">
        <v>60</v>
      </c>
      <c r="I101" s="5" t="s">
        <v>62</v>
      </c>
      <c r="J101" s="3" t="s">
        <v>51</v>
      </c>
      <c r="K101" s="3" t="s">
        <v>64</v>
      </c>
      <c r="L101" s="3" t="s">
        <v>65</v>
      </c>
      <c r="M101" s="3" t="s">
        <v>66</v>
      </c>
      <c r="N101" s="3" t="s">
        <v>80</v>
      </c>
    </row>
    <row r="102" spans="1:25" ht="12.75">
      <c r="A102" t="s">
        <v>113</v>
      </c>
      <c r="C102">
        <v>31</v>
      </c>
      <c r="D102">
        <v>16</v>
      </c>
      <c r="E102" s="12">
        <f>+D102/C102*100</f>
        <v>51.61290322580645</v>
      </c>
      <c r="F102">
        <v>247</v>
      </c>
      <c r="G102">
        <v>2</v>
      </c>
      <c r="H102">
        <v>51</v>
      </c>
      <c r="I102">
        <v>2</v>
      </c>
      <c r="J102" s="8">
        <f>+G102/C102*100</f>
        <v>6.451612903225806</v>
      </c>
      <c r="K102" s="12">
        <f>+I102/C102*100</f>
        <v>6.451612903225806</v>
      </c>
      <c r="L102" s="12">
        <f>+F102/C102</f>
        <v>7.967741935483871</v>
      </c>
      <c r="M102" s="12">
        <f>100*(S102+U102+W102+Y102)/6</f>
        <v>72.91666666666667</v>
      </c>
      <c r="R102">
        <f>+(E102-30)/20</f>
        <v>1.0806451612903225</v>
      </c>
      <c r="S102" s="2">
        <f>IF(R102&lt;0,0,IF(R102&gt;2.375,2.375,R102))</f>
        <v>1.0806451612903225</v>
      </c>
      <c r="T102" s="6">
        <f>+(L102-3)/4</f>
        <v>1.2419354838709677</v>
      </c>
      <c r="U102" s="2">
        <f>IF(T102&lt;0,0,IF(T102&gt;2.375,2.375,T102))</f>
        <v>1.2419354838709677</v>
      </c>
      <c r="V102">
        <f>+J102/5</f>
        <v>1.2903225806451613</v>
      </c>
      <c r="W102" s="2">
        <f>IF(V102&lt;0,0,IF(V102&gt;2.375,2.375,V102))</f>
        <v>1.2903225806451613</v>
      </c>
      <c r="X102">
        <f>(9.5-K102)/4</f>
        <v>0.7620967741935485</v>
      </c>
      <c r="Y102" s="2">
        <f>IF(X102&lt;0,0,X102)</f>
        <v>0.7620967741935485</v>
      </c>
    </row>
    <row r="103" spans="1:25" ht="12.75">
      <c r="A103" t="s">
        <v>112</v>
      </c>
      <c r="C103">
        <v>1</v>
      </c>
      <c r="D103">
        <v>0</v>
      </c>
      <c r="E103" s="12">
        <f>+D103/C103*100</f>
        <v>0</v>
      </c>
      <c r="F103">
        <v>0</v>
      </c>
      <c r="G103">
        <v>0</v>
      </c>
      <c r="H103">
        <v>0</v>
      </c>
      <c r="I103">
        <v>0</v>
      </c>
      <c r="J103" s="8">
        <f>+G103/C103*100</f>
        <v>0</v>
      </c>
      <c r="K103" s="12">
        <f>+I103/C103*100</f>
        <v>0</v>
      </c>
      <c r="L103" s="12">
        <f>+F103/C103</f>
        <v>0</v>
      </c>
      <c r="M103" s="12">
        <f>100*(S103+U103+W103+Y103)/6</f>
        <v>39.583333333333336</v>
      </c>
      <c r="R103">
        <f>+(E103-30)/20</f>
        <v>-1.5</v>
      </c>
      <c r="S103" s="2">
        <f>IF(R103&lt;0,0,IF(R103&gt;2.375,2.375,R103))</f>
        <v>0</v>
      </c>
      <c r="T103" s="6">
        <f>+(L103-3)/4</f>
        <v>-0.75</v>
      </c>
      <c r="U103" s="2">
        <f>IF(T103&lt;0,0,IF(T103&gt;2.375,2.375,T103))</f>
        <v>0</v>
      </c>
      <c r="V103">
        <f>+J103/5</f>
        <v>0</v>
      </c>
      <c r="W103" s="2">
        <f>IF(V103&lt;0,0,IF(V103&gt;2.375,2.375,V103))</f>
        <v>0</v>
      </c>
      <c r="X103">
        <f>(9.5-K103)/4</f>
        <v>2.375</v>
      </c>
      <c r="Y103" s="2">
        <f>IF(X103&lt;0,0,X103)</f>
        <v>2.375</v>
      </c>
    </row>
    <row r="104" spans="1:25" ht="12.75">
      <c r="A104" t="s">
        <v>118</v>
      </c>
      <c r="E104" s="12" t="e">
        <f>+D104/C104*100</f>
        <v>#DIV/0!</v>
      </c>
      <c r="J104" s="8" t="e">
        <f>+G104/C104*100</f>
        <v>#DIV/0!</v>
      </c>
      <c r="K104" s="12" t="e">
        <f>+I104/C104*100</f>
        <v>#DIV/0!</v>
      </c>
      <c r="L104" s="12" t="e">
        <f>+F104/C104</f>
        <v>#DIV/0!</v>
      </c>
      <c r="M104" s="12" t="e">
        <f>100*(S104+U104+W104+Y104)/6</f>
        <v>#DIV/0!</v>
      </c>
      <c r="R104" t="e">
        <f>+(E104-30)/20</f>
        <v>#DIV/0!</v>
      </c>
      <c r="S104" s="2" t="e">
        <f>IF(R104&lt;0,0,IF(R104&gt;2.375,2.375,R104))</f>
        <v>#DIV/0!</v>
      </c>
      <c r="T104" s="6" t="e">
        <f>+(L104-3)/4</f>
        <v>#DIV/0!</v>
      </c>
      <c r="U104" s="2" t="e">
        <f>IF(T104&lt;0,0,IF(T104&gt;2.375,2.375,T104))</f>
        <v>#DIV/0!</v>
      </c>
      <c r="V104" t="e">
        <f>+J104/5</f>
        <v>#DIV/0!</v>
      </c>
      <c r="W104" s="2" t="e">
        <f>IF(V104&lt;0,0,IF(V104&gt;2.375,2.375,V104))</f>
        <v>#DIV/0!</v>
      </c>
      <c r="X104" t="e">
        <f>(9.5-K104)/4</f>
        <v>#DIV/0!</v>
      </c>
      <c r="Y104" s="2" t="e">
        <f>IF(X104&lt;0,0,X104)</f>
        <v>#DIV/0!</v>
      </c>
    </row>
    <row r="105" spans="1:25" ht="12.75">
      <c r="A105" t="s">
        <v>116</v>
      </c>
      <c r="E105" s="12" t="e">
        <f>+D105/C105*100</f>
        <v>#DIV/0!</v>
      </c>
      <c r="J105" s="8" t="e">
        <f>+G105/C105*100</f>
        <v>#DIV/0!</v>
      </c>
      <c r="K105" s="12" t="e">
        <f>+I105/C105*100</f>
        <v>#DIV/0!</v>
      </c>
      <c r="L105" s="12" t="e">
        <f>+F105/C105</f>
        <v>#DIV/0!</v>
      </c>
      <c r="M105" s="12" t="e">
        <f>100*(S105+U105+W105+Y105)/6</f>
        <v>#DIV/0!</v>
      </c>
      <c r="R105" t="e">
        <f>+(E105-30)/20</f>
        <v>#DIV/0!</v>
      </c>
      <c r="S105" s="2" t="e">
        <f>IF(R105&lt;0,0,IF(R105&gt;2.375,2.375,R105))</f>
        <v>#DIV/0!</v>
      </c>
      <c r="T105" s="6" t="e">
        <f>+(L105-3)/4</f>
        <v>#DIV/0!</v>
      </c>
      <c r="U105" s="2" t="e">
        <f>IF(T105&lt;0,0,IF(T105&gt;2.375,2.375,T105))</f>
        <v>#DIV/0!</v>
      </c>
      <c r="V105" t="e">
        <f>+J105/5</f>
        <v>#DIV/0!</v>
      </c>
      <c r="W105" s="2" t="e">
        <f>IF(V105&lt;0,0,IF(V105&gt;2.375,2.375,V105))</f>
        <v>#DIV/0!</v>
      </c>
      <c r="X105" t="e">
        <f>(9.5-K105)/4</f>
        <v>#DIV/0!</v>
      </c>
      <c r="Y105" s="2" t="e">
        <f>IF(X105&lt;0,0,X105)</f>
        <v>#DIV/0!</v>
      </c>
    </row>
    <row r="106" spans="1:25" ht="12.75">
      <c r="A106" t="s">
        <v>107</v>
      </c>
      <c r="E106" s="12" t="e">
        <f>+D106/C106*100</f>
        <v>#DIV/0!</v>
      </c>
      <c r="J106" s="8" t="e">
        <f>+G106/C106*100</f>
        <v>#DIV/0!</v>
      </c>
      <c r="K106" s="12" t="e">
        <f>+I106/C106*100</f>
        <v>#DIV/0!</v>
      </c>
      <c r="L106" s="12" t="e">
        <f>+F106/C106</f>
        <v>#DIV/0!</v>
      </c>
      <c r="M106" s="12" t="e">
        <f>100*(S106+U106+W106+Y106)/6</f>
        <v>#DIV/0!</v>
      </c>
      <c r="R106" t="e">
        <f>+(E106-30)/20</f>
        <v>#DIV/0!</v>
      </c>
      <c r="S106" s="2" t="e">
        <f>IF(R106&lt;0,0,IF(R106&gt;2.375,2.375,R106))</f>
        <v>#DIV/0!</v>
      </c>
      <c r="T106" s="6" t="e">
        <f>+(L106-3)/4</f>
        <v>#DIV/0!</v>
      </c>
      <c r="U106" s="2" t="e">
        <f>IF(T106&lt;0,0,IF(T106&gt;2.375,2.375,T106))</f>
        <v>#DIV/0!</v>
      </c>
      <c r="V106" t="e">
        <f>+J106/5</f>
        <v>#DIV/0!</v>
      </c>
      <c r="W106" s="2" t="e">
        <f>IF(V106&lt;0,0,IF(V106&gt;2.375,2.375,V106))</f>
        <v>#DIV/0!</v>
      </c>
      <c r="X106" t="e">
        <f>(9.5-K106)/4</f>
        <v>#DIV/0!</v>
      </c>
      <c r="Y106" s="2" t="e">
        <f>IF(X106&lt;0,0,X106)</f>
        <v>#DIV/0!</v>
      </c>
    </row>
    <row r="109" spans="1:9" ht="12.75">
      <c r="A109" s="2" t="s">
        <v>67</v>
      </c>
      <c r="C109" s="3" t="s">
        <v>68</v>
      </c>
      <c r="D109" s="3" t="s">
        <v>69</v>
      </c>
      <c r="E109" s="3" t="s">
        <v>70</v>
      </c>
      <c r="F109" s="3" t="s">
        <v>49</v>
      </c>
      <c r="G109" s="3" t="s">
        <v>60</v>
      </c>
      <c r="H109" s="3" t="s">
        <v>51</v>
      </c>
      <c r="I109" s="3" t="s">
        <v>80</v>
      </c>
    </row>
    <row r="110" spans="1:9" ht="12.75">
      <c r="A110" t="s">
        <v>124</v>
      </c>
      <c r="C110">
        <v>3</v>
      </c>
      <c r="D110">
        <v>1</v>
      </c>
      <c r="E110">
        <v>16</v>
      </c>
      <c r="F110" s="12">
        <f>+E110/C110</f>
        <v>5.333333333333333</v>
      </c>
      <c r="G110">
        <v>7</v>
      </c>
      <c r="H110">
        <v>0</v>
      </c>
      <c r="I110">
        <v>0</v>
      </c>
    </row>
    <row r="111" spans="1:9" ht="12.75">
      <c r="A111" t="s">
        <v>123</v>
      </c>
      <c r="C111">
        <v>0</v>
      </c>
      <c r="D111">
        <v>2</v>
      </c>
      <c r="E111">
        <v>0</v>
      </c>
      <c r="F111" s="12">
        <v>0</v>
      </c>
      <c r="G111">
        <v>0</v>
      </c>
      <c r="H111">
        <v>0</v>
      </c>
      <c r="I111">
        <v>0</v>
      </c>
    </row>
    <row r="112" spans="1:6" ht="12.75">
      <c r="A112" t="s">
        <v>117</v>
      </c>
      <c r="F112" s="12" t="e">
        <f>+E112/C112</f>
        <v>#DIV/0!</v>
      </c>
    </row>
    <row r="114" spans="1:8" ht="12.75">
      <c r="A114" s="2" t="s">
        <v>30</v>
      </c>
      <c r="C114" s="3" t="s">
        <v>68</v>
      </c>
      <c r="D114" s="3" t="s">
        <v>70</v>
      </c>
      <c r="E114" s="3" t="s">
        <v>49</v>
      </c>
      <c r="F114" s="3" t="s">
        <v>60</v>
      </c>
      <c r="G114" s="3" t="s">
        <v>51</v>
      </c>
      <c r="H114" s="3" t="s">
        <v>80</v>
      </c>
    </row>
    <row r="115" spans="1:8" ht="12.75">
      <c r="A115" t="s">
        <v>114</v>
      </c>
      <c r="C115">
        <v>4</v>
      </c>
      <c r="D115">
        <v>83</v>
      </c>
      <c r="E115" s="12">
        <f aca="true" t="shared" si="2" ref="E115:E120">+D115/C115</f>
        <v>20.75</v>
      </c>
      <c r="F115">
        <v>35</v>
      </c>
      <c r="G115">
        <v>0</v>
      </c>
      <c r="H115">
        <v>0</v>
      </c>
    </row>
    <row r="116" spans="1:5" ht="12.75">
      <c r="A116" t="s">
        <v>125</v>
      </c>
      <c r="E116" s="12" t="e">
        <f t="shared" si="2"/>
        <v>#DIV/0!</v>
      </c>
    </row>
    <row r="117" spans="1:5" ht="12.75">
      <c r="A117" t="s">
        <v>116</v>
      </c>
      <c r="E117" s="12" t="e">
        <f t="shared" si="2"/>
        <v>#DIV/0!</v>
      </c>
    </row>
    <row r="118" spans="1:5" ht="12.75">
      <c r="A118" t="s">
        <v>108</v>
      </c>
      <c r="E118" s="12" t="e">
        <f t="shared" si="2"/>
        <v>#DIV/0!</v>
      </c>
    </row>
    <row r="119" spans="1:5" ht="12.75">
      <c r="A119" t="s">
        <v>115</v>
      </c>
      <c r="E119" s="12" t="e">
        <f t="shared" si="2"/>
        <v>#DIV/0!</v>
      </c>
    </row>
    <row r="120" spans="1:5" ht="12.75">
      <c r="A120" t="s">
        <v>121</v>
      </c>
      <c r="E120" s="12" t="e">
        <f t="shared" si="2"/>
        <v>#DIV/0!</v>
      </c>
    </row>
    <row r="122" spans="1:7" ht="12.75">
      <c r="A122" s="2" t="s">
        <v>71</v>
      </c>
      <c r="C122" s="3" t="s">
        <v>68</v>
      </c>
      <c r="D122" s="3" t="s">
        <v>70</v>
      </c>
      <c r="E122" s="3" t="s">
        <v>49</v>
      </c>
      <c r="F122" s="3" t="s">
        <v>60</v>
      </c>
      <c r="G122" s="3" t="s">
        <v>72</v>
      </c>
    </row>
    <row r="123" spans="1:7" ht="12.75">
      <c r="A123" t="s">
        <v>126</v>
      </c>
      <c r="C123">
        <v>7</v>
      </c>
      <c r="D123">
        <v>302</v>
      </c>
      <c r="E123" s="12">
        <f>+D123/C123</f>
        <v>43.142857142857146</v>
      </c>
      <c r="F123">
        <v>52</v>
      </c>
      <c r="G123">
        <v>0</v>
      </c>
    </row>
    <row r="124" spans="1:7" ht="12.75">
      <c r="A124" t="s">
        <v>113</v>
      </c>
      <c r="C124">
        <v>1</v>
      </c>
      <c r="D124">
        <v>33</v>
      </c>
      <c r="E124" s="12">
        <f>+D124/C124</f>
        <v>33</v>
      </c>
      <c r="F124">
        <v>33</v>
      </c>
      <c r="G124">
        <v>0</v>
      </c>
    </row>
    <row r="125" ht="12.75">
      <c r="I125" s="5" t="s">
        <v>63</v>
      </c>
    </row>
    <row r="126" spans="1:10" ht="12.75">
      <c r="A126" s="4" t="s">
        <v>79</v>
      </c>
      <c r="C126" s="3" t="s">
        <v>73</v>
      </c>
      <c r="D126" s="3" t="s">
        <v>74</v>
      </c>
      <c r="E126" s="3" t="s">
        <v>75</v>
      </c>
      <c r="F126" s="3" t="s">
        <v>76</v>
      </c>
      <c r="G126" s="3" t="s">
        <v>77</v>
      </c>
      <c r="H126" s="3" t="s">
        <v>78</v>
      </c>
      <c r="I126" s="3" t="s">
        <v>82</v>
      </c>
      <c r="J126" s="3" t="s">
        <v>60</v>
      </c>
    </row>
    <row r="127" spans="1:10" ht="12.75">
      <c r="A127" t="s">
        <v>127</v>
      </c>
      <c r="C127">
        <v>4</v>
      </c>
      <c r="D127">
        <v>1</v>
      </c>
      <c r="E127">
        <v>2</v>
      </c>
      <c r="F127">
        <v>2</v>
      </c>
      <c r="G127">
        <v>1</v>
      </c>
      <c r="H127">
        <v>1</v>
      </c>
      <c r="I127" s="12">
        <f>+H127/G127*100</f>
        <v>100</v>
      </c>
      <c r="J127">
        <v>21</v>
      </c>
    </row>
    <row r="129" spans="1:8" ht="12.75">
      <c r="A129" s="2" t="s">
        <v>81</v>
      </c>
      <c r="C129" s="3" t="s">
        <v>68</v>
      </c>
      <c r="D129" s="3" t="s">
        <v>70</v>
      </c>
      <c r="E129" s="3" t="s">
        <v>49</v>
      </c>
      <c r="F129" s="3" t="s">
        <v>60</v>
      </c>
      <c r="G129" s="3" t="s">
        <v>51</v>
      </c>
      <c r="H129" s="3" t="s">
        <v>80</v>
      </c>
    </row>
    <row r="130" spans="1:5" ht="12.75">
      <c r="A130" t="s">
        <v>128</v>
      </c>
      <c r="E130" s="12" t="e">
        <f>+D130/C130</f>
        <v>#DIV/0!</v>
      </c>
    </row>
    <row r="131" spans="1:5" ht="12.75">
      <c r="A131" t="s">
        <v>129</v>
      </c>
      <c r="E131" s="12" t="e">
        <f aca="true" t="shared" si="3" ref="E131:E138">+D131/C131</f>
        <v>#DIV/0!</v>
      </c>
    </row>
    <row r="132" spans="1:8" ht="12.75">
      <c r="A132" t="s">
        <v>130</v>
      </c>
      <c r="C132">
        <v>1</v>
      </c>
      <c r="D132">
        <v>29</v>
      </c>
      <c r="E132" s="12">
        <f t="shared" si="3"/>
        <v>29</v>
      </c>
      <c r="F132">
        <v>29</v>
      </c>
      <c r="G132">
        <v>0</v>
      </c>
      <c r="H132">
        <v>0</v>
      </c>
    </row>
    <row r="133" spans="1:5" ht="12.75">
      <c r="A133" t="s">
        <v>124</v>
      </c>
      <c r="E133" s="12" t="e">
        <f t="shared" si="3"/>
        <v>#DIV/0!</v>
      </c>
    </row>
    <row r="134" spans="1:5" ht="12.75">
      <c r="A134" t="s">
        <v>131</v>
      </c>
      <c r="E134" s="12" t="e">
        <f t="shared" si="3"/>
        <v>#DIV/0!</v>
      </c>
    </row>
    <row r="135" spans="1:5" ht="12.75">
      <c r="A135" t="s">
        <v>132</v>
      </c>
      <c r="E135" s="12" t="e">
        <f t="shared" si="3"/>
        <v>#DIV/0!</v>
      </c>
    </row>
    <row r="136" spans="1:5" ht="12.75">
      <c r="A136" t="s">
        <v>133</v>
      </c>
      <c r="E136" s="12" t="e">
        <f t="shared" si="3"/>
        <v>#DIV/0!</v>
      </c>
    </row>
    <row r="137" spans="1:5" ht="12.75">
      <c r="A137" t="s">
        <v>134</v>
      </c>
      <c r="E137" s="12" t="e">
        <f t="shared" si="3"/>
        <v>#DIV/0!</v>
      </c>
    </row>
    <row r="138" spans="1:5" ht="12.75">
      <c r="A138" t="s">
        <v>135</v>
      </c>
      <c r="E138" s="12" t="e">
        <f t="shared" si="3"/>
        <v>#DIV/0!</v>
      </c>
    </row>
    <row r="139" ht="12.75">
      <c r="A139" t="s">
        <v>136</v>
      </c>
    </row>
    <row r="141" spans="1:4" ht="12.75">
      <c r="A141" s="2" t="s">
        <v>90</v>
      </c>
      <c r="C141" s="3" t="s">
        <v>68</v>
      </c>
      <c r="D141" s="3"/>
    </row>
    <row r="142" spans="1:3" ht="12.75">
      <c r="A142" t="s">
        <v>137</v>
      </c>
      <c r="C142">
        <v>1.5</v>
      </c>
    </row>
    <row r="143" ht="12.75">
      <c r="A143" t="s">
        <v>134</v>
      </c>
    </row>
    <row r="144" ht="12.75">
      <c r="A144" t="s">
        <v>138</v>
      </c>
    </row>
    <row r="145" ht="12.75">
      <c r="A145" t="s">
        <v>136</v>
      </c>
    </row>
    <row r="146" ht="12.75">
      <c r="A146" t="s">
        <v>139</v>
      </c>
    </row>
    <row r="147" spans="1:3" ht="12.75">
      <c r="A147" t="s">
        <v>135</v>
      </c>
      <c r="C147">
        <v>1</v>
      </c>
    </row>
    <row r="148" ht="12.75">
      <c r="A148" t="s">
        <v>133</v>
      </c>
    </row>
    <row r="149" spans="1:3" ht="12.75">
      <c r="A149" t="s">
        <v>140</v>
      </c>
      <c r="C149">
        <v>0.5</v>
      </c>
    </row>
    <row r="150" ht="12.75">
      <c r="A150" t="s">
        <v>141</v>
      </c>
    </row>
    <row r="151" ht="12.75">
      <c r="A151" t="s">
        <v>142</v>
      </c>
    </row>
    <row r="152" ht="12.75">
      <c r="A152" t="s">
        <v>143</v>
      </c>
    </row>
    <row r="153" ht="12.75">
      <c r="A153" t="s">
        <v>124</v>
      </c>
    </row>
    <row r="154" ht="12.75">
      <c r="A154" t="s">
        <v>129</v>
      </c>
    </row>
    <row r="155" ht="12.75">
      <c r="A155" t="s">
        <v>132</v>
      </c>
    </row>
    <row r="156" ht="12.75">
      <c r="A156" t="s">
        <v>144</v>
      </c>
    </row>
    <row r="158" spans="3:14" ht="12.75">
      <c r="C158" s="2"/>
      <c r="D158" s="2" t="s">
        <v>84</v>
      </c>
      <c r="E158" s="2" t="s">
        <v>85</v>
      </c>
      <c r="M158" s="2" t="s">
        <v>84</v>
      </c>
      <c r="N158" s="2" t="s">
        <v>85</v>
      </c>
    </row>
    <row r="159" spans="1:13" ht="12.75">
      <c r="A159" t="s">
        <v>93</v>
      </c>
      <c r="D159">
        <v>14</v>
      </c>
      <c r="H159" t="s">
        <v>93</v>
      </c>
      <c r="M159">
        <v>14</v>
      </c>
    </row>
    <row r="160" spans="1:13" ht="12.75">
      <c r="A160" t="s">
        <v>94</v>
      </c>
      <c r="D160">
        <v>3</v>
      </c>
      <c r="H160" t="s">
        <v>94</v>
      </c>
      <c r="M160">
        <v>6</v>
      </c>
    </row>
    <row r="161" spans="1:13" ht="12.75">
      <c r="A161" t="s">
        <v>95</v>
      </c>
      <c r="D161">
        <f>D160/D159*100</f>
        <v>21.428571428571427</v>
      </c>
      <c r="H161" t="s">
        <v>95</v>
      </c>
      <c r="M161">
        <f>+M160/M159*100</f>
        <v>42.857142857142854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</sheetPr>
  <dimension ref="A1:Y161"/>
  <sheetViews>
    <sheetView zoomScalePageLayoutView="0" workbookViewId="0" topLeftCell="A60">
      <selection activeCell="A73" sqref="A73:M145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109</v>
      </c>
      <c r="E1" s="2" t="s">
        <v>96</v>
      </c>
      <c r="F1" s="2" t="s">
        <v>97</v>
      </c>
    </row>
    <row r="2" ht="12.75">
      <c r="E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25</v>
      </c>
      <c r="H6" s="1" t="s">
        <v>29</v>
      </c>
      <c r="M6" s="2">
        <f>M7+M8+M9</f>
        <v>21</v>
      </c>
    </row>
    <row r="7" spans="1:13" ht="12.75">
      <c r="A7" s="1" t="s">
        <v>103</v>
      </c>
      <c r="D7" s="2">
        <v>11</v>
      </c>
      <c r="H7" s="1" t="s">
        <v>103</v>
      </c>
      <c r="M7" s="2">
        <v>9</v>
      </c>
    </row>
    <row r="8" spans="1:13" ht="12.75">
      <c r="A8" s="1" t="s">
        <v>105</v>
      </c>
      <c r="D8" s="2">
        <v>11</v>
      </c>
      <c r="H8" s="1" t="s">
        <v>105</v>
      </c>
      <c r="M8" s="2">
        <v>11</v>
      </c>
    </row>
    <row r="9" spans="1:13" ht="12.75">
      <c r="A9" s="1" t="s">
        <v>104</v>
      </c>
      <c r="D9" s="2">
        <v>3</v>
      </c>
      <c r="H9" s="1" t="s">
        <v>104</v>
      </c>
      <c r="M9" s="2">
        <v>1</v>
      </c>
    </row>
    <row r="11" spans="1:23" ht="12.75">
      <c r="A11" t="s">
        <v>1</v>
      </c>
      <c r="D11" s="2">
        <v>28</v>
      </c>
      <c r="H11" t="s">
        <v>1</v>
      </c>
      <c r="M11" s="2">
        <v>31</v>
      </c>
      <c r="V11">
        <f>+D11</f>
        <v>28</v>
      </c>
      <c r="W11">
        <f>+M11</f>
        <v>31</v>
      </c>
    </row>
    <row r="12" spans="1:23" ht="12.75">
      <c r="A12" t="s">
        <v>2</v>
      </c>
      <c r="D12" s="2">
        <v>162</v>
      </c>
      <c r="H12" t="s">
        <v>2</v>
      </c>
      <c r="M12" s="2">
        <v>131</v>
      </c>
      <c r="U12" s="13"/>
      <c r="V12">
        <f>+D16</f>
        <v>19</v>
      </c>
      <c r="W12">
        <f>+M16</f>
        <v>19</v>
      </c>
    </row>
    <row r="13" spans="1:23" ht="12.75">
      <c r="A13" s="1" t="s">
        <v>3</v>
      </c>
      <c r="D13" s="8">
        <f>+D12/D11</f>
        <v>5.785714285714286</v>
      </c>
      <c r="H13" s="1" t="s">
        <v>3</v>
      </c>
      <c r="M13" s="8">
        <f>+M12/M11</f>
        <v>4.225806451612903</v>
      </c>
      <c r="V13">
        <f>+(D15-D16)/2</f>
        <v>7.5</v>
      </c>
      <c r="W13">
        <f>+(M15-M16)/2</f>
        <v>8</v>
      </c>
    </row>
    <row r="14" spans="22:23" ht="12.75">
      <c r="V14">
        <f>+D38/2</f>
        <v>2</v>
      </c>
      <c r="W14">
        <f>+M38/2</f>
        <v>2</v>
      </c>
    </row>
    <row r="15" spans="1:23" ht="12.75">
      <c r="A15" t="s">
        <v>4</v>
      </c>
      <c r="D15" s="2">
        <v>34</v>
      </c>
      <c r="H15" t="s">
        <v>4</v>
      </c>
      <c r="M15" s="2">
        <v>35</v>
      </c>
      <c r="V15">
        <f>+D42/2</f>
        <v>1</v>
      </c>
      <c r="W15">
        <f>+M42/2</f>
        <v>1.5</v>
      </c>
    </row>
    <row r="16" spans="1:23" ht="12.75">
      <c r="A16" t="s">
        <v>5</v>
      </c>
      <c r="D16" s="2">
        <v>19</v>
      </c>
      <c r="H16" t="s">
        <v>5</v>
      </c>
      <c r="M16" s="2">
        <v>19</v>
      </c>
      <c r="V16">
        <f>+D48/2</f>
        <v>2</v>
      </c>
      <c r="W16">
        <f>+M48/2</f>
        <v>3.5</v>
      </c>
    </row>
    <row r="17" spans="1:13" ht="12.75">
      <c r="A17" t="s">
        <v>6</v>
      </c>
      <c r="D17" s="8">
        <f>+D16/D15*100</f>
        <v>55.88235294117647</v>
      </c>
      <c r="H17" t="s">
        <v>6</v>
      </c>
      <c r="M17" s="8">
        <f>+M16/M15*100</f>
        <v>54.285714285714285</v>
      </c>
    </row>
    <row r="18" spans="1:24" ht="12.75">
      <c r="A18" t="s">
        <v>7</v>
      </c>
      <c r="D18" s="2">
        <v>213</v>
      </c>
      <c r="H18" t="s">
        <v>7</v>
      </c>
      <c r="M18" s="2">
        <v>269</v>
      </c>
      <c r="V18">
        <f>SUM(V11:V16)</f>
        <v>59.5</v>
      </c>
      <c r="W18">
        <f>SUM(W11:W16)</f>
        <v>65</v>
      </c>
      <c r="X18">
        <f>+W18+V18</f>
        <v>124.5</v>
      </c>
    </row>
    <row r="19" spans="1:23" ht="12.75">
      <c r="A19" t="s">
        <v>8</v>
      </c>
      <c r="D19" s="2">
        <v>1</v>
      </c>
      <c r="H19" t="s">
        <v>8</v>
      </c>
      <c r="M19" s="2">
        <v>3</v>
      </c>
      <c r="V19">
        <f>+V18/X18</f>
        <v>0.4779116465863454</v>
      </c>
      <c r="W19">
        <f>+W18/X18</f>
        <v>0.5220883534136547</v>
      </c>
    </row>
    <row r="20" spans="1:23" ht="12.75">
      <c r="A20" t="s">
        <v>9</v>
      </c>
      <c r="D20" s="2">
        <v>9</v>
      </c>
      <c r="H20" t="s">
        <v>9</v>
      </c>
      <c r="M20" s="2">
        <v>27</v>
      </c>
      <c r="V20">
        <f>+V19*60</f>
        <v>28.674698795180724</v>
      </c>
      <c r="W20">
        <f>+W19*60</f>
        <v>31.32530120481928</v>
      </c>
    </row>
    <row r="21" spans="1:23" ht="12.75">
      <c r="A21" t="s">
        <v>10</v>
      </c>
      <c r="D21">
        <f>+D18-D20</f>
        <v>204</v>
      </c>
      <c r="H21" t="s">
        <v>10</v>
      </c>
      <c r="M21">
        <f>+M18-M20</f>
        <v>242</v>
      </c>
      <c r="V21">
        <f>+V20-INT(V20)</f>
        <v>0.6746987951807242</v>
      </c>
      <c r="W21">
        <f>+W20-INT(W20)</f>
        <v>0.3253012048192794</v>
      </c>
    </row>
    <row r="22" spans="1:23" ht="12.75">
      <c r="A22" t="s">
        <v>11</v>
      </c>
      <c r="D22" s="7">
        <f>+D21/(D15+D19)</f>
        <v>5.828571428571428</v>
      </c>
      <c r="H22" t="s">
        <v>11</v>
      </c>
      <c r="M22" s="7">
        <f>+M21/(M15+M19)</f>
        <v>6.368421052631579</v>
      </c>
      <c r="V22">
        <f>+V21*60</f>
        <v>40.48192771084345</v>
      </c>
      <c r="W22">
        <f>+W21*60</f>
        <v>19.518072289156763</v>
      </c>
    </row>
    <row r="23" spans="1:23" ht="12.75">
      <c r="A23" t="s">
        <v>12</v>
      </c>
      <c r="D23" s="7">
        <f>+D18/D16</f>
        <v>11.210526315789474</v>
      </c>
      <c r="H23" t="s">
        <v>12</v>
      </c>
      <c r="M23" s="7">
        <f>+M18/M16</f>
        <v>14.157894736842104</v>
      </c>
      <c r="U23">
        <v>0</v>
      </c>
      <c r="V23" s="11">
        <f>ROUND(V22,0)</f>
        <v>40</v>
      </c>
      <c r="W23">
        <f>ROUND(W22,0)</f>
        <v>20</v>
      </c>
    </row>
    <row r="24" spans="22:23" ht="12.75">
      <c r="V24">
        <f>INT(V20)</f>
        <v>28</v>
      </c>
      <c r="W24">
        <f>INT(W20)</f>
        <v>31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366</v>
      </c>
      <c r="H26" t="s">
        <v>14</v>
      </c>
      <c r="M26">
        <f>+M21+M12</f>
        <v>373</v>
      </c>
      <c r="V26" s="14" t="str">
        <f>+V24&amp;V25&amp;V23</f>
        <v>28:40</v>
      </c>
      <c r="W26" s="9" t="str">
        <f>+W24&amp;W25&amp;W23</f>
        <v>31:20</v>
      </c>
    </row>
    <row r="27" spans="1:23" ht="12.75">
      <c r="A27" t="s">
        <v>15</v>
      </c>
      <c r="D27" s="7">
        <f>+D12/D26*100</f>
        <v>44.26229508196721</v>
      </c>
      <c r="H27" t="s">
        <v>15</v>
      </c>
      <c r="M27" s="7">
        <f>+M12/M26*100</f>
        <v>35.120643431635386</v>
      </c>
      <c r="V27" s="9" t="str">
        <f>IF(V23&lt;10,+V24&amp;V25&amp;$U$23&amp;V23,+V24&amp;V25&amp;V23)</f>
        <v>28:40</v>
      </c>
      <c r="W27" s="9" t="str">
        <f>IF(W23&lt;10,+W24&amp;W25&amp;$U$23&amp;W23,+W24&amp;W25&amp;W23)</f>
        <v>31:20</v>
      </c>
    </row>
    <row r="28" spans="1:13" ht="12.75">
      <c r="A28" s="1" t="s">
        <v>86</v>
      </c>
      <c r="D28" s="7">
        <f>+D21/D26*100</f>
        <v>55.73770491803278</v>
      </c>
      <c r="H28" s="1" t="s">
        <v>86</v>
      </c>
      <c r="M28" s="7">
        <f>+M21/M26*100</f>
        <v>64.87935656836461</v>
      </c>
    </row>
    <row r="30" spans="1:13" ht="12.75">
      <c r="A30" t="s">
        <v>16</v>
      </c>
      <c r="D30">
        <f>+D11+D15+D19</f>
        <v>63</v>
      </c>
      <c r="H30" t="s">
        <v>16</v>
      </c>
      <c r="M30">
        <f>+M11+M15+M19</f>
        <v>69</v>
      </c>
    </row>
    <row r="31" spans="1:13" ht="12.75">
      <c r="A31" t="s">
        <v>17</v>
      </c>
      <c r="D31" s="8">
        <f>+D26/D30</f>
        <v>5.809523809523809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5.405797101449275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1</v>
      </c>
      <c r="H34" t="s">
        <v>19</v>
      </c>
      <c r="M34" s="2">
        <v>5</v>
      </c>
    </row>
    <row r="35" spans="1:13" ht="12.75">
      <c r="A35" t="s">
        <v>20</v>
      </c>
      <c r="D35" s="2">
        <v>0</v>
      </c>
      <c r="H35" t="s">
        <v>20</v>
      </c>
      <c r="M35" s="2">
        <v>162</v>
      </c>
    </row>
    <row r="36" spans="1:13" ht="12.75">
      <c r="A36" t="s">
        <v>21</v>
      </c>
      <c r="D36" s="2">
        <v>0</v>
      </c>
      <c r="H36" t="s">
        <v>21</v>
      </c>
      <c r="M36" s="2">
        <v>2</v>
      </c>
    </row>
    <row r="38" spans="1:13" ht="12.75">
      <c r="A38" t="s">
        <v>22</v>
      </c>
      <c r="D38" s="2">
        <v>4</v>
      </c>
      <c r="H38" t="s">
        <v>22</v>
      </c>
      <c r="M38" s="2">
        <v>4</v>
      </c>
    </row>
    <row r="39" spans="1:13" ht="12.75">
      <c r="A39" t="s">
        <v>23</v>
      </c>
      <c r="D39" s="2">
        <v>152</v>
      </c>
      <c r="H39" t="s">
        <v>23</v>
      </c>
      <c r="M39" s="2">
        <v>167</v>
      </c>
    </row>
    <row r="40" spans="1:13" ht="12.75">
      <c r="A40" t="s">
        <v>24</v>
      </c>
      <c r="D40" s="8">
        <f>+D39/D38</f>
        <v>38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41.75</v>
      </c>
    </row>
    <row r="42" spans="1:13" ht="12.75">
      <c r="A42" t="s">
        <v>25</v>
      </c>
      <c r="D42" s="2">
        <v>2</v>
      </c>
      <c r="H42" t="s">
        <v>25</v>
      </c>
      <c r="M42" s="2">
        <v>3</v>
      </c>
    </row>
    <row r="43" spans="1:13" ht="12.75">
      <c r="A43" t="s">
        <v>26</v>
      </c>
      <c r="D43" s="2">
        <v>7</v>
      </c>
      <c r="H43" t="s">
        <v>26</v>
      </c>
      <c r="M43" s="2">
        <v>17</v>
      </c>
    </row>
    <row r="44" spans="1:13" ht="12.75">
      <c r="A44" t="s">
        <v>27</v>
      </c>
      <c r="D44" s="8">
        <f>+D43/D42</f>
        <v>3.5</v>
      </c>
      <c r="H44" t="s">
        <v>27</v>
      </c>
      <c r="M44" s="8">
        <f>+M43/M42</f>
        <v>5.666666666666667</v>
      </c>
    </row>
    <row r="45" spans="1:13" ht="12.75">
      <c r="A45" t="s">
        <v>106</v>
      </c>
      <c r="D45" s="2">
        <v>2</v>
      </c>
      <c r="H45" t="s">
        <v>106</v>
      </c>
      <c r="M45" s="2">
        <v>1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4</v>
      </c>
      <c r="H48" t="s">
        <v>30</v>
      </c>
      <c r="M48" s="2">
        <v>7</v>
      </c>
    </row>
    <row r="49" spans="1:13" ht="12.75">
      <c r="A49" t="s">
        <v>26</v>
      </c>
      <c r="D49" s="2">
        <v>106</v>
      </c>
      <c r="H49" t="s">
        <v>26</v>
      </c>
      <c r="M49" s="2">
        <v>110</v>
      </c>
    </row>
    <row r="50" spans="1:13" ht="12.75">
      <c r="A50" t="s">
        <v>27</v>
      </c>
      <c r="D50" s="8">
        <f>+D49/D48</f>
        <v>26.5</v>
      </c>
      <c r="H50" t="s">
        <v>27</v>
      </c>
      <c r="M50" s="8">
        <f>+M49/M48</f>
        <v>15.714285714285714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5</v>
      </c>
      <c r="H53" t="s">
        <v>31</v>
      </c>
      <c r="M53" s="2">
        <v>8</v>
      </c>
    </row>
    <row r="54" spans="1:13" ht="12.75">
      <c r="A54" t="s">
        <v>32</v>
      </c>
      <c r="D54" s="2">
        <v>40</v>
      </c>
      <c r="H54" t="s">
        <v>32</v>
      </c>
      <c r="M54" s="2">
        <v>65</v>
      </c>
    </row>
    <row r="56" spans="1:13" ht="12.75">
      <c r="A56" t="s">
        <v>33</v>
      </c>
      <c r="D56" s="2">
        <v>0</v>
      </c>
      <c r="H56" t="s">
        <v>33</v>
      </c>
      <c r="M56" s="2">
        <v>1</v>
      </c>
    </row>
    <row r="57" spans="1:13" ht="12.75">
      <c r="A57" t="s">
        <v>101</v>
      </c>
      <c r="D57" s="2">
        <v>0</v>
      </c>
      <c r="H57" t="s">
        <v>101</v>
      </c>
      <c r="M57" s="2">
        <v>0</v>
      </c>
    </row>
    <row r="59" spans="1:13" ht="12.75">
      <c r="A59" t="s">
        <v>34</v>
      </c>
      <c r="D59" s="2">
        <v>42</v>
      </c>
      <c r="H59" t="s">
        <v>34</v>
      </c>
      <c r="M59" s="2">
        <v>10</v>
      </c>
    </row>
    <row r="60" spans="1:13" ht="12.75">
      <c r="A60" t="s">
        <v>35</v>
      </c>
      <c r="D60" s="2">
        <v>4</v>
      </c>
      <c r="H60" t="s">
        <v>35</v>
      </c>
      <c r="M60" s="2">
        <v>1</v>
      </c>
    </row>
    <row r="61" spans="1:13" ht="12.75">
      <c r="A61" t="s">
        <v>36</v>
      </c>
      <c r="D61" s="2">
        <v>2</v>
      </c>
      <c r="H61" t="s">
        <v>36</v>
      </c>
      <c r="M61" s="2">
        <v>0</v>
      </c>
    </row>
    <row r="62" spans="1:13" ht="12.75">
      <c r="A62" t="s">
        <v>37</v>
      </c>
      <c r="D62" s="2">
        <v>0</v>
      </c>
      <c r="H62" t="s">
        <v>37</v>
      </c>
      <c r="M62" s="2">
        <v>1</v>
      </c>
    </row>
    <row r="63" spans="1:13" ht="12.75">
      <c r="A63" t="s">
        <v>38</v>
      </c>
      <c r="D63" s="2">
        <v>2</v>
      </c>
      <c r="H63" t="s">
        <v>38</v>
      </c>
      <c r="M63" s="2">
        <v>0</v>
      </c>
    </row>
    <row r="64" spans="1:13" ht="12.75">
      <c r="A64" t="s">
        <v>39</v>
      </c>
      <c r="D64" s="2">
        <v>4</v>
      </c>
      <c r="H64" t="s">
        <v>39</v>
      </c>
      <c r="M64" s="2">
        <v>1</v>
      </c>
    </row>
    <row r="65" spans="1:13" ht="12.75">
      <c r="A65" t="s">
        <v>40</v>
      </c>
      <c r="D65" s="2">
        <v>1</v>
      </c>
      <c r="H65" t="s">
        <v>40</v>
      </c>
      <c r="M65" s="2">
        <v>0</v>
      </c>
    </row>
    <row r="66" spans="1:13" ht="12.75">
      <c r="A66" t="s">
        <v>41</v>
      </c>
      <c r="D66" s="2">
        <v>4</v>
      </c>
      <c r="H66" t="s">
        <v>41</v>
      </c>
      <c r="M66" s="2">
        <v>1</v>
      </c>
    </row>
    <row r="67" spans="1:13" ht="12.75">
      <c r="A67" t="s">
        <v>42</v>
      </c>
      <c r="D67" s="2">
        <v>4</v>
      </c>
      <c r="H67" t="s">
        <v>42</v>
      </c>
      <c r="M67" s="2">
        <v>2</v>
      </c>
    </row>
    <row r="68" spans="1:13" ht="12.75">
      <c r="A68" t="s">
        <v>43</v>
      </c>
      <c r="D68" s="8">
        <f>+D66/D67*100</f>
        <v>100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50</v>
      </c>
    </row>
    <row r="69" spans="1:13" ht="12.75">
      <c r="A69" t="s">
        <v>92</v>
      </c>
      <c r="D69" s="10"/>
      <c r="E69" s="8"/>
      <c r="F69" s="8"/>
      <c r="H69" t="s">
        <v>92</v>
      </c>
      <c r="M69" s="10" t="str">
        <f>IF(W23&lt;10,W27,W26)</f>
        <v>31:20</v>
      </c>
    </row>
    <row r="70" spans="1:13" ht="12.75">
      <c r="A70" t="s">
        <v>102</v>
      </c>
      <c r="D70" s="23">
        <f>D161</f>
        <v>27.27272727272727</v>
      </c>
      <c r="E70" s="8"/>
      <c r="F70" s="8"/>
      <c r="H70" t="s">
        <v>102</v>
      </c>
      <c r="M70" s="23">
        <f>M161</f>
        <v>30.76923076923077</v>
      </c>
    </row>
    <row r="71" spans="4:13" ht="12.75">
      <c r="D71" s="2"/>
      <c r="M71" s="2"/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110</v>
      </c>
      <c r="C74">
        <v>19</v>
      </c>
      <c r="D74">
        <v>91</v>
      </c>
      <c r="E74" s="12">
        <f aca="true" t="shared" si="0" ref="E74:E84">+D74/C74</f>
        <v>4.7894736842105265</v>
      </c>
      <c r="F74">
        <v>13</v>
      </c>
      <c r="G74">
        <v>1</v>
      </c>
      <c r="H74">
        <v>0</v>
      </c>
    </row>
    <row r="75" spans="1:8" ht="12.75">
      <c r="A75" t="s">
        <v>111</v>
      </c>
      <c r="C75">
        <v>5</v>
      </c>
      <c r="D75">
        <v>25</v>
      </c>
      <c r="E75" s="12">
        <f t="shared" si="0"/>
        <v>5</v>
      </c>
      <c r="F75">
        <v>12</v>
      </c>
      <c r="G75">
        <v>0</v>
      </c>
      <c r="H75">
        <v>0</v>
      </c>
    </row>
    <row r="76" spans="1:5" ht="12.75">
      <c r="A76" t="s">
        <v>112</v>
      </c>
      <c r="E76" s="12" t="e">
        <f t="shared" si="0"/>
        <v>#DIV/0!</v>
      </c>
    </row>
    <row r="77" spans="1:8" ht="12.75">
      <c r="A77" t="s">
        <v>113</v>
      </c>
      <c r="C77">
        <v>1</v>
      </c>
      <c r="D77">
        <v>21</v>
      </c>
      <c r="E77" s="12">
        <f t="shared" si="0"/>
        <v>21</v>
      </c>
      <c r="F77">
        <v>21</v>
      </c>
      <c r="G77">
        <v>0</v>
      </c>
      <c r="H77">
        <v>0</v>
      </c>
    </row>
    <row r="78" spans="1:8" ht="12.75">
      <c r="A78" t="s">
        <v>108</v>
      </c>
      <c r="C78">
        <v>1</v>
      </c>
      <c r="D78">
        <v>10</v>
      </c>
      <c r="E78" s="12">
        <f t="shared" si="0"/>
        <v>10</v>
      </c>
      <c r="F78">
        <v>10</v>
      </c>
      <c r="G78">
        <v>1</v>
      </c>
      <c r="H78">
        <v>0</v>
      </c>
    </row>
    <row r="79" spans="1:8" ht="12.75">
      <c r="A79" t="s">
        <v>114</v>
      </c>
      <c r="C79">
        <v>1</v>
      </c>
      <c r="D79">
        <v>5</v>
      </c>
      <c r="E79" s="12">
        <f t="shared" si="0"/>
        <v>5</v>
      </c>
      <c r="F79">
        <v>5</v>
      </c>
      <c r="G79">
        <v>0</v>
      </c>
      <c r="H79">
        <v>0</v>
      </c>
    </row>
    <row r="80" spans="1:8" ht="12.75">
      <c r="A80" t="s">
        <v>115</v>
      </c>
      <c r="C80">
        <v>1</v>
      </c>
      <c r="D80">
        <v>10</v>
      </c>
      <c r="E80" s="12">
        <f t="shared" si="0"/>
        <v>10</v>
      </c>
      <c r="F80">
        <v>10</v>
      </c>
      <c r="G80">
        <v>0</v>
      </c>
      <c r="H80">
        <v>0</v>
      </c>
    </row>
    <row r="81" spans="1:5" ht="12.75">
      <c r="A81" t="s">
        <v>116</v>
      </c>
      <c r="E81" s="12" t="e">
        <f t="shared" si="0"/>
        <v>#DIV/0!</v>
      </c>
    </row>
    <row r="82" spans="1:5" ht="12.75">
      <c r="A82" t="s">
        <v>117</v>
      </c>
      <c r="E82" s="12" t="e">
        <f t="shared" si="0"/>
        <v>#DIV/0!</v>
      </c>
    </row>
    <row r="83" spans="1:5" ht="12.75">
      <c r="A83" t="s">
        <v>118</v>
      </c>
      <c r="E83" s="12" t="e">
        <f t="shared" si="0"/>
        <v>#DIV/0!</v>
      </c>
    </row>
    <row r="84" spans="1:5" ht="12.75">
      <c r="A84" t="s">
        <v>107</v>
      </c>
      <c r="E84" s="12" t="e">
        <f t="shared" si="0"/>
        <v>#DIV/0!</v>
      </c>
    </row>
    <row r="85" ht="12.75">
      <c r="E85" s="8"/>
    </row>
    <row r="86" spans="1:8" ht="12.75">
      <c r="A86" s="2" t="s">
        <v>52</v>
      </c>
      <c r="C86" s="3" t="s">
        <v>53</v>
      </c>
      <c r="D86" s="3" t="s">
        <v>48</v>
      </c>
      <c r="E86" s="15" t="s">
        <v>49</v>
      </c>
      <c r="F86" s="3" t="s">
        <v>50</v>
      </c>
      <c r="G86" s="3" t="s">
        <v>51</v>
      </c>
      <c r="H86" s="3" t="s">
        <v>80</v>
      </c>
    </row>
    <row r="87" spans="1:8" ht="12.75">
      <c r="A87" t="s">
        <v>107</v>
      </c>
      <c r="C87">
        <v>1</v>
      </c>
      <c r="D87">
        <v>33</v>
      </c>
      <c r="E87" s="12">
        <f aca="true" t="shared" si="1" ref="E87:E98">+D87/C87</f>
        <v>33</v>
      </c>
      <c r="F87">
        <v>33</v>
      </c>
      <c r="G87">
        <v>0</v>
      </c>
      <c r="H87">
        <v>0</v>
      </c>
    </row>
    <row r="88" spans="1:8" ht="12.75">
      <c r="A88" t="s">
        <v>119</v>
      </c>
      <c r="C88">
        <v>7</v>
      </c>
      <c r="D88">
        <v>124</v>
      </c>
      <c r="E88" s="12">
        <f t="shared" si="1"/>
        <v>17.714285714285715</v>
      </c>
      <c r="F88">
        <v>37</v>
      </c>
      <c r="G88">
        <v>0</v>
      </c>
      <c r="H88">
        <v>0</v>
      </c>
    </row>
    <row r="89" spans="1:8" ht="12.75">
      <c r="A89" t="s">
        <v>120</v>
      </c>
      <c r="C89">
        <v>4</v>
      </c>
      <c r="D89">
        <v>51</v>
      </c>
      <c r="E89" s="12">
        <f t="shared" si="1"/>
        <v>12.75</v>
      </c>
      <c r="F89">
        <v>25</v>
      </c>
      <c r="G89">
        <v>0</v>
      </c>
      <c r="H89">
        <v>0</v>
      </c>
    </row>
    <row r="90" spans="1:8" ht="12.75">
      <c r="A90" t="s">
        <v>110</v>
      </c>
      <c r="C90">
        <v>3</v>
      </c>
      <c r="D90">
        <v>15</v>
      </c>
      <c r="E90" s="12">
        <f t="shared" si="1"/>
        <v>5</v>
      </c>
      <c r="F90">
        <v>12</v>
      </c>
      <c r="G90">
        <v>0</v>
      </c>
      <c r="H90">
        <v>0</v>
      </c>
    </row>
    <row r="91" spans="1:8" ht="12.75">
      <c r="A91" t="s">
        <v>111</v>
      </c>
      <c r="C91">
        <v>1</v>
      </c>
      <c r="D91">
        <v>0</v>
      </c>
      <c r="E91" s="12">
        <f t="shared" si="1"/>
        <v>0</v>
      </c>
      <c r="F91">
        <v>0</v>
      </c>
      <c r="G91">
        <v>0</v>
      </c>
      <c r="H91">
        <v>0</v>
      </c>
    </row>
    <row r="92" spans="1:5" ht="12.75">
      <c r="A92" t="s">
        <v>116</v>
      </c>
      <c r="E92" s="12" t="e">
        <f t="shared" si="1"/>
        <v>#DIV/0!</v>
      </c>
    </row>
    <row r="93" spans="1:5" ht="12.75">
      <c r="A93" t="s">
        <v>121</v>
      </c>
      <c r="E93" s="12" t="e">
        <f t="shared" si="1"/>
        <v>#DIV/0!</v>
      </c>
    </row>
    <row r="94" spans="1:8" ht="12.75">
      <c r="A94" t="s">
        <v>122</v>
      </c>
      <c r="C94">
        <v>1</v>
      </c>
      <c r="D94">
        <v>4</v>
      </c>
      <c r="E94" s="12">
        <f t="shared" si="1"/>
        <v>4</v>
      </c>
      <c r="F94">
        <v>4</v>
      </c>
      <c r="G94">
        <v>0</v>
      </c>
      <c r="H94">
        <v>0</v>
      </c>
    </row>
    <row r="95" spans="1:8" ht="12.75">
      <c r="A95" t="s">
        <v>115</v>
      </c>
      <c r="C95">
        <v>1</v>
      </c>
      <c r="D95">
        <v>-3</v>
      </c>
      <c r="E95" s="12">
        <f t="shared" si="1"/>
        <v>-3</v>
      </c>
      <c r="F95">
        <v>-3</v>
      </c>
      <c r="G95">
        <v>0</v>
      </c>
      <c r="H95">
        <v>0</v>
      </c>
    </row>
    <row r="96" spans="1:5" ht="12.75">
      <c r="A96" t="s">
        <v>123</v>
      </c>
      <c r="E96" s="12" t="e">
        <f t="shared" si="1"/>
        <v>#DIV/0!</v>
      </c>
    </row>
    <row r="97" spans="1:8" ht="12.75">
      <c r="A97" t="s">
        <v>113</v>
      </c>
      <c r="C97">
        <v>1</v>
      </c>
      <c r="D97">
        <v>-11</v>
      </c>
      <c r="E97" s="12">
        <f t="shared" si="1"/>
        <v>-11</v>
      </c>
      <c r="F97">
        <v>-11</v>
      </c>
      <c r="G97">
        <v>0</v>
      </c>
      <c r="H97">
        <v>0</v>
      </c>
    </row>
    <row r="98" spans="1:5" ht="12.75">
      <c r="A98" t="s">
        <v>114</v>
      </c>
      <c r="E98" s="12" t="e">
        <f t="shared" si="1"/>
        <v>#DIV/0!</v>
      </c>
    </row>
    <row r="99" ht="12.75">
      <c r="E99" s="8"/>
    </row>
    <row r="100" spans="1:13" ht="12.75">
      <c r="A100" s="2"/>
      <c r="B100" s="2"/>
      <c r="C100" s="3"/>
      <c r="D100" s="3"/>
      <c r="E100" s="15" t="s">
        <v>57</v>
      </c>
      <c r="F100" s="3" t="s">
        <v>58</v>
      </c>
      <c r="G100" s="3"/>
      <c r="H100" s="3"/>
      <c r="I100" s="3" t="s">
        <v>61</v>
      </c>
      <c r="J100" s="3" t="s">
        <v>63</v>
      </c>
      <c r="K100" s="3" t="s">
        <v>57</v>
      </c>
      <c r="L100" s="3" t="s">
        <v>49</v>
      </c>
      <c r="M100" s="3"/>
    </row>
    <row r="101" spans="1:14" ht="12.75">
      <c r="A101" s="2" t="s">
        <v>54</v>
      </c>
      <c r="B101" s="2"/>
      <c r="C101" s="3" t="s">
        <v>55</v>
      </c>
      <c r="D101" s="3" t="s">
        <v>56</v>
      </c>
      <c r="E101" s="15" t="s">
        <v>56</v>
      </c>
      <c r="F101" s="3" t="s">
        <v>59</v>
      </c>
      <c r="G101" s="3" t="s">
        <v>51</v>
      </c>
      <c r="H101" s="3" t="s">
        <v>60</v>
      </c>
      <c r="I101" s="5" t="s">
        <v>62</v>
      </c>
      <c r="J101" s="3" t="s">
        <v>51</v>
      </c>
      <c r="K101" s="3" t="s">
        <v>64</v>
      </c>
      <c r="L101" s="3" t="s">
        <v>65</v>
      </c>
      <c r="M101" s="3" t="s">
        <v>66</v>
      </c>
      <c r="N101" s="3" t="s">
        <v>80</v>
      </c>
    </row>
    <row r="102" spans="1:25" ht="12.75">
      <c r="A102" t="s">
        <v>113</v>
      </c>
      <c r="C102">
        <v>33</v>
      </c>
      <c r="D102">
        <v>18</v>
      </c>
      <c r="E102" s="12">
        <f>+D102/C102*100</f>
        <v>54.54545454545454</v>
      </c>
      <c r="F102">
        <v>189</v>
      </c>
      <c r="G102">
        <v>0</v>
      </c>
      <c r="H102">
        <v>37</v>
      </c>
      <c r="I102">
        <v>1</v>
      </c>
      <c r="J102" s="8">
        <f>+G102/C102*100</f>
        <v>0</v>
      </c>
      <c r="K102" s="12">
        <f>+I102/C102*100</f>
        <v>3.0303030303030303</v>
      </c>
      <c r="L102" s="12">
        <f>+F102/C102</f>
        <v>5.7272727272727275</v>
      </c>
      <c r="M102" s="12">
        <f>100*(S102+U102+W102+Y102)/6</f>
        <v>58.77525252525252</v>
      </c>
      <c r="R102">
        <f>+(E102-30)/20</f>
        <v>1.227272727272727</v>
      </c>
      <c r="S102" s="2">
        <f>IF(R102&lt;0,0,IF(R102&gt;2.375,2.375,R102))</f>
        <v>1.227272727272727</v>
      </c>
      <c r="T102" s="6">
        <f>+(L102-3)/4</f>
        <v>0.6818181818181819</v>
      </c>
      <c r="U102" s="2">
        <f>IF(T102&lt;0,0,IF(T102&gt;2.375,2.375,T102))</f>
        <v>0.6818181818181819</v>
      </c>
      <c r="V102">
        <f>+J102/5</f>
        <v>0</v>
      </c>
      <c r="W102" s="2">
        <f>IF(V102&lt;0,0,IF(V102&gt;2.375,2.375,V102))</f>
        <v>0</v>
      </c>
      <c r="X102">
        <f>(9.5-K102)/4</f>
        <v>1.6174242424242424</v>
      </c>
      <c r="Y102" s="2">
        <f>IF(X102&lt;0,0,X102)</f>
        <v>1.6174242424242424</v>
      </c>
    </row>
    <row r="103" spans="1:25" ht="12.75">
      <c r="A103" t="s">
        <v>112</v>
      </c>
      <c r="E103" s="12" t="e">
        <f>+D103/C103*100</f>
        <v>#DIV/0!</v>
      </c>
      <c r="J103" s="8" t="e">
        <f>+G103/C103*100</f>
        <v>#DIV/0!</v>
      </c>
      <c r="K103" s="12" t="e">
        <f>+I103/C103*100</f>
        <v>#DIV/0!</v>
      </c>
      <c r="L103" s="12" t="e">
        <f>+F103/C103</f>
        <v>#DIV/0!</v>
      </c>
      <c r="M103" s="12" t="e">
        <f>100*(S103+U103+W103+Y103)/6</f>
        <v>#DIV/0!</v>
      </c>
      <c r="R103" t="e">
        <f>+(E103-30)/20</f>
        <v>#DIV/0!</v>
      </c>
      <c r="S103" s="2" t="e">
        <f>IF(R103&lt;0,0,IF(R103&gt;2.375,2.375,R103))</f>
        <v>#DIV/0!</v>
      </c>
      <c r="T103" s="6" t="e">
        <f>+(L103-3)/4</f>
        <v>#DIV/0!</v>
      </c>
      <c r="U103" s="2" t="e">
        <f>IF(T103&lt;0,0,IF(T103&gt;2.375,2.375,T103))</f>
        <v>#DIV/0!</v>
      </c>
      <c r="V103" t="e">
        <f>+J103/5</f>
        <v>#DIV/0!</v>
      </c>
      <c r="W103" s="2" t="e">
        <f>IF(V103&lt;0,0,IF(V103&gt;2.375,2.375,V103))</f>
        <v>#DIV/0!</v>
      </c>
      <c r="X103" t="e">
        <f>(9.5-K103)/4</f>
        <v>#DIV/0!</v>
      </c>
      <c r="Y103" s="2" t="e">
        <f>IF(X103&lt;0,0,X103)</f>
        <v>#DIV/0!</v>
      </c>
    </row>
    <row r="104" spans="1:25" ht="12.75">
      <c r="A104" t="s">
        <v>118</v>
      </c>
      <c r="E104" s="12" t="e">
        <f>+D104/C104*100</f>
        <v>#DIV/0!</v>
      </c>
      <c r="J104" s="8" t="e">
        <f>+G104/C104*100</f>
        <v>#DIV/0!</v>
      </c>
      <c r="K104" s="12" t="e">
        <f>+I104/C104*100</f>
        <v>#DIV/0!</v>
      </c>
      <c r="L104" s="12" t="e">
        <f>+F104/C104</f>
        <v>#DIV/0!</v>
      </c>
      <c r="M104" s="12" t="e">
        <f>100*(S104+U104+W104+Y104)/6</f>
        <v>#DIV/0!</v>
      </c>
      <c r="R104" t="e">
        <f>+(E104-30)/20</f>
        <v>#DIV/0!</v>
      </c>
      <c r="S104" s="2" t="e">
        <f>IF(R104&lt;0,0,IF(R104&gt;2.375,2.375,R104))</f>
        <v>#DIV/0!</v>
      </c>
      <c r="T104" s="6" t="e">
        <f>+(L104-3)/4</f>
        <v>#DIV/0!</v>
      </c>
      <c r="U104" s="2" t="e">
        <f>IF(T104&lt;0,0,IF(T104&gt;2.375,2.375,T104))</f>
        <v>#DIV/0!</v>
      </c>
      <c r="V104" t="e">
        <f>+J104/5</f>
        <v>#DIV/0!</v>
      </c>
      <c r="W104" s="2" t="e">
        <f>IF(V104&lt;0,0,IF(V104&gt;2.375,2.375,V104))</f>
        <v>#DIV/0!</v>
      </c>
      <c r="X104" t="e">
        <f>(9.5-K104)/4</f>
        <v>#DIV/0!</v>
      </c>
      <c r="Y104" s="2" t="e">
        <f>IF(X104&lt;0,0,X104)</f>
        <v>#DIV/0!</v>
      </c>
    </row>
    <row r="105" spans="1:25" ht="12.75">
      <c r="A105" t="s">
        <v>116</v>
      </c>
      <c r="E105" s="12" t="e">
        <f>+D105/C105*100</f>
        <v>#DIV/0!</v>
      </c>
      <c r="J105" s="8" t="e">
        <f>+G105/C105*100</f>
        <v>#DIV/0!</v>
      </c>
      <c r="K105" s="12" t="e">
        <f>+I105/C105*100</f>
        <v>#DIV/0!</v>
      </c>
      <c r="L105" s="12" t="e">
        <f>+F105/C105</f>
        <v>#DIV/0!</v>
      </c>
      <c r="M105" s="12" t="e">
        <f>100*(S105+U105+W105+Y105)/6</f>
        <v>#DIV/0!</v>
      </c>
      <c r="R105" t="e">
        <f>+(E105-30)/20</f>
        <v>#DIV/0!</v>
      </c>
      <c r="S105" s="2" t="e">
        <f>IF(R105&lt;0,0,IF(R105&gt;2.375,2.375,R105))</f>
        <v>#DIV/0!</v>
      </c>
      <c r="T105" s="6" t="e">
        <f>+(L105-3)/4</f>
        <v>#DIV/0!</v>
      </c>
      <c r="U105" s="2" t="e">
        <f>IF(T105&lt;0,0,IF(T105&gt;2.375,2.375,T105))</f>
        <v>#DIV/0!</v>
      </c>
      <c r="V105" t="e">
        <f>+J105/5</f>
        <v>#DIV/0!</v>
      </c>
      <c r="W105" s="2" t="e">
        <f>IF(V105&lt;0,0,IF(V105&gt;2.375,2.375,V105))</f>
        <v>#DIV/0!</v>
      </c>
      <c r="X105" t="e">
        <f>(9.5-K105)/4</f>
        <v>#DIV/0!</v>
      </c>
      <c r="Y105" s="2" t="e">
        <f>IF(X105&lt;0,0,X105)</f>
        <v>#DIV/0!</v>
      </c>
    </row>
    <row r="106" spans="1:25" ht="12.75">
      <c r="A106" t="s">
        <v>107</v>
      </c>
      <c r="C106">
        <v>1</v>
      </c>
      <c r="D106">
        <v>1</v>
      </c>
      <c r="E106" s="12">
        <f>+D106/C106*100</f>
        <v>100</v>
      </c>
      <c r="F106">
        <v>24</v>
      </c>
      <c r="G106">
        <v>0</v>
      </c>
      <c r="H106">
        <v>24</v>
      </c>
      <c r="I106">
        <v>0</v>
      </c>
      <c r="J106" s="8">
        <f>+G106/C106*100</f>
        <v>0</v>
      </c>
      <c r="K106" s="12">
        <f>+I106/C106*100</f>
        <v>0</v>
      </c>
      <c r="L106" s="12">
        <f>+F106/C106</f>
        <v>24</v>
      </c>
      <c r="M106" s="12">
        <f>100*(S106+U106+W106+Y106)/6</f>
        <v>118.75</v>
      </c>
      <c r="R106">
        <f>+(E106-30)/20</f>
        <v>3.5</v>
      </c>
      <c r="S106" s="2">
        <f>IF(R106&lt;0,0,IF(R106&gt;2.375,2.375,R106))</f>
        <v>2.375</v>
      </c>
      <c r="T106" s="6">
        <f>+(L106-3)/4</f>
        <v>5.25</v>
      </c>
      <c r="U106" s="2">
        <f>IF(T106&lt;0,0,IF(T106&gt;2.375,2.375,T106))</f>
        <v>2.375</v>
      </c>
      <c r="V106">
        <f>+J106/5</f>
        <v>0</v>
      </c>
      <c r="W106" s="2">
        <f>IF(V106&lt;0,0,IF(V106&gt;2.375,2.375,V106))</f>
        <v>0</v>
      </c>
      <c r="X106">
        <f>(9.5-K106)/4</f>
        <v>2.375</v>
      </c>
      <c r="Y106" s="2">
        <f>IF(X106&lt;0,0,X106)</f>
        <v>2.375</v>
      </c>
    </row>
    <row r="109" spans="1:9" ht="12.75">
      <c r="A109" s="2" t="s">
        <v>67</v>
      </c>
      <c r="C109" s="3" t="s">
        <v>68</v>
      </c>
      <c r="D109" s="3" t="s">
        <v>69</v>
      </c>
      <c r="E109" s="3" t="s">
        <v>70</v>
      </c>
      <c r="F109" s="3" t="s">
        <v>49</v>
      </c>
      <c r="G109" s="3" t="s">
        <v>60</v>
      </c>
      <c r="H109" s="3" t="s">
        <v>51</v>
      </c>
      <c r="I109" s="3" t="s">
        <v>80</v>
      </c>
    </row>
    <row r="110" spans="1:9" ht="12.75">
      <c r="A110" t="s">
        <v>124</v>
      </c>
      <c r="C110">
        <v>1</v>
      </c>
      <c r="D110">
        <v>1</v>
      </c>
      <c r="E110">
        <v>2</v>
      </c>
      <c r="F110" s="12">
        <f>+E110/C110</f>
        <v>2</v>
      </c>
      <c r="G110">
        <v>2</v>
      </c>
      <c r="H110">
        <v>0</v>
      </c>
      <c r="I110">
        <v>0</v>
      </c>
    </row>
    <row r="111" spans="1:9" ht="12.75">
      <c r="A111" t="s">
        <v>123</v>
      </c>
      <c r="C111">
        <v>0</v>
      </c>
      <c r="D111">
        <v>1</v>
      </c>
      <c r="E111">
        <v>0</v>
      </c>
      <c r="F111" s="12">
        <v>0</v>
      </c>
      <c r="G111">
        <v>0</v>
      </c>
      <c r="H111">
        <v>0</v>
      </c>
      <c r="I111">
        <v>0</v>
      </c>
    </row>
    <row r="112" spans="1:9" ht="12.75">
      <c r="A112" t="s">
        <v>117</v>
      </c>
      <c r="C112">
        <v>1</v>
      </c>
      <c r="D112">
        <v>0</v>
      </c>
      <c r="E112">
        <v>5</v>
      </c>
      <c r="F112" s="12">
        <f>+E112/C112</f>
        <v>5</v>
      </c>
      <c r="G112">
        <v>5</v>
      </c>
      <c r="H112">
        <v>0</v>
      </c>
      <c r="I112">
        <v>0</v>
      </c>
    </row>
    <row r="114" spans="1:8" ht="12.75">
      <c r="A114" s="2" t="s">
        <v>30</v>
      </c>
      <c r="C114" s="3" t="s">
        <v>68</v>
      </c>
      <c r="D114" s="3" t="s">
        <v>70</v>
      </c>
      <c r="E114" s="3" t="s">
        <v>49</v>
      </c>
      <c r="F114" s="3" t="s">
        <v>60</v>
      </c>
      <c r="G114" s="3" t="s">
        <v>51</v>
      </c>
      <c r="H114" s="3" t="s">
        <v>80</v>
      </c>
    </row>
    <row r="115" spans="1:8" ht="12.75">
      <c r="A115" t="s">
        <v>114</v>
      </c>
      <c r="C115">
        <v>3</v>
      </c>
      <c r="D115">
        <v>81</v>
      </c>
      <c r="E115" s="12">
        <f aca="true" t="shared" si="2" ref="E115:E120">+D115/C115</f>
        <v>27</v>
      </c>
      <c r="F115">
        <v>40</v>
      </c>
      <c r="G115">
        <v>0</v>
      </c>
      <c r="H115">
        <v>0</v>
      </c>
    </row>
    <row r="116" spans="1:5" ht="12.75">
      <c r="A116" t="s">
        <v>125</v>
      </c>
      <c r="E116" s="12" t="e">
        <f t="shared" si="2"/>
        <v>#DIV/0!</v>
      </c>
    </row>
    <row r="117" spans="1:8" ht="12.75">
      <c r="A117" t="s">
        <v>116</v>
      </c>
      <c r="C117">
        <v>1</v>
      </c>
      <c r="D117">
        <v>25</v>
      </c>
      <c r="E117" s="12">
        <f t="shared" si="2"/>
        <v>25</v>
      </c>
      <c r="F117">
        <v>25</v>
      </c>
      <c r="G117">
        <v>0</v>
      </c>
      <c r="H117">
        <v>0</v>
      </c>
    </row>
    <row r="118" spans="1:5" ht="12.75">
      <c r="A118" t="s">
        <v>108</v>
      </c>
      <c r="E118" s="12" t="e">
        <f t="shared" si="2"/>
        <v>#DIV/0!</v>
      </c>
    </row>
    <row r="119" spans="1:5" ht="12.75">
      <c r="A119" t="s">
        <v>115</v>
      </c>
      <c r="E119" s="12" t="e">
        <f t="shared" si="2"/>
        <v>#DIV/0!</v>
      </c>
    </row>
    <row r="120" spans="1:5" ht="12.75">
      <c r="A120" t="s">
        <v>121</v>
      </c>
      <c r="E120" s="12" t="e">
        <f t="shared" si="2"/>
        <v>#DIV/0!</v>
      </c>
    </row>
    <row r="122" spans="1:7" ht="12.75">
      <c r="A122" s="2" t="s">
        <v>71</v>
      </c>
      <c r="C122" s="3" t="s">
        <v>68</v>
      </c>
      <c r="D122" s="3" t="s">
        <v>70</v>
      </c>
      <c r="E122" s="3" t="s">
        <v>49</v>
      </c>
      <c r="F122" s="3" t="s">
        <v>60</v>
      </c>
      <c r="G122" s="3" t="s">
        <v>72</v>
      </c>
    </row>
    <row r="123" spans="1:7" ht="12.75">
      <c r="A123" t="s">
        <v>126</v>
      </c>
      <c r="C123">
        <v>4</v>
      </c>
      <c r="D123">
        <v>152</v>
      </c>
      <c r="E123" s="12">
        <f>+D123/C123</f>
        <v>38</v>
      </c>
      <c r="F123">
        <v>48</v>
      </c>
      <c r="G123">
        <v>0</v>
      </c>
    </row>
    <row r="124" spans="1:5" ht="12.75">
      <c r="A124" t="s">
        <v>113</v>
      </c>
      <c r="E124" s="12" t="e">
        <f>+D124/C124</f>
        <v>#DIV/0!</v>
      </c>
    </row>
    <row r="125" ht="12.75">
      <c r="I125" s="5" t="s">
        <v>63</v>
      </c>
    </row>
    <row r="126" spans="1:10" ht="12.75">
      <c r="A126" s="4" t="s">
        <v>79</v>
      </c>
      <c r="C126" s="3" t="s">
        <v>73</v>
      </c>
      <c r="D126" s="3" t="s">
        <v>74</v>
      </c>
      <c r="E126" s="3" t="s">
        <v>75</v>
      </c>
      <c r="F126" s="3" t="s">
        <v>76</v>
      </c>
      <c r="G126" s="3" t="s">
        <v>77</v>
      </c>
      <c r="H126" s="3" t="s">
        <v>78</v>
      </c>
      <c r="I126" s="3" t="s">
        <v>82</v>
      </c>
      <c r="J126" s="3" t="s">
        <v>60</v>
      </c>
    </row>
    <row r="127" spans="1:10" ht="12.75">
      <c r="A127" t="s">
        <v>127</v>
      </c>
      <c r="C127">
        <v>9</v>
      </c>
      <c r="D127">
        <v>2</v>
      </c>
      <c r="E127">
        <v>4</v>
      </c>
      <c r="F127">
        <v>4</v>
      </c>
      <c r="G127">
        <v>4</v>
      </c>
      <c r="H127">
        <v>4</v>
      </c>
      <c r="I127" s="12">
        <f>+H127/G127*100</f>
        <v>100</v>
      </c>
      <c r="J127">
        <v>35</v>
      </c>
    </row>
    <row r="129" spans="1:8" ht="12.75">
      <c r="A129" s="2" t="s">
        <v>81</v>
      </c>
      <c r="C129" s="3" t="s">
        <v>68</v>
      </c>
      <c r="D129" s="3" t="s">
        <v>70</v>
      </c>
      <c r="E129" s="3" t="s">
        <v>49</v>
      </c>
      <c r="F129" s="3" t="s">
        <v>60</v>
      </c>
      <c r="G129" s="3" t="s">
        <v>51</v>
      </c>
      <c r="H129" s="3" t="s">
        <v>80</v>
      </c>
    </row>
    <row r="130" spans="1:8" ht="12.75">
      <c r="A130" t="s">
        <v>128</v>
      </c>
      <c r="C130">
        <v>1</v>
      </c>
      <c r="D130">
        <v>0</v>
      </c>
      <c r="E130" s="12">
        <f>+D130/C130</f>
        <v>0</v>
      </c>
      <c r="F130">
        <v>0</v>
      </c>
      <c r="G130">
        <v>0</v>
      </c>
      <c r="H130">
        <v>0</v>
      </c>
    </row>
    <row r="131" spans="1:8" ht="12.75">
      <c r="A131" t="s">
        <v>129</v>
      </c>
      <c r="C131">
        <v>2</v>
      </c>
      <c r="D131">
        <v>68</v>
      </c>
      <c r="E131" s="12">
        <f aca="true" t="shared" si="3" ref="E131:E138">+D131/C131</f>
        <v>34</v>
      </c>
      <c r="F131">
        <v>68</v>
      </c>
      <c r="G131">
        <v>1</v>
      </c>
      <c r="H131">
        <v>0</v>
      </c>
    </row>
    <row r="132" spans="1:5" ht="12.75">
      <c r="A132" t="s">
        <v>130</v>
      </c>
      <c r="E132" s="12" t="e">
        <f t="shared" si="3"/>
        <v>#DIV/0!</v>
      </c>
    </row>
    <row r="133" spans="1:8" ht="12.75">
      <c r="A133" t="s">
        <v>124</v>
      </c>
      <c r="C133">
        <v>1</v>
      </c>
      <c r="D133">
        <v>0</v>
      </c>
      <c r="E133" s="12">
        <f t="shared" si="3"/>
        <v>0</v>
      </c>
      <c r="F133">
        <v>0</v>
      </c>
      <c r="G133">
        <v>0</v>
      </c>
      <c r="H133">
        <v>0</v>
      </c>
    </row>
    <row r="134" spans="1:5" ht="12.75">
      <c r="A134" t="s">
        <v>131</v>
      </c>
      <c r="E134" s="12" t="e">
        <f t="shared" si="3"/>
        <v>#DIV/0!</v>
      </c>
    </row>
    <row r="135" spans="1:5" ht="12.75">
      <c r="A135" t="s">
        <v>132</v>
      </c>
      <c r="E135" s="12" t="e">
        <f t="shared" si="3"/>
        <v>#DIV/0!</v>
      </c>
    </row>
    <row r="136" spans="1:8" ht="12.75">
      <c r="A136" t="s">
        <v>133</v>
      </c>
      <c r="C136">
        <v>1</v>
      </c>
      <c r="D136">
        <v>94</v>
      </c>
      <c r="E136" s="12">
        <f t="shared" si="3"/>
        <v>94</v>
      </c>
      <c r="F136">
        <v>94</v>
      </c>
      <c r="G136">
        <v>0</v>
      </c>
      <c r="H136">
        <v>0</v>
      </c>
    </row>
    <row r="137" spans="1:5" ht="12.75">
      <c r="A137" t="s">
        <v>134</v>
      </c>
      <c r="E137" s="12" t="e">
        <f t="shared" si="3"/>
        <v>#DIV/0!</v>
      </c>
    </row>
    <row r="138" spans="1:5" ht="12.75">
      <c r="A138" t="s">
        <v>135</v>
      </c>
      <c r="E138" s="12" t="e">
        <f t="shared" si="3"/>
        <v>#DIV/0!</v>
      </c>
    </row>
    <row r="139" ht="12.75">
      <c r="A139" t="s">
        <v>136</v>
      </c>
    </row>
    <row r="141" spans="1:4" ht="12.75">
      <c r="A141" s="2" t="s">
        <v>90</v>
      </c>
      <c r="C141" s="3" t="s">
        <v>68</v>
      </c>
      <c r="D141" s="3"/>
    </row>
    <row r="142" spans="1:3" ht="12.75">
      <c r="A142" t="s">
        <v>137</v>
      </c>
      <c r="C142">
        <v>0.5</v>
      </c>
    </row>
    <row r="143" spans="1:3" ht="12.75">
      <c r="A143" t="s">
        <v>134</v>
      </c>
      <c r="C143">
        <v>1.5</v>
      </c>
    </row>
    <row r="144" spans="1:3" ht="12.75">
      <c r="A144" t="s">
        <v>138</v>
      </c>
      <c r="C144">
        <v>0.5</v>
      </c>
    </row>
    <row r="145" spans="1:3" ht="12.75">
      <c r="A145" t="s">
        <v>136</v>
      </c>
      <c r="C145">
        <v>0.5</v>
      </c>
    </row>
    <row r="146" ht="12.75">
      <c r="A146" t="s">
        <v>139</v>
      </c>
    </row>
    <row r="147" ht="12.75">
      <c r="A147" t="s">
        <v>135</v>
      </c>
    </row>
    <row r="148" ht="12.75">
      <c r="A148" t="s">
        <v>133</v>
      </c>
    </row>
    <row r="149" ht="12.75">
      <c r="A149" t="s">
        <v>140</v>
      </c>
    </row>
    <row r="150" ht="12.75">
      <c r="A150" t="s">
        <v>141</v>
      </c>
    </row>
    <row r="151" ht="12.75">
      <c r="A151" t="s">
        <v>142</v>
      </c>
    </row>
    <row r="152" ht="12.75">
      <c r="A152" t="s">
        <v>143</v>
      </c>
    </row>
    <row r="153" ht="12.75">
      <c r="A153" t="s">
        <v>124</v>
      </c>
    </row>
    <row r="154" ht="12.75">
      <c r="A154" t="s">
        <v>129</v>
      </c>
    </row>
    <row r="155" ht="12.75">
      <c r="A155" t="s">
        <v>132</v>
      </c>
    </row>
    <row r="156" ht="12.75">
      <c r="A156" t="s">
        <v>144</v>
      </c>
    </row>
    <row r="158" spans="4:14" ht="12.75">
      <c r="D158" s="2" t="s">
        <v>84</v>
      </c>
      <c r="E158" s="2" t="s">
        <v>85</v>
      </c>
      <c r="M158" s="2" t="s">
        <v>84</v>
      </c>
      <c r="N158" s="2" t="s">
        <v>85</v>
      </c>
    </row>
    <row r="159" spans="1:13" ht="12.75">
      <c r="A159" t="s">
        <v>93</v>
      </c>
      <c r="D159">
        <v>11</v>
      </c>
      <c r="H159" t="s">
        <v>93</v>
      </c>
      <c r="M159">
        <v>13</v>
      </c>
    </row>
    <row r="160" spans="1:13" ht="12.75">
      <c r="A160" t="s">
        <v>94</v>
      </c>
      <c r="D160">
        <v>3</v>
      </c>
      <c r="H160" t="s">
        <v>94</v>
      </c>
      <c r="M160">
        <v>4</v>
      </c>
    </row>
    <row r="161" spans="1:13" ht="12.75">
      <c r="A161" t="s">
        <v>95</v>
      </c>
      <c r="D161" s="8">
        <f>D160/D159*100</f>
        <v>27.27272727272727</v>
      </c>
      <c r="H161" t="s">
        <v>95</v>
      </c>
      <c r="M161" s="8">
        <f>+M160/M159*100</f>
        <v>30.76923076923077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Y161"/>
  <sheetViews>
    <sheetView zoomScalePageLayoutView="0" workbookViewId="0" topLeftCell="A60">
      <selection activeCell="A73" sqref="A73:M152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109</v>
      </c>
      <c r="E1" s="2" t="s">
        <v>96</v>
      </c>
      <c r="F1" s="2" t="s">
        <v>97</v>
      </c>
    </row>
    <row r="2" ht="12.75">
      <c r="E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19</v>
      </c>
      <c r="H6" s="1" t="s">
        <v>29</v>
      </c>
      <c r="M6" s="2">
        <f>M7+M8+M9</f>
        <v>25</v>
      </c>
    </row>
    <row r="7" spans="1:13" ht="12.75">
      <c r="A7" s="1" t="s">
        <v>103</v>
      </c>
      <c r="D7" s="2">
        <v>7</v>
      </c>
      <c r="H7" s="1" t="s">
        <v>103</v>
      </c>
      <c r="M7" s="2">
        <v>12</v>
      </c>
    </row>
    <row r="8" spans="1:13" ht="12.75">
      <c r="A8" s="1" t="s">
        <v>105</v>
      </c>
      <c r="D8" s="2">
        <v>10</v>
      </c>
      <c r="H8" s="1" t="s">
        <v>105</v>
      </c>
      <c r="M8" s="2">
        <v>9</v>
      </c>
    </row>
    <row r="9" spans="1:13" ht="12.75">
      <c r="A9" s="1" t="s">
        <v>104</v>
      </c>
      <c r="D9" s="2">
        <v>2</v>
      </c>
      <c r="H9" s="1" t="s">
        <v>104</v>
      </c>
      <c r="M9" s="2">
        <v>4</v>
      </c>
    </row>
    <row r="11" spans="1:13" ht="12.75">
      <c r="A11" t="s">
        <v>1</v>
      </c>
      <c r="D11" s="2">
        <v>29</v>
      </c>
      <c r="H11" t="s">
        <v>1</v>
      </c>
      <c r="M11" s="2">
        <v>32</v>
      </c>
    </row>
    <row r="12" spans="1:13" ht="12.75">
      <c r="A12" t="s">
        <v>2</v>
      </c>
      <c r="D12" s="2">
        <v>131</v>
      </c>
      <c r="H12" t="s">
        <v>2</v>
      </c>
      <c r="M12" s="2">
        <v>160</v>
      </c>
    </row>
    <row r="13" spans="1:13" ht="12.75">
      <c r="A13" s="1" t="s">
        <v>3</v>
      </c>
      <c r="D13" s="8">
        <f>+D12/D11</f>
        <v>4.517241379310345</v>
      </c>
      <c r="H13" s="1" t="s">
        <v>3</v>
      </c>
      <c r="M13" s="8">
        <f>+M12/M11</f>
        <v>5</v>
      </c>
    </row>
    <row r="15" spans="1:13" ht="12.75">
      <c r="A15" t="s">
        <v>4</v>
      </c>
      <c r="D15" s="2">
        <v>29</v>
      </c>
      <c r="H15" t="s">
        <v>4</v>
      </c>
      <c r="M15" s="2">
        <v>30</v>
      </c>
    </row>
    <row r="16" spans="1:13" ht="12.75">
      <c r="A16" t="s">
        <v>5</v>
      </c>
      <c r="D16" s="2">
        <v>18</v>
      </c>
      <c r="H16" t="s">
        <v>5</v>
      </c>
      <c r="M16" s="2">
        <v>16</v>
      </c>
    </row>
    <row r="17" spans="1:13" ht="12.75">
      <c r="A17" t="s">
        <v>6</v>
      </c>
      <c r="D17" s="8">
        <f>+D16/D15*100</f>
        <v>62.06896551724138</v>
      </c>
      <c r="H17" t="s">
        <v>6</v>
      </c>
      <c r="M17" s="8">
        <f>+M16/M15*100</f>
        <v>53.333333333333336</v>
      </c>
    </row>
    <row r="18" spans="1:13" ht="12.75">
      <c r="A18" t="s">
        <v>7</v>
      </c>
      <c r="D18" s="2">
        <v>248</v>
      </c>
      <c r="H18" t="s">
        <v>7</v>
      </c>
      <c r="M18" s="2">
        <v>206</v>
      </c>
    </row>
    <row r="19" spans="1:13" ht="12.75">
      <c r="A19" t="s">
        <v>8</v>
      </c>
      <c r="D19" s="2">
        <v>1</v>
      </c>
      <c r="H19" t="s">
        <v>8</v>
      </c>
      <c r="M19" s="2">
        <v>4</v>
      </c>
    </row>
    <row r="20" spans="1:13" ht="12.75">
      <c r="A20" t="s">
        <v>9</v>
      </c>
      <c r="D20" s="2">
        <v>14</v>
      </c>
      <c r="H20" t="s">
        <v>9</v>
      </c>
      <c r="M20" s="2">
        <v>30</v>
      </c>
    </row>
    <row r="21" spans="1:13" ht="12.75">
      <c r="A21" t="s">
        <v>10</v>
      </c>
      <c r="D21">
        <f>+D18-D20</f>
        <v>234</v>
      </c>
      <c r="H21" t="s">
        <v>10</v>
      </c>
      <c r="M21">
        <f>+M18-M20</f>
        <v>176</v>
      </c>
    </row>
    <row r="22" spans="1:13" ht="12.75">
      <c r="A22" t="s">
        <v>11</v>
      </c>
      <c r="D22" s="7">
        <f>+D21/(D15+D19)</f>
        <v>7.8</v>
      </c>
      <c r="H22" t="s">
        <v>11</v>
      </c>
      <c r="M22" s="7">
        <f>+M21/(M15+M19)</f>
        <v>5.176470588235294</v>
      </c>
    </row>
    <row r="23" spans="1:13" ht="12.75">
      <c r="A23" t="s">
        <v>12</v>
      </c>
      <c r="D23" s="7">
        <f>+D18/D16</f>
        <v>13.777777777777779</v>
      </c>
      <c r="H23" t="s">
        <v>12</v>
      </c>
      <c r="M23" s="7">
        <f>+M18/M16</f>
        <v>12.875</v>
      </c>
    </row>
    <row r="25" spans="1:8" ht="12.75">
      <c r="A25" t="s">
        <v>13</v>
      </c>
      <c r="H25" t="s">
        <v>13</v>
      </c>
    </row>
    <row r="26" spans="1:13" ht="12.75">
      <c r="A26" t="s">
        <v>14</v>
      </c>
      <c r="D26">
        <f>+D21+D12</f>
        <v>365</v>
      </c>
      <c r="H26" t="s">
        <v>14</v>
      </c>
      <c r="M26">
        <f>+M21+M12</f>
        <v>336</v>
      </c>
    </row>
    <row r="27" spans="1:13" ht="12.75">
      <c r="A27" t="s">
        <v>15</v>
      </c>
      <c r="D27" s="7">
        <f>+D12/D26*100</f>
        <v>35.89041095890411</v>
      </c>
      <c r="H27" t="s">
        <v>15</v>
      </c>
      <c r="M27" s="7">
        <f>+M12/M26*100</f>
        <v>47.61904761904761</v>
      </c>
    </row>
    <row r="28" spans="1:13" ht="12.75">
      <c r="A28" s="1" t="s">
        <v>86</v>
      </c>
      <c r="D28" s="7">
        <f>+D21/D26*100</f>
        <v>64.10958904109589</v>
      </c>
      <c r="H28" s="1" t="s">
        <v>86</v>
      </c>
      <c r="M28" s="7">
        <f>+M21/M26*100</f>
        <v>52.38095238095239</v>
      </c>
    </row>
    <row r="30" spans="1:13" ht="12.75">
      <c r="A30" t="s">
        <v>16</v>
      </c>
      <c r="D30">
        <f>+D11+D15+D19</f>
        <v>59</v>
      </c>
      <c r="H30" t="s">
        <v>16</v>
      </c>
      <c r="M30">
        <f>+M11+M15+M19</f>
        <v>66</v>
      </c>
    </row>
    <row r="31" spans="1:13" ht="12.75">
      <c r="A31" t="s">
        <v>17</v>
      </c>
      <c r="D31" s="8">
        <f>+D26/D30</f>
        <v>6.186440677966102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5.090909090909091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0</v>
      </c>
      <c r="H34" t="s">
        <v>19</v>
      </c>
      <c r="M34" s="2">
        <v>2</v>
      </c>
    </row>
    <row r="35" spans="1:13" ht="12.75">
      <c r="A35" t="s">
        <v>20</v>
      </c>
      <c r="D35" s="2">
        <v>0</v>
      </c>
      <c r="H35" t="s">
        <v>20</v>
      </c>
      <c r="M35" s="2">
        <v>3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3</v>
      </c>
      <c r="H38" t="s">
        <v>22</v>
      </c>
      <c r="M38" s="2">
        <v>4</v>
      </c>
    </row>
    <row r="39" spans="1:13" ht="12.75">
      <c r="A39" t="s">
        <v>23</v>
      </c>
      <c r="D39" s="2">
        <v>132</v>
      </c>
      <c r="H39" t="s">
        <v>23</v>
      </c>
      <c r="M39" s="2">
        <v>171</v>
      </c>
    </row>
    <row r="40" spans="1:13" ht="12.75">
      <c r="A40" t="s">
        <v>24</v>
      </c>
      <c r="D40" s="8">
        <f>+D39/D38</f>
        <v>44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42.75</v>
      </c>
    </row>
    <row r="42" spans="1:13" ht="12.75">
      <c r="A42" t="s">
        <v>25</v>
      </c>
      <c r="D42" s="2">
        <v>1</v>
      </c>
      <c r="H42" t="s">
        <v>25</v>
      </c>
      <c r="M42" s="2">
        <v>1</v>
      </c>
    </row>
    <row r="43" spans="1:13" ht="12.75">
      <c r="A43" t="s">
        <v>26</v>
      </c>
      <c r="D43" s="2">
        <v>4</v>
      </c>
      <c r="H43" t="s">
        <v>26</v>
      </c>
      <c r="M43" s="2">
        <v>4</v>
      </c>
    </row>
    <row r="44" spans="1:13" ht="12.75">
      <c r="A44" t="s">
        <v>27</v>
      </c>
      <c r="D44" s="8">
        <f>+D43/D42</f>
        <v>4</v>
      </c>
      <c r="H44" t="s">
        <v>27</v>
      </c>
      <c r="M44" s="8">
        <f>+M43/M42</f>
        <v>4</v>
      </c>
    </row>
    <row r="45" spans="1:13" ht="12.75">
      <c r="A45" t="s">
        <v>106</v>
      </c>
      <c r="D45" s="2">
        <v>1</v>
      </c>
      <c r="H45" t="s">
        <v>106</v>
      </c>
      <c r="M45" s="2">
        <v>1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2</v>
      </c>
      <c r="H48" t="s">
        <v>30</v>
      </c>
      <c r="M48" s="2">
        <v>3</v>
      </c>
    </row>
    <row r="49" spans="1:13" ht="12.75">
      <c r="A49" t="s">
        <v>26</v>
      </c>
      <c r="D49" s="2">
        <v>41</v>
      </c>
      <c r="H49" t="s">
        <v>26</v>
      </c>
      <c r="M49" s="2">
        <v>34</v>
      </c>
    </row>
    <row r="50" spans="1:13" ht="12.75">
      <c r="A50" t="s">
        <v>27</v>
      </c>
      <c r="D50" s="8">
        <f>+D49/D48</f>
        <v>20.5</v>
      </c>
      <c r="H50" t="s">
        <v>27</v>
      </c>
      <c r="M50" s="8">
        <f>+M49/M48</f>
        <v>11.333333333333334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5</v>
      </c>
      <c r="H53" t="s">
        <v>31</v>
      </c>
      <c r="M53" s="2">
        <v>5</v>
      </c>
    </row>
    <row r="54" spans="1:13" ht="12.75">
      <c r="A54" t="s">
        <v>32</v>
      </c>
      <c r="D54" s="2">
        <v>51</v>
      </c>
      <c r="H54" t="s">
        <v>32</v>
      </c>
      <c r="M54" s="2">
        <v>42</v>
      </c>
    </row>
    <row r="56" spans="1:13" ht="12.75">
      <c r="A56" t="s">
        <v>33</v>
      </c>
      <c r="D56" s="2">
        <v>2</v>
      </c>
      <c r="H56" t="s">
        <v>33</v>
      </c>
      <c r="M56" s="2">
        <v>0</v>
      </c>
    </row>
    <row r="57" spans="1:13" ht="12.75">
      <c r="A57" t="s">
        <v>101</v>
      </c>
      <c r="D57" s="2">
        <v>1</v>
      </c>
      <c r="H57" t="s">
        <v>101</v>
      </c>
      <c r="M57" s="2">
        <v>0</v>
      </c>
    </row>
    <row r="59" spans="1:13" ht="12.75">
      <c r="A59" t="s">
        <v>34</v>
      </c>
      <c r="D59" s="2">
        <v>17</v>
      </c>
      <c r="H59" t="s">
        <v>34</v>
      </c>
      <c r="M59" s="2">
        <v>13</v>
      </c>
    </row>
    <row r="60" spans="1:13" ht="12.75">
      <c r="A60" t="s">
        <v>35</v>
      </c>
      <c r="D60" s="2">
        <v>2</v>
      </c>
      <c r="H60" t="s">
        <v>35</v>
      </c>
      <c r="M60" s="2">
        <v>2</v>
      </c>
    </row>
    <row r="61" spans="1:13" ht="12.75">
      <c r="A61" t="s">
        <v>36</v>
      </c>
      <c r="D61" s="2">
        <v>0</v>
      </c>
      <c r="H61" t="s">
        <v>36</v>
      </c>
      <c r="M61" s="2">
        <v>1</v>
      </c>
    </row>
    <row r="62" spans="1:13" ht="12.75">
      <c r="A62" t="s">
        <v>37</v>
      </c>
      <c r="D62" s="2">
        <v>2</v>
      </c>
      <c r="H62" t="s">
        <v>37</v>
      </c>
      <c r="M62" s="2">
        <v>1</v>
      </c>
    </row>
    <row r="63" spans="1:13" ht="12.75">
      <c r="A63" t="s">
        <v>38</v>
      </c>
      <c r="D63" s="2">
        <v>0</v>
      </c>
      <c r="H63" t="s">
        <v>38</v>
      </c>
      <c r="M63" s="2">
        <v>0</v>
      </c>
    </row>
    <row r="64" spans="1:13" ht="12.75">
      <c r="A64" t="s">
        <v>39</v>
      </c>
      <c r="D64" s="2">
        <v>2</v>
      </c>
      <c r="H64" t="s">
        <v>39</v>
      </c>
      <c r="M64" s="2">
        <v>2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1</v>
      </c>
      <c r="H66" t="s">
        <v>41</v>
      </c>
      <c r="M66" s="2">
        <v>2</v>
      </c>
    </row>
    <row r="67" spans="1:13" ht="12.75">
      <c r="A67" t="s">
        <v>42</v>
      </c>
      <c r="D67" s="2">
        <v>2</v>
      </c>
      <c r="H67" t="s">
        <v>42</v>
      </c>
      <c r="M67" s="2">
        <v>4</v>
      </c>
    </row>
    <row r="68" spans="1:13" ht="12.75">
      <c r="A68" t="s">
        <v>43</v>
      </c>
      <c r="D68" s="8">
        <f>+D66/D67*100</f>
        <v>50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50</v>
      </c>
    </row>
    <row r="69" spans="1:13" ht="12.75">
      <c r="A69" t="s">
        <v>92</v>
      </c>
      <c r="D69" s="10">
        <v>29.05</v>
      </c>
      <c r="E69" s="8"/>
      <c r="F69" s="8"/>
      <c r="H69" t="s">
        <v>91</v>
      </c>
      <c r="M69" s="10">
        <v>30.55</v>
      </c>
    </row>
    <row r="70" spans="1:13" ht="12.75">
      <c r="A70" t="s">
        <v>102</v>
      </c>
      <c r="D70" s="23">
        <f>D161</f>
        <v>36.36363636363637</v>
      </c>
      <c r="E70" s="8"/>
      <c r="F70" s="8"/>
      <c r="H70" t="s">
        <v>102</v>
      </c>
      <c r="M70" s="23">
        <f>M161</f>
        <v>25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110</v>
      </c>
      <c r="C74">
        <v>20</v>
      </c>
      <c r="D74">
        <v>99</v>
      </c>
      <c r="E74" s="12">
        <f aca="true" t="shared" si="0" ref="E74:E84">+D74/C74</f>
        <v>4.95</v>
      </c>
      <c r="F74">
        <v>21</v>
      </c>
      <c r="G74">
        <v>0</v>
      </c>
      <c r="H74">
        <v>1</v>
      </c>
    </row>
    <row r="75" spans="1:8" ht="12.75">
      <c r="A75" t="s">
        <v>111</v>
      </c>
      <c r="C75">
        <v>6</v>
      </c>
      <c r="D75">
        <v>24</v>
      </c>
      <c r="E75" s="12">
        <f t="shared" si="0"/>
        <v>4</v>
      </c>
      <c r="F75">
        <v>16</v>
      </c>
      <c r="G75">
        <v>0</v>
      </c>
      <c r="H75">
        <v>0</v>
      </c>
    </row>
    <row r="76" spans="1:5" ht="12.75">
      <c r="A76" t="s">
        <v>112</v>
      </c>
      <c r="E76" s="12" t="e">
        <f t="shared" si="0"/>
        <v>#DIV/0!</v>
      </c>
    </row>
    <row r="77" spans="1:8" ht="12.75">
      <c r="A77" t="s">
        <v>113</v>
      </c>
      <c r="C77">
        <v>2</v>
      </c>
      <c r="D77">
        <v>0</v>
      </c>
      <c r="E77" s="12">
        <f t="shared" si="0"/>
        <v>0</v>
      </c>
      <c r="F77">
        <v>2</v>
      </c>
      <c r="G77">
        <v>0</v>
      </c>
      <c r="H77">
        <v>0</v>
      </c>
    </row>
    <row r="78" spans="1:5" ht="12.75">
      <c r="A78" t="s">
        <v>108</v>
      </c>
      <c r="E78" s="12" t="e">
        <f t="shared" si="0"/>
        <v>#DIV/0!</v>
      </c>
    </row>
    <row r="79" spans="1:5" ht="12.75">
      <c r="A79" t="s">
        <v>114</v>
      </c>
      <c r="E79" s="12" t="e">
        <f t="shared" si="0"/>
        <v>#DIV/0!</v>
      </c>
    </row>
    <row r="80" spans="1:8" ht="12.75">
      <c r="A80" t="s">
        <v>115</v>
      </c>
      <c r="C80">
        <v>1</v>
      </c>
      <c r="D80">
        <v>8</v>
      </c>
      <c r="E80" s="12">
        <f t="shared" si="0"/>
        <v>8</v>
      </c>
      <c r="F80">
        <v>8</v>
      </c>
      <c r="G80">
        <v>0</v>
      </c>
      <c r="H80">
        <v>0</v>
      </c>
    </row>
    <row r="81" spans="1:5" ht="12.75">
      <c r="A81" t="s">
        <v>116</v>
      </c>
      <c r="E81" s="12" t="e">
        <f t="shared" si="0"/>
        <v>#DIV/0!</v>
      </c>
    </row>
    <row r="82" spans="1:5" ht="12.75">
      <c r="A82" t="s">
        <v>117</v>
      </c>
      <c r="E82" s="12" t="e">
        <f t="shared" si="0"/>
        <v>#DIV/0!</v>
      </c>
    </row>
    <row r="83" spans="1:5" ht="12.75">
      <c r="A83" t="s">
        <v>118</v>
      </c>
      <c r="E83" s="12" t="e">
        <f t="shared" si="0"/>
        <v>#DIV/0!</v>
      </c>
    </row>
    <row r="84" spans="1:5" ht="12.75">
      <c r="A84" t="s">
        <v>107</v>
      </c>
      <c r="E84" s="12" t="e">
        <f t="shared" si="0"/>
        <v>#DIV/0!</v>
      </c>
    </row>
    <row r="85" ht="12.75">
      <c r="E85" s="8"/>
    </row>
    <row r="86" spans="1:8" ht="12.75">
      <c r="A86" s="2" t="s">
        <v>52</v>
      </c>
      <c r="C86" s="3" t="s">
        <v>53</v>
      </c>
      <c r="D86" s="3" t="s">
        <v>48</v>
      </c>
      <c r="E86" s="15" t="s">
        <v>49</v>
      </c>
      <c r="F86" s="3" t="s">
        <v>50</v>
      </c>
      <c r="G86" s="3" t="s">
        <v>51</v>
      </c>
      <c r="H86" s="3" t="s">
        <v>80</v>
      </c>
    </row>
    <row r="87" spans="1:8" ht="12.75">
      <c r="A87" t="s">
        <v>107</v>
      </c>
      <c r="C87">
        <v>2</v>
      </c>
      <c r="D87">
        <v>23</v>
      </c>
      <c r="E87" s="12">
        <f aca="true" t="shared" si="1" ref="E87:E98">+D87/C87</f>
        <v>11.5</v>
      </c>
      <c r="F87">
        <v>14</v>
      </c>
      <c r="G87">
        <v>0</v>
      </c>
      <c r="H87">
        <v>0</v>
      </c>
    </row>
    <row r="88" spans="1:8" ht="12.75">
      <c r="A88" t="s">
        <v>119</v>
      </c>
      <c r="C88">
        <v>5</v>
      </c>
      <c r="D88">
        <v>99</v>
      </c>
      <c r="E88" s="12">
        <f t="shared" si="1"/>
        <v>19.8</v>
      </c>
      <c r="F88">
        <v>50</v>
      </c>
      <c r="G88">
        <v>1</v>
      </c>
      <c r="H88">
        <v>0</v>
      </c>
    </row>
    <row r="89" spans="1:8" ht="12.75">
      <c r="A89" t="s">
        <v>120</v>
      </c>
      <c r="C89">
        <v>3</v>
      </c>
      <c r="D89">
        <v>25</v>
      </c>
      <c r="E89" s="12">
        <f t="shared" si="1"/>
        <v>8.333333333333334</v>
      </c>
      <c r="F89">
        <v>12</v>
      </c>
      <c r="G89">
        <v>1</v>
      </c>
      <c r="H89">
        <v>0</v>
      </c>
    </row>
    <row r="90" spans="1:8" ht="12.75">
      <c r="A90" t="s">
        <v>110</v>
      </c>
      <c r="C90">
        <v>1</v>
      </c>
      <c r="D90">
        <v>0</v>
      </c>
      <c r="E90" s="12">
        <f t="shared" si="1"/>
        <v>0</v>
      </c>
      <c r="F90">
        <v>0</v>
      </c>
      <c r="G90">
        <v>0</v>
      </c>
      <c r="H90">
        <v>0</v>
      </c>
    </row>
    <row r="91" spans="1:8" ht="12.75">
      <c r="A91" t="s">
        <v>111</v>
      </c>
      <c r="C91">
        <v>4</v>
      </c>
      <c r="D91">
        <v>66</v>
      </c>
      <c r="E91" s="12">
        <f t="shared" si="1"/>
        <v>16.5</v>
      </c>
      <c r="F91">
        <v>35</v>
      </c>
      <c r="G91">
        <v>0</v>
      </c>
      <c r="H91">
        <v>0</v>
      </c>
    </row>
    <row r="92" spans="1:8" ht="12.75">
      <c r="A92" t="s">
        <v>116</v>
      </c>
      <c r="C92">
        <v>1</v>
      </c>
      <c r="D92">
        <v>16</v>
      </c>
      <c r="E92" s="12">
        <f t="shared" si="1"/>
        <v>16</v>
      </c>
      <c r="F92">
        <v>16</v>
      </c>
      <c r="G92">
        <v>0</v>
      </c>
      <c r="H92">
        <v>0</v>
      </c>
    </row>
    <row r="93" spans="1:8" ht="12.75">
      <c r="A93" t="s">
        <v>121</v>
      </c>
      <c r="C93">
        <v>1</v>
      </c>
      <c r="D93">
        <v>12</v>
      </c>
      <c r="E93" s="12">
        <f t="shared" si="1"/>
        <v>12</v>
      </c>
      <c r="F93">
        <v>12</v>
      </c>
      <c r="G93">
        <v>0</v>
      </c>
      <c r="H93">
        <v>0</v>
      </c>
    </row>
    <row r="94" spans="1:8" ht="12.75">
      <c r="A94" t="s">
        <v>122</v>
      </c>
      <c r="C94">
        <v>1</v>
      </c>
      <c r="D94">
        <v>7</v>
      </c>
      <c r="E94" s="12">
        <f t="shared" si="1"/>
        <v>7</v>
      </c>
      <c r="F94">
        <v>7</v>
      </c>
      <c r="G94">
        <v>0</v>
      </c>
      <c r="H94">
        <v>0</v>
      </c>
    </row>
    <row r="95" spans="1:5" ht="12.75">
      <c r="A95" t="s">
        <v>115</v>
      </c>
      <c r="E95" s="12" t="e">
        <f t="shared" si="1"/>
        <v>#DIV/0!</v>
      </c>
    </row>
    <row r="96" spans="1:5" ht="12.75">
      <c r="A96" t="s">
        <v>123</v>
      </c>
      <c r="E96" s="12" t="e">
        <f t="shared" si="1"/>
        <v>#DIV/0!</v>
      </c>
    </row>
    <row r="97" spans="1:5" ht="12.75">
      <c r="A97" t="s">
        <v>113</v>
      </c>
      <c r="E97" s="12" t="e">
        <f t="shared" si="1"/>
        <v>#DIV/0!</v>
      </c>
    </row>
    <row r="98" spans="1:5" ht="12.75">
      <c r="A98" t="s">
        <v>114</v>
      </c>
      <c r="E98" s="12" t="e">
        <f t="shared" si="1"/>
        <v>#DIV/0!</v>
      </c>
    </row>
    <row r="99" ht="12.75">
      <c r="E99" s="8"/>
    </row>
    <row r="100" spans="1:13" ht="12.75">
      <c r="A100" s="2"/>
      <c r="B100" s="2"/>
      <c r="C100" s="3"/>
      <c r="D100" s="3"/>
      <c r="E100" s="15" t="s">
        <v>57</v>
      </c>
      <c r="F100" s="3" t="s">
        <v>58</v>
      </c>
      <c r="G100" s="3"/>
      <c r="H100" s="3"/>
      <c r="I100" s="3" t="s">
        <v>61</v>
      </c>
      <c r="J100" s="3" t="s">
        <v>63</v>
      </c>
      <c r="K100" s="3" t="s">
        <v>57</v>
      </c>
      <c r="L100" s="3" t="s">
        <v>49</v>
      </c>
      <c r="M100" s="3"/>
    </row>
    <row r="101" spans="1:14" ht="12.75">
      <c r="A101" s="2" t="s">
        <v>54</v>
      </c>
      <c r="B101" s="2"/>
      <c r="C101" s="3" t="s">
        <v>55</v>
      </c>
      <c r="D101" s="3" t="s">
        <v>56</v>
      </c>
      <c r="E101" s="15" t="s">
        <v>56</v>
      </c>
      <c r="F101" s="3" t="s">
        <v>59</v>
      </c>
      <c r="G101" s="3" t="s">
        <v>51</v>
      </c>
      <c r="H101" s="3" t="s">
        <v>60</v>
      </c>
      <c r="I101" s="5" t="s">
        <v>62</v>
      </c>
      <c r="J101" s="3" t="s">
        <v>51</v>
      </c>
      <c r="K101" s="3" t="s">
        <v>64</v>
      </c>
      <c r="L101" s="3" t="s">
        <v>65</v>
      </c>
      <c r="M101" s="3" t="s">
        <v>66</v>
      </c>
      <c r="N101" s="3" t="s">
        <v>80</v>
      </c>
    </row>
    <row r="102" spans="1:25" ht="12.75">
      <c r="A102" t="s">
        <v>113</v>
      </c>
      <c r="C102">
        <v>29</v>
      </c>
      <c r="D102">
        <v>18</v>
      </c>
      <c r="E102" s="12">
        <f>+D102/C102*100</f>
        <v>62.06896551724138</v>
      </c>
      <c r="F102">
        <v>248</v>
      </c>
      <c r="G102">
        <v>2</v>
      </c>
      <c r="H102">
        <v>50</v>
      </c>
      <c r="I102">
        <v>0</v>
      </c>
      <c r="J102" s="8">
        <f>+G102/C102*100</f>
        <v>6.896551724137931</v>
      </c>
      <c r="K102" s="12">
        <f>+I102/C102*100</f>
        <v>0</v>
      </c>
      <c r="L102" s="12">
        <f>+F102/C102</f>
        <v>8.551724137931034</v>
      </c>
      <c r="M102" s="12">
        <f>100*(S102+U102+W102+Y102)/6</f>
        <v>112.42816091954023</v>
      </c>
      <c r="R102">
        <f>+(E102-30)/20</f>
        <v>1.603448275862069</v>
      </c>
      <c r="S102" s="2">
        <f>IF(R102&lt;0,0,IF(R102&gt;2.375,2.375,R102))</f>
        <v>1.603448275862069</v>
      </c>
      <c r="T102" s="6">
        <f>+(L102-3)/4</f>
        <v>1.3879310344827585</v>
      </c>
      <c r="U102" s="2">
        <f>IF(T102&lt;0,0,IF(T102&gt;2.375,2.375,T102))</f>
        <v>1.3879310344827585</v>
      </c>
      <c r="V102">
        <f>+J102/5</f>
        <v>1.379310344827586</v>
      </c>
      <c r="W102" s="2">
        <f>IF(V102&lt;0,0,IF(V102&gt;2.375,2.375,V102))</f>
        <v>1.379310344827586</v>
      </c>
      <c r="X102">
        <f>(9.5-K102)/4</f>
        <v>2.375</v>
      </c>
      <c r="Y102" s="2">
        <f>IF(X102&lt;0,0,X102)</f>
        <v>2.375</v>
      </c>
    </row>
    <row r="103" spans="1:25" ht="12.75">
      <c r="A103" t="s">
        <v>112</v>
      </c>
      <c r="E103" s="12" t="e">
        <f>+D103/C103*100</f>
        <v>#DIV/0!</v>
      </c>
      <c r="J103" s="8" t="e">
        <f>+G103/C103*100</f>
        <v>#DIV/0!</v>
      </c>
      <c r="K103" s="12" t="e">
        <f>+I103/C103*100</f>
        <v>#DIV/0!</v>
      </c>
      <c r="L103" s="12" t="e">
        <f>+F103/C103</f>
        <v>#DIV/0!</v>
      </c>
      <c r="M103" s="12" t="e">
        <f>100*(S103+U103+W103+Y103)/6</f>
        <v>#DIV/0!</v>
      </c>
      <c r="R103" t="e">
        <f>+(E103-30)/20</f>
        <v>#DIV/0!</v>
      </c>
      <c r="S103" s="2" t="e">
        <f>IF(R103&lt;0,0,IF(R103&gt;2.375,2.375,R103))</f>
        <v>#DIV/0!</v>
      </c>
      <c r="T103" s="6" t="e">
        <f>+(L103-3)/4</f>
        <v>#DIV/0!</v>
      </c>
      <c r="U103" s="2" t="e">
        <f>IF(T103&lt;0,0,IF(T103&gt;2.375,2.375,T103))</f>
        <v>#DIV/0!</v>
      </c>
      <c r="V103" t="e">
        <f>+J103/5</f>
        <v>#DIV/0!</v>
      </c>
      <c r="W103" s="2" t="e">
        <f>IF(V103&lt;0,0,IF(V103&gt;2.375,2.375,V103))</f>
        <v>#DIV/0!</v>
      </c>
      <c r="X103" t="e">
        <f>(9.5-K103)/4</f>
        <v>#DIV/0!</v>
      </c>
      <c r="Y103" s="2" t="e">
        <f>IF(X103&lt;0,0,X103)</f>
        <v>#DIV/0!</v>
      </c>
    </row>
    <row r="104" spans="1:25" ht="12.75">
      <c r="A104" t="s">
        <v>118</v>
      </c>
      <c r="E104" s="12" t="e">
        <f>+D104/C104*100</f>
        <v>#DIV/0!</v>
      </c>
      <c r="J104" s="8" t="e">
        <f>+G104/C104*100</f>
        <v>#DIV/0!</v>
      </c>
      <c r="K104" s="12" t="e">
        <f>+I104/C104*100</f>
        <v>#DIV/0!</v>
      </c>
      <c r="L104" s="12" t="e">
        <f>+F104/C104</f>
        <v>#DIV/0!</v>
      </c>
      <c r="M104" s="12" t="e">
        <f>100*(S104+U104+W104+Y104)/6</f>
        <v>#DIV/0!</v>
      </c>
      <c r="R104" t="e">
        <f>+(E104-30)/20</f>
        <v>#DIV/0!</v>
      </c>
      <c r="S104" s="2" t="e">
        <f>IF(R104&lt;0,0,IF(R104&gt;2.375,2.375,R104))</f>
        <v>#DIV/0!</v>
      </c>
      <c r="T104" s="6" t="e">
        <f>+(L104-3)/4</f>
        <v>#DIV/0!</v>
      </c>
      <c r="U104" s="2" t="e">
        <f>IF(T104&lt;0,0,IF(T104&gt;2.375,2.375,T104))</f>
        <v>#DIV/0!</v>
      </c>
      <c r="V104" t="e">
        <f>+J104/5</f>
        <v>#DIV/0!</v>
      </c>
      <c r="W104" s="2" t="e">
        <f>IF(V104&lt;0,0,IF(V104&gt;2.375,2.375,V104))</f>
        <v>#DIV/0!</v>
      </c>
      <c r="X104" t="e">
        <f>(9.5-K104)/4</f>
        <v>#DIV/0!</v>
      </c>
      <c r="Y104" s="2" t="e">
        <f>IF(X104&lt;0,0,X104)</f>
        <v>#DIV/0!</v>
      </c>
    </row>
    <row r="105" spans="1:25" ht="12.75">
      <c r="A105" t="s">
        <v>116</v>
      </c>
      <c r="E105" s="12" t="e">
        <f>+D105/C105*100</f>
        <v>#DIV/0!</v>
      </c>
      <c r="J105" s="8" t="e">
        <f>+G105/C105*100</f>
        <v>#DIV/0!</v>
      </c>
      <c r="K105" s="12" t="e">
        <f>+I105/C105*100</f>
        <v>#DIV/0!</v>
      </c>
      <c r="L105" s="12" t="e">
        <f>+F105/C105</f>
        <v>#DIV/0!</v>
      </c>
      <c r="M105" s="12" t="e">
        <f>100*(S105+U105+W105+Y105)/6</f>
        <v>#DIV/0!</v>
      </c>
      <c r="R105" t="e">
        <f>+(E105-30)/20</f>
        <v>#DIV/0!</v>
      </c>
      <c r="S105" s="2" t="e">
        <f>IF(R105&lt;0,0,IF(R105&gt;2.375,2.375,R105))</f>
        <v>#DIV/0!</v>
      </c>
      <c r="T105" s="6" t="e">
        <f>+(L105-3)/4</f>
        <v>#DIV/0!</v>
      </c>
      <c r="U105" s="2" t="e">
        <f>IF(T105&lt;0,0,IF(T105&gt;2.375,2.375,T105))</f>
        <v>#DIV/0!</v>
      </c>
      <c r="V105" t="e">
        <f>+J105/5</f>
        <v>#DIV/0!</v>
      </c>
      <c r="W105" s="2" t="e">
        <f>IF(V105&lt;0,0,IF(V105&gt;2.375,2.375,V105))</f>
        <v>#DIV/0!</v>
      </c>
      <c r="X105" t="e">
        <f>(9.5-K105)/4</f>
        <v>#DIV/0!</v>
      </c>
      <c r="Y105" s="2" t="e">
        <f>IF(X105&lt;0,0,X105)</f>
        <v>#DIV/0!</v>
      </c>
    </row>
    <row r="106" spans="1:25" ht="12.75">
      <c r="A106" t="s">
        <v>107</v>
      </c>
      <c r="E106" s="12" t="e">
        <f>+D106/C106*100</f>
        <v>#DIV/0!</v>
      </c>
      <c r="J106" s="8" t="e">
        <f>+G106/C106*100</f>
        <v>#DIV/0!</v>
      </c>
      <c r="K106" s="12" t="e">
        <f>+I106/C106*100</f>
        <v>#DIV/0!</v>
      </c>
      <c r="L106" s="12" t="e">
        <f>+F106/C106</f>
        <v>#DIV/0!</v>
      </c>
      <c r="M106" s="12" t="e">
        <f>100*(S106+U106+W106+Y106)/6</f>
        <v>#DIV/0!</v>
      </c>
      <c r="R106" t="e">
        <f>+(E106-30)/20</f>
        <v>#DIV/0!</v>
      </c>
      <c r="S106" s="2" t="e">
        <f>IF(R106&lt;0,0,IF(R106&gt;2.375,2.375,R106))</f>
        <v>#DIV/0!</v>
      </c>
      <c r="T106" s="6" t="e">
        <f>+(L106-3)/4</f>
        <v>#DIV/0!</v>
      </c>
      <c r="U106" s="2" t="e">
        <f>IF(T106&lt;0,0,IF(T106&gt;2.375,2.375,T106))</f>
        <v>#DIV/0!</v>
      </c>
      <c r="V106" t="e">
        <f>+J106/5</f>
        <v>#DIV/0!</v>
      </c>
      <c r="W106" s="2" t="e">
        <f>IF(V106&lt;0,0,IF(V106&gt;2.375,2.375,V106))</f>
        <v>#DIV/0!</v>
      </c>
      <c r="X106" t="e">
        <f>(9.5-K106)/4</f>
        <v>#DIV/0!</v>
      </c>
      <c r="Y106" s="2" t="e">
        <f>IF(X106&lt;0,0,X106)</f>
        <v>#DIV/0!</v>
      </c>
    </row>
    <row r="109" spans="1:9" ht="12.75">
      <c r="A109" s="2" t="s">
        <v>67</v>
      </c>
      <c r="C109" s="3" t="s">
        <v>68</v>
      </c>
      <c r="D109" s="3" t="s">
        <v>69</v>
      </c>
      <c r="E109" s="3" t="s">
        <v>70</v>
      </c>
      <c r="F109" s="3" t="s">
        <v>49</v>
      </c>
      <c r="G109" s="3" t="s">
        <v>60</v>
      </c>
      <c r="H109" s="3" t="s">
        <v>51</v>
      </c>
      <c r="I109" s="3" t="s">
        <v>80</v>
      </c>
    </row>
    <row r="110" spans="1:9" ht="12.75">
      <c r="A110" t="s">
        <v>124</v>
      </c>
      <c r="C110">
        <v>1</v>
      </c>
      <c r="D110">
        <v>1</v>
      </c>
      <c r="E110">
        <v>4</v>
      </c>
      <c r="F110" s="12">
        <f>+E110/C110</f>
        <v>4</v>
      </c>
      <c r="G110">
        <v>4</v>
      </c>
      <c r="H110">
        <v>0</v>
      </c>
      <c r="I110">
        <v>0</v>
      </c>
    </row>
    <row r="111" spans="1:6" ht="12.75">
      <c r="A111" t="s">
        <v>123</v>
      </c>
      <c r="F111" s="12" t="e">
        <f>+E111/C111</f>
        <v>#DIV/0!</v>
      </c>
    </row>
    <row r="112" spans="1:6" ht="12.75">
      <c r="A112" t="s">
        <v>117</v>
      </c>
      <c r="F112" s="12" t="e">
        <f>+E112/C112</f>
        <v>#DIV/0!</v>
      </c>
    </row>
    <row r="114" spans="1:8" ht="12.75">
      <c r="A114" s="2" t="s">
        <v>30</v>
      </c>
      <c r="C114" s="3" t="s">
        <v>68</v>
      </c>
      <c r="D114" s="3" t="s">
        <v>70</v>
      </c>
      <c r="E114" s="3" t="s">
        <v>49</v>
      </c>
      <c r="F114" s="3" t="s">
        <v>60</v>
      </c>
      <c r="G114" s="3" t="s">
        <v>51</v>
      </c>
      <c r="H114" s="3" t="s">
        <v>80</v>
      </c>
    </row>
    <row r="115" spans="1:8" ht="12.75">
      <c r="A115" t="s">
        <v>114</v>
      </c>
      <c r="C115">
        <v>2</v>
      </c>
      <c r="D115">
        <v>41</v>
      </c>
      <c r="E115" s="12">
        <f aca="true" t="shared" si="2" ref="E115:E120">+D115/C115</f>
        <v>20.5</v>
      </c>
      <c r="F115">
        <v>27</v>
      </c>
      <c r="G115">
        <v>0</v>
      </c>
      <c r="H115">
        <v>1</v>
      </c>
    </row>
    <row r="116" spans="1:5" ht="12.75">
      <c r="A116" t="s">
        <v>125</v>
      </c>
      <c r="E116" s="12" t="e">
        <f t="shared" si="2"/>
        <v>#DIV/0!</v>
      </c>
    </row>
    <row r="117" spans="1:5" ht="12.75">
      <c r="A117" t="s">
        <v>116</v>
      </c>
      <c r="E117" s="12" t="e">
        <f t="shared" si="2"/>
        <v>#DIV/0!</v>
      </c>
    </row>
    <row r="118" spans="1:5" ht="12.75">
      <c r="A118" t="s">
        <v>108</v>
      </c>
      <c r="E118" s="12" t="e">
        <f t="shared" si="2"/>
        <v>#DIV/0!</v>
      </c>
    </row>
    <row r="119" spans="1:5" ht="12.75">
      <c r="A119" t="s">
        <v>115</v>
      </c>
      <c r="E119" s="12" t="e">
        <f t="shared" si="2"/>
        <v>#DIV/0!</v>
      </c>
    </row>
    <row r="120" spans="1:5" ht="12.75">
      <c r="A120" t="s">
        <v>121</v>
      </c>
      <c r="E120" s="12" t="e">
        <f t="shared" si="2"/>
        <v>#DIV/0!</v>
      </c>
    </row>
    <row r="122" spans="1:7" ht="12.75">
      <c r="A122" s="2" t="s">
        <v>71</v>
      </c>
      <c r="C122" s="3" t="s">
        <v>68</v>
      </c>
      <c r="D122" s="3" t="s">
        <v>70</v>
      </c>
      <c r="E122" s="3" t="s">
        <v>49</v>
      </c>
      <c r="F122" s="3" t="s">
        <v>60</v>
      </c>
      <c r="G122" s="3" t="s">
        <v>72</v>
      </c>
    </row>
    <row r="123" spans="1:7" ht="12.75">
      <c r="A123" t="s">
        <v>126</v>
      </c>
      <c r="C123">
        <v>3</v>
      </c>
      <c r="D123">
        <v>132</v>
      </c>
      <c r="E123" s="12">
        <f>+D123/C123</f>
        <v>44</v>
      </c>
      <c r="F123">
        <v>54</v>
      </c>
      <c r="G123">
        <v>0</v>
      </c>
    </row>
    <row r="124" spans="1:5" ht="12.75">
      <c r="A124" t="s">
        <v>113</v>
      </c>
      <c r="E124" s="12" t="e">
        <f>+D124/C124</f>
        <v>#DIV/0!</v>
      </c>
    </row>
    <row r="125" ht="12.75">
      <c r="I125" s="5" t="s">
        <v>63</v>
      </c>
    </row>
    <row r="126" spans="1:10" ht="12.75">
      <c r="A126" s="4" t="s">
        <v>79</v>
      </c>
      <c r="C126" s="3" t="s">
        <v>73</v>
      </c>
      <c r="D126" s="3" t="s">
        <v>74</v>
      </c>
      <c r="E126" s="3" t="s">
        <v>75</v>
      </c>
      <c r="F126" s="3" t="s">
        <v>76</v>
      </c>
      <c r="G126" s="3" t="s">
        <v>77</v>
      </c>
      <c r="H126" s="3" t="s">
        <v>78</v>
      </c>
      <c r="I126" s="3" t="s">
        <v>82</v>
      </c>
      <c r="J126" s="3" t="s">
        <v>60</v>
      </c>
    </row>
    <row r="127" spans="1:10" ht="12.75">
      <c r="A127" t="s">
        <v>127</v>
      </c>
      <c r="C127">
        <v>4</v>
      </c>
      <c r="D127">
        <v>1</v>
      </c>
      <c r="E127">
        <v>2</v>
      </c>
      <c r="F127">
        <v>2</v>
      </c>
      <c r="G127">
        <v>2</v>
      </c>
      <c r="H127">
        <v>1</v>
      </c>
      <c r="I127" s="12">
        <f>+H127/G127*100</f>
        <v>50</v>
      </c>
      <c r="J127">
        <v>30</v>
      </c>
    </row>
    <row r="129" spans="1:8" ht="12.75">
      <c r="A129" s="2" t="s">
        <v>81</v>
      </c>
      <c r="C129" s="3" t="s">
        <v>68</v>
      </c>
      <c r="D129" s="3" t="s">
        <v>70</v>
      </c>
      <c r="E129" s="3" t="s">
        <v>49</v>
      </c>
      <c r="F129" s="3" t="s">
        <v>60</v>
      </c>
      <c r="G129" s="3" t="s">
        <v>51</v>
      </c>
      <c r="H129" s="3" t="s">
        <v>80</v>
      </c>
    </row>
    <row r="130" spans="1:8" ht="12.75">
      <c r="A130" t="s">
        <v>128</v>
      </c>
      <c r="C130">
        <v>2</v>
      </c>
      <c r="D130">
        <v>3</v>
      </c>
      <c r="E130" s="12">
        <f>+D130/C130</f>
        <v>1.5</v>
      </c>
      <c r="F130">
        <v>3</v>
      </c>
      <c r="G130">
        <v>0</v>
      </c>
      <c r="H130">
        <v>0</v>
      </c>
    </row>
    <row r="131" spans="1:5" ht="12.75">
      <c r="A131" t="s">
        <v>129</v>
      </c>
      <c r="E131" s="12" t="e">
        <f aca="true" t="shared" si="3" ref="E131:E138">+D131/C131</f>
        <v>#DIV/0!</v>
      </c>
    </row>
    <row r="132" spans="1:5" ht="12.75">
      <c r="A132" t="s">
        <v>130</v>
      </c>
      <c r="E132" s="12" t="e">
        <f t="shared" si="3"/>
        <v>#DIV/0!</v>
      </c>
    </row>
    <row r="133" spans="1:5" ht="12.75">
      <c r="A133" t="s">
        <v>124</v>
      </c>
      <c r="E133" s="12" t="e">
        <f t="shared" si="3"/>
        <v>#DIV/0!</v>
      </c>
    </row>
    <row r="134" spans="1:5" ht="12.75">
      <c r="A134" t="s">
        <v>131</v>
      </c>
      <c r="E134" s="12" t="e">
        <f t="shared" si="3"/>
        <v>#DIV/0!</v>
      </c>
    </row>
    <row r="135" spans="1:5" ht="12.75">
      <c r="A135" t="s">
        <v>132</v>
      </c>
      <c r="E135" s="12" t="e">
        <f t="shared" si="3"/>
        <v>#DIV/0!</v>
      </c>
    </row>
    <row r="136" spans="1:5" ht="12.75">
      <c r="A136" t="s">
        <v>133</v>
      </c>
      <c r="E136" s="12" t="e">
        <f t="shared" si="3"/>
        <v>#DIV/0!</v>
      </c>
    </row>
    <row r="137" spans="1:5" ht="12.75">
      <c r="A137" t="s">
        <v>134</v>
      </c>
      <c r="E137" s="12" t="e">
        <f t="shared" si="3"/>
        <v>#DIV/0!</v>
      </c>
    </row>
    <row r="138" spans="1:5" ht="12.75">
      <c r="A138" t="s">
        <v>135</v>
      </c>
      <c r="E138" s="12" t="e">
        <f t="shared" si="3"/>
        <v>#DIV/0!</v>
      </c>
    </row>
    <row r="139" ht="12.75">
      <c r="A139" t="s">
        <v>136</v>
      </c>
    </row>
    <row r="141" spans="1:4" ht="12.75">
      <c r="A141" s="2" t="s">
        <v>90</v>
      </c>
      <c r="C141" s="3" t="s">
        <v>68</v>
      </c>
      <c r="D141" s="3"/>
    </row>
    <row r="142" spans="1:3" ht="12.75">
      <c r="A142" t="s">
        <v>137</v>
      </c>
      <c r="C142">
        <v>1.5</v>
      </c>
    </row>
    <row r="143" ht="12.75">
      <c r="A143" t="s">
        <v>134</v>
      </c>
    </row>
    <row r="144" ht="12.75">
      <c r="A144" t="s">
        <v>138</v>
      </c>
    </row>
    <row r="145" ht="12.75">
      <c r="A145" t="s">
        <v>136</v>
      </c>
    </row>
    <row r="146" ht="12.75">
      <c r="A146" t="s">
        <v>139</v>
      </c>
    </row>
    <row r="147" ht="12.75">
      <c r="A147" t="s">
        <v>135</v>
      </c>
    </row>
    <row r="148" spans="1:3" ht="12.75">
      <c r="A148" t="s">
        <v>133</v>
      </c>
      <c r="C148">
        <v>0.5</v>
      </c>
    </row>
    <row r="149" spans="1:3" ht="12.75">
      <c r="A149" t="s">
        <v>140</v>
      </c>
      <c r="C149">
        <v>1</v>
      </c>
    </row>
    <row r="150" ht="12.75">
      <c r="A150" t="s">
        <v>141</v>
      </c>
    </row>
    <row r="151" ht="12.75">
      <c r="A151" t="s">
        <v>142</v>
      </c>
    </row>
    <row r="152" spans="1:3" ht="12.75">
      <c r="A152" t="s">
        <v>143</v>
      </c>
      <c r="C152">
        <v>1</v>
      </c>
    </row>
    <row r="153" ht="12.75">
      <c r="A153" t="s">
        <v>124</v>
      </c>
    </row>
    <row r="154" ht="12.75">
      <c r="A154" t="s">
        <v>129</v>
      </c>
    </row>
    <row r="155" ht="12.75">
      <c r="A155" t="s">
        <v>132</v>
      </c>
    </row>
    <row r="156" ht="12.75">
      <c r="A156" t="s">
        <v>144</v>
      </c>
    </row>
    <row r="158" spans="4:14" ht="12.75">
      <c r="D158" s="2" t="s">
        <v>84</v>
      </c>
      <c r="E158" s="2" t="s">
        <v>85</v>
      </c>
      <c r="M158" s="2" t="s">
        <v>84</v>
      </c>
      <c r="N158" s="2" t="s">
        <v>85</v>
      </c>
    </row>
    <row r="159" spans="1:13" ht="12.75">
      <c r="A159" t="s">
        <v>93</v>
      </c>
      <c r="D159">
        <v>11</v>
      </c>
      <c r="H159" t="s">
        <v>93</v>
      </c>
      <c r="M159">
        <v>12</v>
      </c>
    </row>
    <row r="160" spans="1:13" ht="12.75">
      <c r="A160" t="s">
        <v>94</v>
      </c>
      <c r="D160">
        <v>4</v>
      </c>
      <c r="H160" t="s">
        <v>94</v>
      </c>
      <c r="M160">
        <v>3</v>
      </c>
    </row>
    <row r="161" spans="1:13" ht="12.75">
      <c r="A161" t="s">
        <v>95</v>
      </c>
      <c r="D161">
        <f>D160/D159*100</f>
        <v>36.36363636363637</v>
      </c>
      <c r="H161" t="s">
        <v>95</v>
      </c>
      <c r="M161">
        <f>+M160/M159*100</f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</sheetPr>
  <dimension ref="A1:Y161"/>
  <sheetViews>
    <sheetView zoomScalePageLayoutView="0" workbookViewId="0" topLeftCell="A60">
      <selection activeCell="T64" sqref="T64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109</v>
      </c>
      <c r="E1" s="2" t="s">
        <v>96</v>
      </c>
      <c r="F1" s="2" t="s">
        <v>97</v>
      </c>
    </row>
    <row r="2" ht="12.75">
      <c r="F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13</v>
      </c>
      <c r="H6" s="1" t="s">
        <v>29</v>
      </c>
      <c r="M6" s="2">
        <f>M7+M8+M9</f>
        <v>22</v>
      </c>
    </row>
    <row r="7" spans="1:13" ht="12.75">
      <c r="A7" s="1" t="s">
        <v>103</v>
      </c>
      <c r="D7" s="2">
        <v>3</v>
      </c>
      <c r="H7" s="1" t="s">
        <v>103</v>
      </c>
      <c r="M7" s="2">
        <v>9</v>
      </c>
    </row>
    <row r="8" spans="1:13" ht="12.75">
      <c r="A8" s="1" t="s">
        <v>105</v>
      </c>
      <c r="D8" s="2">
        <v>8</v>
      </c>
      <c r="H8" s="1" t="s">
        <v>105</v>
      </c>
      <c r="M8" s="2">
        <v>12</v>
      </c>
    </row>
    <row r="9" spans="1:13" ht="12.75">
      <c r="A9" s="1" t="s">
        <v>104</v>
      </c>
      <c r="D9" s="2">
        <v>2</v>
      </c>
      <c r="H9" s="1" t="s">
        <v>104</v>
      </c>
      <c r="M9" s="2">
        <v>1</v>
      </c>
    </row>
    <row r="11" spans="1:13" ht="12.75">
      <c r="A11" t="s">
        <v>1</v>
      </c>
      <c r="D11" s="2">
        <v>25</v>
      </c>
      <c r="H11" t="s">
        <v>1</v>
      </c>
      <c r="M11" s="2">
        <v>40</v>
      </c>
    </row>
    <row r="12" spans="1:13" ht="12.75">
      <c r="A12" t="s">
        <v>2</v>
      </c>
      <c r="D12" s="2">
        <v>52</v>
      </c>
      <c r="H12" t="s">
        <v>2</v>
      </c>
      <c r="M12" s="2">
        <v>210</v>
      </c>
    </row>
    <row r="13" spans="1:13" ht="12.75">
      <c r="A13" s="1" t="s">
        <v>3</v>
      </c>
      <c r="D13" s="8">
        <f>+D12/D11</f>
        <v>2.08</v>
      </c>
      <c r="H13" s="1" t="s">
        <v>3</v>
      </c>
      <c r="M13" s="8">
        <f>+M12/M11</f>
        <v>5.25</v>
      </c>
    </row>
    <row r="15" spans="1:13" ht="12.75">
      <c r="A15" t="s">
        <v>4</v>
      </c>
      <c r="D15" s="2">
        <v>32</v>
      </c>
      <c r="H15" t="s">
        <v>4</v>
      </c>
      <c r="M15" s="2">
        <v>32</v>
      </c>
    </row>
    <row r="16" spans="1:13" ht="12.75">
      <c r="A16" t="s">
        <v>5</v>
      </c>
      <c r="D16" s="2">
        <v>13</v>
      </c>
      <c r="H16" t="s">
        <v>5</v>
      </c>
      <c r="M16" s="2">
        <v>18</v>
      </c>
    </row>
    <row r="17" spans="1:13" ht="12.75">
      <c r="A17" t="s">
        <v>6</v>
      </c>
      <c r="D17" s="8">
        <f>+D16/D15*100</f>
        <v>40.625</v>
      </c>
      <c r="H17" t="s">
        <v>6</v>
      </c>
      <c r="M17" s="8">
        <f>+M16/M15*100</f>
        <v>56.25</v>
      </c>
    </row>
    <row r="18" spans="1:13" ht="12.75">
      <c r="A18" t="s">
        <v>7</v>
      </c>
      <c r="D18" s="2">
        <v>150</v>
      </c>
      <c r="H18" t="s">
        <v>7</v>
      </c>
      <c r="M18" s="2">
        <v>263</v>
      </c>
    </row>
    <row r="19" spans="1:13" ht="12.75">
      <c r="A19" t="s">
        <v>8</v>
      </c>
      <c r="D19" s="2">
        <v>3</v>
      </c>
      <c r="H19" t="s">
        <v>8</v>
      </c>
      <c r="M19" s="2">
        <v>2</v>
      </c>
    </row>
    <row r="20" spans="1:13" ht="12.75">
      <c r="A20" t="s">
        <v>9</v>
      </c>
      <c r="D20" s="2">
        <v>23</v>
      </c>
      <c r="H20" t="s">
        <v>9</v>
      </c>
      <c r="M20" s="2">
        <v>14</v>
      </c>
    </row>
    <row r="21" spans="1:13" ht="12.75">
      <c r="A21" t="s">
        <v>10</v>
      </c>
      <c r="D21">
        <f>+D18-D20</f>
        <v>127</v>
      </c>
      <c r="H21" t="s">
        <v>10</v>
      </c>
      <c r="M21">
        <f>+M18-M20</f>
        <v>249</v>
      </c>
    </row>
    <row r="22" spans="1:13" ht="12.75">
      <c r="A22" t="s">
        <v>11</v>
      </c>
      <c r="D22" s="7">
        <f>+D21/(D15+D19)</f>
        <v>3.6285714285714286</v>
      </c>
      <c r="H22" t="s">
        <v>11</v>
      </c>
      <c r="M22" s="7">
        <f>+M21/(M15+M19)</f>
        <v>7.323529411764706</v>
      </c>
    </row>
    <row r="23" spans="1:13" ht="12.75">
      <c r="A23" t="s">
        <v>12</v>
      </c>
      <c r="D23" s="7">
        <f>+D18/D16</f>
        <v>11.538461538461538</v>
      </c>
      <c r="H23" t="s">
        <v>12</v>
      </c>
      <c r="M23" s="7">
        <f>+M18/M16</f>
        <v>14.61111111111111</v>
      </c>
    </row>
    <row r="25" spans="1:8" ht="12.75">
      <c r="A25" t="s">
        <v>13</v>
      </c>
      <c r="H25" t="s">
        <v>13</v>
      </c>
    </row>
    <row r="26" spans="1:13" ht="12.75">
      <c r="A26" t="s">
        <v>14</v>
      </c>
      <c r="D26">
        <f>+D21+D12</f>
        <v>179</v>
      </c>
      <c r="H26" t="s">
        <v>14</v>
      </c>
      <c r="M26">
        <f>+M21+M12</f>
        <v>459</v>
      </c>
    </row>
    <row r="27" spans="1:13" ht="12.75">
      <c r="A27" t="s">
        <v>15</v>
      </c>
      <c r="D27" s="7">
        <f>+D12/D26*100</f>
        <v>29.05027932960894</v>
      </c>
      <c r="H27" t="s">
        <v>15</v>
      </c>
      <c r="M27" s="7">
        <f>+M12/M26*100</f>
        <v>45.751633986928105</v>
      </c>
    </row>
    <row r="28" spans="1:13" ht="12.75">
      <c r="A28" s="1" t="s">
        <v>86</v>
      </c>
      <c r="D28" s="7">
        <f>+D21/D26*100</f>
        <v>70.94972067039106</v>
      </c>
      <c r="H28" s="1" t="s">
        <v>86</v>
      </c>
      <c r="M28" s="7">
        <f>+M21/M26*100</f>
        <v>54.248366013071895</v>
      </c>
    </row>
    <row r="30" spans="1:13" ht="12.75">
      <c r="A30" t="s">
        <v>16</v>
      </c>
      <c r="D30">
        <f>+D11+D15+D19</f>
        <v>60</v>
      </c>
      <c r="H30" t="s">
        <v>16</v>
      </c>
      <c r="M30">
        <f>+M11+M15+M19</f>
        <v>74</v>
      </c>
    </row>
    <row r="31" spans="1:13" ht="12.75">
      <c r="A31" t="s">
        <v>17</v>
      </c>
      <c r="D31" s="8">
        <f>+D26/D30</f>
        <v>2.9833333333333334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6.202702702702703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3</v>
      </c>
      <c r="H34" t="s">
        <v>19</v>
      </c>
      <c r="M34" s="2">
        <v>3</v>
      </c>
    </row>
    <row r="35" spans="1:13" ht="12.75">
      <c r="A35" t="s">
        <v>20</v>
      </c>
      <c r="D35" s="2">
        <v>0</v>
      </c>
      <c r="H35" t="s">
        <v>20</v>
      </c>
      <c r="M35" s="2">
        <v>5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9</v>
      </c>
      <c r="H38" t="s">
        <v>22</v>
      </c>
      <c r="M38" s="2">
        <v>5</v>
      </c>
    </row>
    <row r="39" spans="1:13" ht="12.75">
      <c r="A39" t="s">
        <v>23</v>
      </c>
      <c r="D39" s="2">
        <v>418</v>
      </c>
      <c r="H39" t="s">
        <v>23</v>
      </c>
      <c r="M39" s="2">
        <v>196</v>
      </c>
    </row>
    <row r="40" spans="1:13" ht="12.75">
      <c r="A40" t="s">
        <v>24</v>
      </c>
      <c r="D40" s="8">
        <f>+D39/D38</f>
        <v>46.44444444444444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39.2</v>
      </c>
    </row>
    <row r="42" spans="1:13" ht="12.75">
      <c r="A42" t="s">
        <v>25</v>
      </c>
      <c r="D42" s="2">
        <v>3</v>
      </c>
      <c r="H42" t="s">
        <v>25</v>
      </c>
      <c r="M42" s="2">
        <v>5</v>
      </c>
    </row>
    <row r="43" spans="1:13" ht="12.75">
      <c r="A43" t="s">
        <v>26</v>
      </c>
      <c r="D43" s="2">
        <v>7</v>
      </c>
      <c r="H43" t="s">
        <v>26</v>
      </c>
      <c r="M43" s="2">
        <v>14</v>
      </c>
    </row>
    <row r="44" spans="1:13" ht="12.75">
      <c r="A44" t="s">
        <v>27</v>
      </c>
      <c r="D44" s="8">
        <f>+D43/D42</f>
        <v>2.3333333333333335</v>
      </c>
      <c r="H44" t="s">
        <v>27</v>
      </c>
      <c r="M44" s="8">
        <v>0</v>
      </c>
    </row>
    <row r="45" spans="1:13" ht="12.75">
      <c r="A45" t="s">
        <v>106</v>
      </c>
      <c r="D45" s="2">
        <v>0</v>
      </c>
      <c r="H45" t="s">
        <v>106</v>
      </c>
      <c r="M45" s="2">
        <v>2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5</v>
      </c>
      <c r="H48" t="s">
        <v>30</v>
      </c>
      <c r="M48" s="2">
        <v>2</v>
      </c>
    </row>
    <row r="49" spans="1:13" ht="12.75">
      <c r="A49" t="s">
        <v>26</v>
      </c>
      <c r="D49" s="2">
        <v>134</v>
      </c>
      <c r="H49" t="s">
        <v>26</v>
      </c>
      <c r="M49" s="2">
        <v>34</v>
      </c>
    </row>
    <row r="50" spans="1:13" ht="12.75">
      <c r="A50" t="s">
        <v>27</v>
      </c>
      <c r="D50" s="8">
        <f>+D49/D48</f>
        <v>26.8</v>
      </c>
      <c r="H50" t="s">
        <v>27</v>
      </c>
      <c r="M50" s="8">
        <f>+M49/M48</f>
        <v>17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5</v>
      </c>
      <c r="H53" t="s">
        <v>31</v>
      </c>
      <c r="M53" s="2">
        <v>2</v>
      </c>
    </row>
    <row r="54" spans="1:13" ht="12.75">
      <c r="A54" t="s">
        <v>32</v>
      </c>
      <c r="D54" s="2">
        <v>38</v>
      </c>
      <c r="H54" t="s">
        <v>32</v>
      </c>
      <c r="M54" s="2">
        <v>14</v>
      </c>
    </row>
    <row r="56" spans="1:13" ht="12.75">
      <c r="A56" t="s">
        <v>33</v>
      </c>
      <c r="D56" s="2">
        <v>2</v>
      </c>
      <c r="H56" t="s">
        <v>33</v>
      </c>
      <c r="M56" s="2">
        <v>1</v>
      </c>
    </row>
    <row r="57" spans="1:13" ht="12.75">
      <c r="A57" t="s">
        <v>101</v>
      </c>
      <c r="D57" s="2">
        <v>0</v>
      </c>
      <c r="H57" t="s">
        <v>101</v>
      </c>
      <c r="M57" s="2">
        <v>1</v>
      </c>
    </row>
    <row r="59" spans="1:13" ht="12.75">
      <c r="A59" t="s">
        <v>34</v>
      </c>
      <c r="D59" s="2">
        <v>14</v>
      </c>
      <c r="H59" t="s">
        <v>34</v>
      </c>
      <c r="M59" s="2">
        <v>20</v>
      </c>
    </row>
    <row r="60" spans="1:13" ht="12.75">
      <c r="A60" t="s">
        <v>35</v>
      </c>
      <c r="D60" s="2">
        <v>2</v>
      </c>
      <c r="H60" t="s">
        <v>35</v>
      </c>
      <c r="M60" s="2">
        <v>2</v>
      </c>
    </row>
    <row r="61" spans="1:13" ht="12.75">
      <c r="A61" t="s">
        <v>36</v>
      </c>
      <c r="D61" s="2">
        <v>0</v>
      </c>
      <c r="H61" t="s">
        <v>36</v>
      </c>
      <c r="M61" s="2">
        <v>2</v>
      </c>
    </row>
    <row r="62" spans="1:13" ht="12.75">
      <c r="A62" t="s">
        <v>37</v>
      </c>
      <c r="D62" s="2">
        <v>2</v>
      </c>
      <c r="H62" t="s">
        <v>37</v>
      </c>
      <c r="M62" s="2">
        <v>0</v>
      </c>
    </row>
    <row r="63" spans="1:13" ht="12.75">
      <c r="A63" t="s">
        <v>38</v>
      </c>
      <c r="D63" s="2">
        <v>0</v>
      </c>
      <c r="H63" t="s">
        <v>38</v>
      </c>
      <c r="M63" s="2">
        <v>0</v>
      </c>
    </row>
    <row r="64" spans="1:13" ht="12.75">
      <c r="A64" t="s">
        <v>39</v>
      </c>
      <c r="D64" s="2">
        <v>2</v>
      </c>
      <c r="H64" t="s">
        <v>39</v>
      </c>
      <c r="M64" s="2">
        <v>2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0</v>
      </c>
      <c r="H66" t="s">
        <v>41</v>
      </c>
      <c r="M66" s="2">
        <v>2</v>
      </c>
    </row>
    <row r="67" spans="1:13" ht="12.75">
      <c r="A67" t="s">
        <v>42</v>
      </c>
      <c r="D67" s="2">
        <v>0</v>
      </c>
      <c r="H67" t="s">
        <v>42</v>
      </c>
      <c r="M67" s="2">
        <v>2</v>
      </c>
    </row>
    <row r="68" spans="1:13" ht="12.75">
      <c r="A68" t="s">
        <v>43</v>
      </c>
      <c r="D68" s="8" t="e">
        <f>+D66/D67*100</f>
        <v>#DIV/0!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100</v>
      </c>
    </row>
    <row r="69" spans="1:13" ht="12.75">
      <c r="A69" t="s">
        <v>92</v>
      </c>
      <c r="D69" s="10"/>
      <c r="E69" s="8"/>
      <c r="F69" s="8"/>
      <c r="H69" t="s">
        <v>91</v>
      </c>
      <c r="M69" s="10"/>
    </row>
    <row r="70" spans="1:13" ht="12.75">
      <c r="A70" t="s">
        <v>102</v>
      </c>
      <c r="D70" s="23">
        <f>D161</f>
        <v>26.666666666666668</v>
      </c>
      <c r="E70" s="8"/>
      <c r="F70" s="8"/>
      <c r="H70" t="s">
        <v>102</v>
      </c>
      <c r="M70" s="23">
        <f>M161</f>
        <v>25</v>
      </c>
    </row>
    <row r="71" spans="4:13" ht="12.75">
      <c r="D71" s="2"/>
      <c r="M71" s="2"/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110</v>
      </c>
      <c r="C74">
        <v>19</v>
      </c>
      <c r="D74">
        <v>42</v>
      </c>
      <c r="E74" s="12">
        <f aca="true" t="shared" si="0" ref="E74:E84">+D74/C74</f>
        <v>2.210526315789474</v>
      </c>
      <c r="F74">
        <v>11</v>
      </c>
      <c r="G74">
        <v>0</v>
      </c>
      <c r="H74">
        <v>1</v>
      </c>
    </row>
    <row r="75" spans="1:8" ht="12.75">
      <c r="A75" t="s">
        <v>111</v>
      </c>
      <c r="C75">
        <v>3</v>
      </c>
      <c r="D75">
        <v>6</v>
      </c>
      <c r="E75" s="12">
        <f t="shared" si="0"/>
        <v>2</v>
      </c>
      <c r="F75">
        <v>7</v>
      </c>
      <c r="G75">
        <v>0</v>
      </c>
      <c r="H75">
        <v>0</v>
      </c>
    </row>
    <row r="76" spans="1:5" ht="12.75">
      <c r="A76" t="s">
        <v>112</v>
      </c>
      <c r="E76" s="12" t="e">
        <f t="shared" si="0"/>
        <v>#DIV/0!</v>
      </c>
    </row>
    <row r="77" spans="1:8" ht="12.75">
      <c r="A77" t="s">
        <v>113</v>
      </c>
      <c r="C77">
        <v>2</v>
      </c>
      <c r="D77">
        <v>2</v>
      </c>
      <c r="E77" s="12">
        <f t="shared" si="0"/>
        <v>1</v>
      </c>
      <c r="F77">
        <v>2</v>
      </c>
      <c r="G77">
        <v>0</v>
      </c>
      <c r="H77">
        <v>0</v>
      </c>
    </row>
    <row r="78" spans="1:5" ht="12.75">
      <c r="A78" t="s">
        <v>108</v>
      </c>
      <c r="E78" s="12" t="e">
        <f t="shared" si="0"/>
        <v>#DIV/0!</v>
      </c>
    </row>
    <row r="79" spans="1:8" ht="12.75">
      <c r="A79" t="s">
        <v>114</v>
      </c>
      <c r="C79">
        <v>1</v>
      </c>
      <c r="D79">
        <v>2</v>
      </c>
      <c r="E79" s="12">
        <f t="shared" si="0"/>
        <v>2</v>
      </c>
      <c r="F79">
        <v>2</v>
      </c>
      <c r="G79">
        <v>0</v>
      </c>
      <c r="H79">
        <v>0</v>
      </c>
    </row>
    <row r="80" spans="1:5" ht="12.75">
      <c r="A80" t="s">
        <v>115</v>
      </c>
      <c r="E80" s="12" t="e">
        <f t="shared" si="0"/>
        <v>#DIV/0!</v>
      </c>
    </row>
    <row r="81" spans="1:5" ht="12.75">
      <c r="A81" t="s">
        <v>116</v>
      </c>
      <c r="E81" s="12" t="e">
        <f t="shared" si="0"/>
        <v>#DIV/0!</v>
      </c>
    </row>
    <row r="82" spans="1:5" ht="12.75">
      <c r="A82" t="s">
        <v>117</v>
      </c>
      <c r="E82" s="12" t="e">
        <f t="shared" si="0"/>
        <v>#DIV/0!</v>
      </c>
    </row>
    <row r="83" spans="1:5" ht="12.75">
      <c r="A83" t="s">
        <v>118</v>
      </c>
      <c r="E83" s="12" t="e">
        <f t="shared" si="0"/>
        <v>#DIV/0!</v>
      </c>
    </row>
    <row r="84" spans="1:5" ht="12.75">
      <c r="A84" t="s">
        <v>107</v>
      </c>
      <c r="E84" s="12" t="e">
        <f t="shared" si="0"/>
        <v>#DIV/0!</v>
      </c>
    </row>
    <row r="85" ht="12.75">
      <c r="E85" s="8"/>
    </row>
    <row r="86" spans="1:8" ht="12.75">
      <c r="A86" s="2" t="s">
        <v>52</v>
      </c>
      <c r="C86" s="3" t="s">
        <v>53</v>
      </c>
      <c r="D86" s="3" t="s">
        <v>48</v>
      </c>
      <c r="E86" s="15" t="s">
        <v>49</v>
      </c>
      <c r="F86" s="3" t="s">
        <v>50</v>
      </c>
      <c r="G86" s="3" t="s">
        <v>51</v>
      </c>
      <c r="H86" s="3" t="s">
        <v>80</v>
      </c>
    </row>
    <row r="87" spans="1:8" ht="12.75">
      <c r="A87" t="s">
        <v>107</v>
      </c>
      <c r="C87">
        <v>4</v>
      </c>
      <c r="D87">
        <v>32</v>
      </c>
      <c r="E87" s="12">
        <f aca="true" t="shared" si="1" ref="E87:E98">+D87/C87</f>
        <v>8</v>
      </c>
      <c r="F87">
        <v>13</v>
      </c>
      <c r="G87">
        <v>0</v>
      </c>
      <c r="H87">
        <v>0</v>
      </c>
    </row>
    <row r="88" spans="1:5" ht="12.75">
      <c r="A88" t="s">
        <v>119</v>
      </c>
      <c r="E88" s="12" t="e">
        <f t="shared" si="1"/>
        <v>#DIV/0!</v>
      </c>
    </row>
    <row r="89" spans="1:8" ht="12.75">
      <c r="A89" t="s">
        <v>120</v>
      </c>
      <c r="C89">
        <v>2</v>
      </c>
      <c r="D89">
        <v>17</v>
      </c>
      <c r="E89" s="12">
        <f t="shared" si="1"/>
        <v>8.5</v>
      </c>
      <c r="F89">
        <v>12</v>
      </c>
      <c r="G89">
        <v>1</v>
      </c>
      <c r="H89">
        <v>0</v>
      </c>
    </row>
    <row r="90" spans="1:8" ht="12.75">
      <c r="A90" t="s">
        <v>110</v>
      </c>
      <c r="C90">
        <v>3</v>
      </c>
      <c r="D90">
        <v>23</v>
      </c>
      <c r="E90" s="12">
        <f t="shared" si="1"/>
        <v>7.666666666666667</v>
      </c>
      <c r="F90">
        <v>16</v>
      </c>
      <c r="G90">
        <v>0</v>
      </c>
      <c r="H90">
        <v>0</v>
      </c>
    </row>
    <row r="91" spans="1:8" ht="12.75">
      <c r="A91" t="s">
        <v>111</v>
      </c>
      <c r="C91">
        <v>1</v>
      </c>
      <c r="D91">
        <v>12</v>
      </c>
      <c r="E91" s="12">
        <f t="shared" si="1"/>
        <v>12</v>
      </c>
      <c r="F91">
        <v>12</v>
      </c>
      <c r="G91">
        <v>0</v>
      </c>
      <c r="H91">
        <v>0</v>
      </c>
    </row>
    <row r="92" spans="1:8" ht="12.75">
      <c r="A92" t="s">
        <v>116</v>
      </c>
      <c r="C92">
        <v>1</v>
      </c>
      <c r="D92">
        <v>11</v>
      </c>
      <c r="E92" s="12">
        <f t="shared" si="1"/>
        <v>11</v>
      </c>
      <c r="F92">
        <v>11</v>
      </c>
      <c r="G92">
        <v>0</v>
      </c>
      <c r="H92">
        <v>0</v>
      </c>
    </row>
    <row r="93" spans="1:8" ht="12.75">
      <c r="A93" t="s">
        <v>121</v>
      </c>
      <c r="C93">
        <v>2</v>
      </c>
      <c r="D93">
        <v>55</v>
      </c>
      <c r="E93" s="12">
        <f t="shared" si="1"/>
        <v>27.5</v>
      </c>
      <c r="F93">
        <v>34</v>
      </c>
      <c r="G93">
        <v>0</v>
      </c>
      <c r="H93">
        <v>0</v>
      </c>
    </row>
    <row r="94" spans="1:5" ht="12.75">
      <c r="A94" t="s">
        <v>122</v>
      </c>
      <c r="E94" s="12" t="e">
        <f t="shared" si="1"/>
        <v>#DIV/0!</v>
      </c>
    </row>
    <row r="95" spans="1:5" ht="12.75">
      <c r="A95" t="s">
        <v>115</v>
      </c>
      <c r="E95" s="12" t="e">
        <f t="shared" si="1"/>
        <v>#DIV/0!</v>
      </c>
    </row>
    <row r="96" spans="1:5" ht="12.75">
      <c r="A96" t="s">
        <v>123</v>
      </c>
      <c r="E96" s="12" t="e">
        <f t="shared" si="1"/>
        <v>#DIV/0!</v>
      </c>
    </row>
    <row r="97" spans="1:5" ht="12.75">
      <c r="A97" t="s">
        <v>113</v>
      </c>
      <c r="E97" s="12" t="e">
        <f t="shared" si="1"/>
        <v>#DIV/0!</v>
      </c>
    </row>
    <row r="98" spans="1:5" ht="12.75">
      <c r="A98" t="s">
        <v>114</v>
      </c>
      <c r="E98" s="12" t="e">
        <f t="shared" si="1"/>
        <v>#DIV/0!</v>
      </c>
    </row>
    <row r="99" ht="12.75">
      <c r="E99" s="8"/>
    </row>
    <row r="100" spans="1:13" ht="12.75">
      <c r="A100" s="2"/>
      <c r="B100" s="2"/>
      <c r="C100" s="3"/>
      <c r="D100" s="3"/>
      <c r="E100" s="15" t="s">
        <v>57</v>
      </c>
      <c r="F100" s="3" t="s">
        <v>58</v>
      </c>
      <c r="G100" s="3"/>
      <c r="H100" s="3"/>
      <c r="I100" s="3" t="s">
        <v>61</v>
      </c>
      <c r="J100" s="3" t="s">
        <v>63</v>
      </c>
      <c r="K100" s="3" t="s">
        <v>57</v>
      </c>
      <c r="L100" s="3" t="s">
        <v>49</v>
      </c>
      <c r="M100" s="3"/>
    </row>
    <row r="101" spans="1:14" ht="12.75">
      <c r="A101" s="2" t="s">
        <v>54</v>
      </c>
      <c r="B101" s="2"/>
      <c r="C101" s="3" t="s">
        <v>55</v>
      </c>
      <c r="D101" s="3" t="s">
        <v>56</v>
      </c>
      <c r="E101" s="15" t="s">
        <v>56</v>
      </c>
      <c r="F101" s="3" t="s">
        <v>59</v>
      </c>
      <c r="G101" s="3" t="s">
        <v>51</v>
      </c>
      <c r="H101" s="3" t="s">
        <v>60</v>
      </c>
      <c r="I101" s="5" t="s">
        <v>62</v>
      </c>
      <c r="J101" s="3" t="s">
        <v>51</v>
      </c>
      <c r="K101" s="3" t="s">
        <v>64</v>
      </c>
      <c r="L101" s="3" t="s">
        <v>65</v>
      </c>
      <c r="M101" s="3" t="s">
        <v>66</v>
      </c>
      <c r="N101" s="3" t="s">
        <v>80</v>
      </c>
    </row>
    <row r="102" spans="1:25" ht="12.75">
      <c r="A102" t="s">
        <v>113</v>
      </c>
      <c r="C102">
        <v>32</v>
      </c>
      <c r="D102">
        <v>13</v>
      </c>
      <c r="E102" s="12">
        <f>+D102/C102*100</f>
        <v>40.625</v>
      </c>
      <c r="F102">
        <v>150</v>
      </c>
      <c r="G102">
        <v>2</v>
      </c>
      <c r="H102">
        <v>34</v>
      </c>
      <c r="I102">
        <v>3</v>
      </c>
      <c r="J102" s="8">
        <f>+G102/C102*100</f>
        <v>6.25</v>
      </c>
      <c r="K102" s="12">
        <f>+I102/C102*100</f>
        <v>9.375</v>
      </c>
      <c r="L102" s="12">
        <f>+F102/C102</f>
        <v>4.6875</v>
      </c>
      <c r="M102" s="12">
        <f>100*(S102+U102+W102+Y102)/6</f>
        <v>37.239583333333336</v>
      </c>
      <c r="R102">
        <f>+(E102-30)/20</f>
        <v>0.53125</v>
      </c>
      <c r="S102" s="2">
        <f>IF(R102&lt;0,0,IF(R102&gt;2.375,2.375,R102))</f>
        <v>0.53125</v>
      </c>
      <c r="T102" s="6">
        <f>+(L102-3)/4</f>
        <v>0.421875</v>
      </c>
      <c r="U102" s="2">
        <f>IF(T102&lt;0,0,IF(T102&gt;2.375,2.375,T102))</f>
        <v>0.421875</v>
      </c>
      <c r="V102">
        <f>+J102/5</f>
        <v>1.25</v>
      </c>
      <c r="W102" s="2">
        <f>IF(V102&lt;0,0,IF(V102&gt;2.375,2.375,V102))</f>
        <v>1.25</v>
      </c>
      <c r="X102">
        <f>(9.5-K102)/4</f>
        <v>0.03125</v>
      </c>
      <c r="Y102" s="2">
        <f>IF(X102&lt;0,0,X102)</f>
        <v>0.03125</v>
      </c>
    </row>
    <row r="103" spans="1:25" ht="12.75">
      <c r="A103" t="s">
        <v>112</v>
      </c>
      <c r="E103" s="12" t="e">
        <f>+D103/C103*100</f>
        <v>#DIV/0!</v>
      </c>
      <c r="J103" s="8" t="e">
        <f>+G103/C103*100</f>
        <v>#DIV/0!</v>
      </c>
      <c r="K103" s="12" t="e">
        <f>+I103/C103*100</f>
        <v>#DIV/0!</v>
      </c>
      <c r="L103" s="12" t="e">
        <f>+F103/C103</f>
        <v>#DIV/0!</v>
      </c>
      <c r="M103" s="12" t="e">
        <f>100*(S103+U103+W103+Y103)/6</f>
        <v>#DIV/0!</v>
      </c>
      <c r="R103" t="e">
        <f>+(E103-30)/20</f>
        <v>#DIV/0!</v>
      </c>
      <c r="S103" s="2" t="e">
        <f>IF(R103&lt;0,0,IF(R103&gt;2.375,2.375,R103))</f>
        <v>#DIV/0!</v>
      </c>
      <c r="T103" s="6" t="e">
        <f>+(L103-3)/4</f>
        <v>#DIV/0!</v>
      </c>
      <c r="U103" s="2" t="e">
        <f>IF(T103&lt;0,0,IF(T103&gt;2.375,2.375,T103))</f>
        <v>#DIV/0!</v>
      </c>
      <c r="V103" t="e">
        <f>+J103/5</f>
        <v>#DIV/0!</v>
      </c>
      <c r="W103" s="2" t="e">
        <f>IF(V103&lt;0,0,IF(V103&gt;2.375,2.375,V103))</f>
        <v>#DIV/0!</v>
      </c>
      <c r="X103" t="e">
        <f>(9.5-K103)/4</f>
        <v>#DIV/0!</v>
      </c>
      <c r="Y103" s="2" t="e">
        <f>IF(X103&lt;0,0,X103)</f>
        <v>#DIV/0!</v>
      </c>
    </row>
    <row r="104" spans="1:25" ht="12.75">
      <c r="A104" t="s">
        <v>118</v>
      </c>
      <c r="E104" s="12" t="e">
        <f>+D104/C104*100</f>
        <v>#DIV/0!</v>
      </c>
      <c r="J104" s="8" t="e">
        <f>+G104/C104*100</f>
        <v>#DIV/0!</v>
      </c>
      <c r="K104" s="12" t="e">
        <f>+I104/C104*100</f>
        <v>#DIV/0!</v>
      </c>
      <c r="L104" s="12" t="e">
        <f>+F104/C104</f>
        <v>#DIV/0!</v>
      </c>
      <c r="M104" s="12" t="e">
        <f>100*(S104+U104+W104+Y104)/6</f>
        <v>#DIV/0!</v>
      </c>
      <c r="R104" t="e">
        <f>+(E104-30)/20</f>
        <v>#DIV/0!</v>
      </c>
      <c r="S104" s="2" t="e">
        <f>IF(R104&lt;0,0,IF(R104&gt;2.375,2.375,R104))</f>
        <v>#DIV/0!</v>
      </c>
      <c r="T104" s="6" t="e">
        <f>+(L104-3)/4</f>
        <v>#DIV/0!</v>
      </c>
      <c r="U104" s="2" t="e">
        <f>IF(T104&lt;0,0,IF(T104&gt;2.375,2.375,T104))</f>
        <v>#DIV/0!</v>
      </c>
      <c r="V104" t="e">
        <f>+J104/5</f>
        <v>#DIV/0!</v>
      </c>
      <c r="W104" s="2" t="e">
        <f>IF(V104&lt;0,0,IF(V104&gt;2.375,2.375,V104))</f>
        <v>#DIV/0!</v>
      </c>
      <c r="X104" t="e">
        <f>(9.5-K104)/4</f>
        <v>#DIV/0!</v>
      </c>
      <c r="Y104" s="2" t="e">
        <f>IF(X104&lt;0,0,X104)</f>
        <v>#DIV/0!</v>
      </c>
    </row>
    <row r="105" spans="1:25" ht="12.75">
      <c r="A105" t="s">
        <v>116</v>
      </c>
      <c r="E105" s="12" t="e">
        <f>+D105/C105*100</f>
        <v>#DIV/0!</v>
      </c>
      <c r="J105" s="8" t="e">
        <f>+G105/C105*100</f>
        <v>#DIV/0!</v>
      </c>
      <c r="K105" s="12" t="e">
        <f>+I105/C105*100</f>
        <v>#DIV/0!</v>
      </c>
      <c r="L105" s="12" t="e">
        <f>+F105/C105</f>
        <v>#DIV/0!</v>
      </c>
      <c r="M105" s="12" t="e">
        <f>100*(S105+U105+W105+Y105)/6</f>
        <v>#DIV/0!</v>
      </c>
      <c r="R105" t="e">
        <f>+(E105-30)/20</f>
        <v>#DIV/0!</v>
      </c>
      <c r="S105" s="2" t="e">
        <f>IF(R105&lt;0,0,IF(R105&gt;2.375,2.375,R105))</f>
        <v>#DIV/0!</v>
      </c>
      <c r="T105" s="6" t="e">
        <f>+(L105-3)/4</f>
        <v>#DIV/0!</v>
      </c>
      <c r="U105" s="2" t="e">
        <f>IF(T105&lt;0,0,IF(T105&gt;2.375,2.375,T105))</f>
        <v>#DIV/0!</v>
      </c>
      <c r="V105" t="e">
        <f>+J105/5</f>
        <v>#DIV/0!</v>
      </c>
      <c r="W105" s="2" t="e">
        <f>IF(V105&lt;0,0,IF(V105&gt;2.375,2.375,V105))</f>
        <v>#DIV/0!</v>
      </c>
      <c r="X105" t="e">
        <f>(9.5-K105)/4</f>
        <v>#DIV/0!</v>
      </c>
      <c r="Y105" s="2" t="e">
        <f>IF(X105&lt;0,0,X105)</f>
        <v>#DIV/0!</v>
      </c>
    </row>
    <row r="106" spans="1:25" ht="12.75">
      <c r="A106" t="s">
        <v>107</v>
      </c>
      <c r="E106" s="12" t="e">
        <f>+D106/C106*100</f>
        <v>#DIV/0!</v>
      </c>
      <c r="J106" s="8" t="e">
        <f>+G106/C106*100</f>
        <v>#DIV/0!</v>
      </c>
      <c r="K106" s="12" t="e">
        <f>+I106/C106*100</f>
        <v>#DIV/0!</v>
      </c>
      <c r="L106" s="12" t="e">
        <f>+F106/C106</f>
        <v>#DIV/0!</v>
      </c>
      <c r="M106" s="12" t="e">
        <f>100*(S106+U106+W106+Y106)/6</f>
        <v>#DIV/0!</v>
      </c>
      <c r="R106" t="e">
        <f>+(E106-30)/20</f>
        <v>#DIV/0!</v>
      </c>
      <c r="S106" s="2" t="e">
        <f>IF(R106&lt;0,0,IF(R106&gt;2.375,2.375,R106))</f>
        <v>#DIV/0!</v>
      </c>
      <c r="T106" s="6" t="e">
        <f>+(L106-3)/4</f>
        <v>#DIV/0!</v>
      </c>
      <c r="U106" s="2" t="e">
        <f>IF(T106&lt;0,0,IF(T106&gt;2.375,2.375,T106))</f>
        <v>#DIV/0!</v>
      </c>
      <c r="V106" t="e">
        <f>+J106/5</f>
        <v>#DIV/0!</v>
      </c>
      <c r="W106" s="2" t="e">
        <f>IF(V106&lt;0,0,IF(V106&gt;2.375,2.375,V106))</f>
        <v>#DIV/0!</v>
      </c>
      <c r="X106" t="e">
        <f>(9.5-K106)/4</f>
        <v>#DIV/0!</v>
      </c>
      <c r="Y106" s="2" t="e">
        <f>IF(X106&lt;0,0,X106)</f>
        <v>#DIV/0!</v>
      </c>
    </row>
    <row r="109" spans="1:9" ht="12.75">
      <c r="A109" s="2" t="s">
        <v>67</v>
      </c>
      <c r="C109" s="3" t="s">
        <v>68</v>
      </c>
      <c r="D109" s="3" t="s">
        <v>69</v>
      </c>
      <c r="E109" s="3" t="s">
        <v>70</v>
      </c>
      <c r="F109" s="3" t="s">
        <v>49</v>
      </c>
      <c r="G109" s="3" t="s">
        <v>60</v>
      </c>
      <c r="H109" s="3" t="s">
        <v>51</v>
      </c>
      <c r="I109" s="3" t="s">
        <v>80</v>
      </c>
    </row>
    <row r="110" spans="1:9" ht="12.75">
      <c r="A110" t="s">
        <v>124</v>
      </c>
      <c r="C110">
        <v>3</v>
      </c>
      <c r="D110">
        <v>0</v>
      </c>
      <c r="E110">
        <v>7</v>
      </c>
      <c r="F110" s="12">
        <v>0</v>
      </c>
      <c r="G110">
        <v>5</v>
      </c>
      <c r="H110">
        <v>0</v>
      </c>
      <c r="I110">
        <v>0</v>
      </c>
    </row>
    <row r="111" spans="1:6" ht="12.75">
      <c r="A111" t="s">
        <v>123</v>
      </c>
      <c r="F111" s="12" t="e">
        <f>+E111/C111</f>
        <v>#DIV/0!</v>
      </c>
    </row>
    <row r="112" spans="1:6" ht="12.75">
      <c r="A112" t="s">
        <v>117</v>
      </c>
      <c r="F112" s="12" t="e">
        <f>+E112/C112</f>
        <v>#DIV/0!</v>
      </c>
    </row>
    <row r="114" spans="1:8" ht="12.75">
      <c r="A114" s="2" t="s">
        <v>30</v>
      </c>
      <c r="C114" s="3" t="s">
        <v>68</v>
      </c>
      <c r="D114" s="3" t="s">
        <v>70</v>
      </c>
      <c r="E114" s="3" t="s">
        <v>49</v>
      </c>
      <c r="F114" s="3" t="s">
        <v>60</v>
      </c>
      <c r="G114" s="3" t="s">
        <v>51</v>
      </c>
      <c r="H114" s="3" t="s">
        <v>80</v>
      </c>
    </row>
    <row r="115" spans="1:8" ht="12.75">
      <c r="A115" t="s">
        <v>114</v>
      </c>
      <c r="C115">
        <v>3</v>
      </c>
      <c r="D115">
        <v>104</v>
      </c>
      <c r="E115" s="12">
        <f aca="true" t="shared" si="2" ref="E115:E120">+D115/C115</f>
        <v>34.666666666666664</v>
      </c>
      <c r="F115">
        <v>68</v>
      </c>
      <c r="G115">
        <v>0</v>
      </c>
      <c r="H115">
        <v>1</v>
      </c>
    </row>
    <row r="116" spans="1:5" ht="12.75">
      <c r="A116" t="s">
        <v>125</v>
      </c>
      <c r="E116" s="12" t="e">
        <f t="shared" si="2"/>
        <v>#DIV/0!</v>
      </c>
    </row>
    <row r="117" spans="1:8" ht="12.75">
      <c r="A117" t="s">
        <v>116</v>
      </c>
      <c r="C117">
        <v>1</v>
      </c>
      <c r="D117">
        <v>13</v>
      </c>
      <c r="E117" s="12">
        <f t="shared" si="2"/>
        <v>13</v>
      </c>
      <c r="F117">
        <v>13</v>
      </c>
      <c r="G117">
        <v>0</v>
      </c>
      <c r="H117">
        <v>0</v>
      </c>
    </row>
    <row r="118" spans="1:8" ht="12.75">
      <c r="A118" t="s">
        <v>108</v>
      </c>
      <c r="C118">
        <v>1</v>
      </c>
      <c r="D118">
        <v>17</v>
      </c>
      <c r="E118" s="12">
        <f t="shared" si="2"/>
        <v>17</v>
      </c>
      <c r="F118">
        <v>17</v>
      </c>
      <c r="G118">
        <v>0</v>
      </c>
      <c r="H118">
        <v>0</v>
      </c>
    </row>
    <row r="119" spans="1:5" ht="12.75">
      <c r="A119" t="s">
        <v>115</v>
      </c>
      <c r="E119" s="12" t="e">
        <f t="shared" si="2"/>
        <v>#DIV/0!</v>
      </c>
    </row>
    <row r="120" spans="1:5" ht="12.75">
      <c r="A120" t="s">
        <v>121</v>
      </c>
      <c r="E120" s="12" t="e">
        <f t="shared" si="2"/>
        <v>#DIV/0!</v>
      </c>
    </row>
    <row r="122" spans="1:8" ht="12.75">
      <c r="A122" s="2" t="s">
        <v>71</v>
      </c>
      <c r="C122" s="3" t="s">
        <v>68</v>
      </c>
      <c r="D122" s="3" t="s">
        <v>70</v>
      </c>
      <c r="E122" s="3" t="s">
        <v>49</v>
      </c>
      <c r="F122" s="3" t="s">
        <v>60</v>
      </c>
      <c r="G122" s="3" t="s">
        <v>72</v>
      </c>
      <c r="H122" s="3" t="s">
        <v>80</v>
      </c>
    </row>
    <row r="123" spans="1:8" ht="12.75">
      <c r="A123" t="s">
        <v>126</v>
      </c>
      <c r="C123">
        <v>9</v>
      </c>
      <c r="D123">
        <v>418</v>
      </c>
      <c r="E123" s="12">
        <f>+D123/C123</f>
        <v>46.44444444444444</v>
      </c>
      <c r="F123">
        <v>64</v>
      </c>
      <c r="G123">
        <v>0</v>
      </c>
      <c r="H123">
        <v>0</v>
      </c>
    </row>
    <row r="124" spans="1:5" ht="12.75">
      <c r="A124" t="s">
        <v>113</v>
      </c>
      <c r="E124" s="12" t="e">
        <f>+D124/C124</f>
        <v>#DIV/0!</v>
      </c>
    </row>
    <row r="125" ht="12.75">
      <c r="I125" s="5" t="s">
        <v>63</v>
      </c>
    </row>
    <row r="126" spans="1:10" ht="12.75">
      <c r="A126" s="4" t="s">
        <v>79</v>
      </c>
      <c r="C126" s="3" t="s">
        <v>73</v>
      </c>
      <c r="D126" s="3" t="s">
        <v>74</v>
      </c>
      <c r="E126" s="3" t="s">
        <v>75</v>
      </c>
      <c r="F126" s="3" t="s">
        <v>76</v>
      </c>
      <c r="G126" s="3" t="s">
        <v>77</v>
      </c>
      <c r="H126" s="3" t="s">
        <v>78</v>
      </c>
      <c r="I126" s="3" t="s">
        <v>82</v>
      </c>
      <c r="J126" s="3" t="s">
        <v>60</v>
      </c>
    </row>
    <row r="127" spans="1:10" ht="12.75">
      <c r="A127" t="s">
        <v>127</v>
      </c>
      <c r="C127">
        <v>2</v>
      </c>
      <c r="D127">
        <v>0</v>
      </c>
      <c r="E127">
        <v>2</v>
      </c>
      <c r="F127">
        <v>2</v>
      </c>
      <c r="G127">
        <v>0</v>
      </c>
      <c r="H127">
        <v>0</v>
      </c>
      <c r="I127" s="12">
        <v>0</v>
      </c>
      <c r="J127">
        <v>0</v>
      </c>
    </row>
    <row r="129" spans="1:8" ht="12.75">
      <c r="A129" s="2" t="s">
        <v>81</v>
      </c>
      <c r="C129" s="3" t="s">
        <v>68</v>
      </c>
      <c r="D129" s="3" t="s">
        <v>70</v>
      </c>
      <c r="E129" s="3" t="s">
        <v>49</v>
      </c>
      <c r="F129" s="3" t="s">
        <v>60</v>
      </c>
      <c r="G129" s="3" t="s">
        <v>51</v>
      </c>
      <c r="H129" s="3" t="s">
        <v>80</v>
      </c>
    </row>
    <row r="130" spans="1:8" ht="12.75">
      <c r="A130" t="s">
        <v>128</v>
      </c>
      <c r="C130">
        <v>1</v>
      </c>
      <c r="D130">
        <v>0</v>
      </c>
      <c r="E130" s="12">
        <f aca="true" t="shared" si="3" ref="E130:E138">+D130/C130</f>
        <v>0</v>
      </c>
      <c r="F130">
        <v>0</v>
      </c>
      <c r="G130">
        <v>0</v>
      </c>
      <c r="H130">
        <v>0</v>
      </c>
    </row>
    <row r="131" spans="1:8" ht="12.75">
      <c r="A131" t="s">
        <v>129</v>
      </c>
      <c r="C131">
        <v>1</v>
      </c>
      <c r="D131">
        <v>0</v>
      </c>
      <c r="E131" s="12">
        <f t="shared" si="3"/>
        <v>0</v>
      </c>
      <c r="F131">
        <v>0</v>
      </c>
      <c r="G131">
        <v>0</v>
      </c>
      <c r="H131">
        <v>0</v>
      </c>
    </row>
    <row r="132" spans="1:5" ht="12.75">
      <c r="A132" t="s">
        <v>130</v>
      </c>
      <c r="E132" s="12" t="e">
        <f t="shared" si="3"/>
        <v>#DIV/0!</v>
      </c>
    </row>
    <row r="133" spans="1:5" ht="12.75">
      <c r="A133" t="s">
        <v>124</v>
      </c>
      <c r="E133" s="12" t="e">
        <f t="shared" si="3"/>
        <v>#DIV/0!</v>
      </c>
    </row>
    <row r="134" spans="1:8" ht="12.75">
      <c r="A134" t="s">
        <v>131</v>
      </c>
      <c r="C134">
        <v>1</v>
      </c>
      <c r="D134">
        <v>15</v>
      </c>
      <c r="E134" s="12">
        <f t="shared" si="3"/>
        <v>15</v>
      </c>
      <c r="F134">
        <v>15</v>
      </c>
      <c r="G134">
        <v>0</v>
      </c>
      <c r="H134">
        <v>0</v>
      </c>
    </row>
    <row r="135" spans="1:5" ht="12.75">
      <c r="A135" t="s">
        <v>132</v>
      </c>
      <c r="E135" s="12" t="e">
        <f t="shared" si="3"/>
        <v>#DIV/0!</v>
      </c>
    </row>
    <row r="136" spans="1:5" ht="12.75">
      <c r="A136" t="s">
        <v>133</v>
      </c>
      <c r="E136" s="12" t="e">
        <f t="shared" si="3"/>
        <v>#DIV/0!</v>
      </c>
    </row>
    <row r="137" spans="1:5" ht="12.75">
      <c r="A137" t="s">
        <v>134</v>
      </c>
      <c r="E137" s="12" t="e">
        <f t="shared" si="3"/>
        <v>#DIV/0!</v>
      </c>
    </row>
    <row r="138" spans="1:5" ht="12.75">
      <c r="A138" t="s">
        <v>135</v>
      </c>
      <c r="E138" s="12" t="e">
        <f t="shared" si="3"/>
        <v>#DIV/0!</v>
      </c>
    </row>
    <row r="139" ht="12.75">
      <c r="A139" t="s">
        <v>136</v>
      </c>
    </row>
    <row r="141" spans="1:4" ht="12.75">
      <c r="A141" s="2" t="s">
        <v>90</v>
      </c>
      <c r="C141" s="3" t="s">
        <v>68</v>
      </c>
      <c r="D141" s="3"/>
    </row>
    <row r="142" ht="12.75">
      <c r="A142" t="s">
        <v>137</v>
      </c>
    </row>
    <row r="143" ht="12.75">
      <c r="A143" t="s">
        <v>134</v>
      </c>
    </row>
    <row r="144" ht="12.75">
      <c r="A144" t="s">
        <v>138</v>
      </c>
    </row>
    <row r="145" ht="12.75">
      <c r="A145" t="s">
        <v>136</v>
      </c>
    </row>
    <row r="146" ht="12.75">
      <c r="A146" t="s">
        <v>139</v>
      </c>
    </row>
    <row r="147" ht="12.75">
      <c r="A147" t="s">
        <v>135</v>
      </c>
    </row>
    <row r="148" ht="12.75">
      <c r="A148" t="s">
        <v>133</v>
      </c>
    </row>
    <row r="149" ht="12.75">
      <c r="A149" t="s">
        <v>140</v>
      </c>
    </row>
    <row r="150" spans="1:3" ht="12.75">
      <c r="A150" t="s">
        <v>141</v>
      </c>
      <c r="C150">
        <v>1</v>
      </c>
    </row>
    <row r="151" spans="1:3" ht="12.75">
      <c r="A151" t="s">
        <v>142</v>
      </c>
      <c r="C151">
        <v>1</v>
      </c>
    </row>
    <row r="152" ht="12.75">
      <c r="A152" t="s">
        <v>143</v>
      </c>
    </row>
    <row r="153" ht="12.75">
      <c r="A153" t="s">
        <v>124</v>
      </c>
    </row>
    <row r="154" ht="12.75">
      <c r="A154" t="s">
        <v>129</v>
      </c>
    </row>
    <row r="155" ht="12.75">
      <c r="A155" t="s">
        <v>132</v>
      </c>
    </row>
    <row r="156" ht="12.75">
      <c r="A156" t="s">
        <v>144</v>
      </c>
    </row>
    <row r="158" spans="4:14" ht="12.75">
      <c r="D158" s="2" t="s">
        <v>84</v>
      </c>
      <c r="E158" s="2" t="s">
        <v>85</v>
      </c>
      <c r="M158" s="2" t="s">
        <v>84</v>
      </c>
      <c r="N158" s="2" t="s">
        <v>85</v>
      </c>
    </row>
    <row r="159" spans="1:13" ht="12.75">
      <c r="A159" t="s">
        <v>93</v>
      </c>
      <c r="D159">
        <v>15</v>
      </c>
      <c r="H159" t="s">
        <v>93</v>
      </c>
      <c r="M159">
        <v>12</v>
      </c>
    </row>
    <row r="160" spans="1:13" ht="12.75">
      <c r="A160" t="s">
        <v>94</v>
      </c>
      <c r="D160">
        <v>4</v>
      </c>
      <c r="H160" t="s">
        <v>94</v>
      </c>
      <c r="M160">
        <v>3</v>
      </c>
    </row>
    <row r="161" spans="1:13" ht="12.75">
      <c r="A161" t="s">
        <v>95</v>
      </c>
      <c r="D161" s="8">
        <f>D160/D159*100</f>
        <v>26.666666666666668</v>
      </c>
      <c r="H161" t="s">
        <v>95</v>
      </c>
      <c r="M161">
        <f>+M160/M159*100</f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</sheetPr>
  <dimension ref="A1:Y161"/>
  <sheetViews>
    <sheetView zoomScalePageLayoutView="0" workbookViewId="0" topLeftCell="A60">
      <selection activeCell="A73" sqref="A73:M147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109</v>
      </c>
      <c r="E1" s="2" t="s">
        <v>96</v>
      </c>
      <c r="F1" s="2" t="s">
        <v>97</v>
      </c>
    </row>
    <row r="2" ht="12.75">
      <c r="E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20</v>
      </c>
      <c r="H6" s="1" t="s">
        <v>29</v>
      </c>
      <c r="M6" s="2">
        <f>M7+M8+M9</f>
        <v>23</v>
      </c>
    </row>
    <row r="7" spans="1:13" ht="12.75">
      <c r="A7" s="1" t="s">
        <v>103</v>
      </c>
      <c r="D7" s="2">
        <v>5</v>
      </c>
      <c r="H7" s="1" t="s">
        <v>103</v>
      </c>
      <c r="M7" s="2">
        <v>7</v>
      </c>
    </row>
    <row r="8" spans="1:13" ht="12.75">
      <c r="A8" s="1" t="s">
        <v>105</v>
      </c>
      <c r="D8" s="2">
        <v>15</v>
      </c>
      <c r="H8" s="1" t="s">
        <v>105</v>
      </c>
      <c r="M8" s="2">
        <v>15</v>
      </c>
    </row>
    <row r="9" spans="1:13" ht="12.75">
      <c r="A9" s="1" t="s">
        <v>104</v>
      </c>
      <c r="D9" s="2">
        <v>0</v>
      </c>
      <c r="H9" s="1" t="s">
        <v>104</v>
      </c>
      <c r="M9" s="2">
        <v>1</v>
      </c>
    </row>
    <row r="11" spans="1:13" ht="12.75">
      <c r="A11" t="s">
        <v>1</v>
      </c>
      <c r="D11" s="2">
        <v>31</v>
      </c>
      <c r="H11" t="s">
        <v>1</v>
      </c>
      <c r="M11" s="2">
        <v>26</v>
      </c>
    </row>
    <row r="12" spans="1:13" ht="12.75">
      <c r="A12" t="s">
        <v>2</v>
      </c>
      <c r="D12" s="2">
        <v>124</v>
      </c>
      <c r="H12" t="s">
        <v>2</v>
      </c>
      <c r="M12" s="2">
        <v>110</v>
      </c>
    </row>
    <row r="13" spans="1:13" ht="12.75">
      <c r="A13" s="1" t="s">
        <v>3</v>
      </c>
      <c r="D13" s="8">
        <f>+D12/D11</f>
        <v>4</v>
      </c>
      <c r="H13" s="1" t="s">
        <v>3</v>
      </c>
      <c r="M13" s="8">
        <f>+M12/M11</f>
        <v>4.230769230769231</v>
      </c>
    </row>
    <row r="15" spans="1:13" ht="12.75">
      <c r="A15" t="s">
        <v>4</v>
      </c>
      <c r="D15" s="2">
        <v>32</v>
      </c>
      <c r="H15" t="s">
        <v>4</v>
      </c>
      <c r="M15" s="2">
        <v>40</v>
      </c>
    </row>
    <row r="16" spans="1:13" ht="12.75">
      <c r="A16" t="s">
        <v>5</v>
      </c>
      <c r="D16" s="2">
        <v>18</v>
      </c>
      <c r="H16" t="s">
        <v>5</v>
      </c>
      <c r="M16" s="2">
        <v>26</v>
      </c>
    </row>
    <row r="17" spans="1:13" ht="12.75">
      <c r="A17" t="s">
        <v>6</v>
      </c>
      <c r="D17" s="8">
        <f>+D16/D15*100</f>
        <v>56.25</v>
      </c>
      <c r="H17" t="s">
        <v>6</v>
      </c>
      <c r="M17" s="8">
        <f>+M16/M15*100</f>
        <v>65</v>
      </c>
    </row>
    <row r="18" spans="1:13" ht="12.75">
      <c r="A18" t="s">
        <v>7</v>
      </c>
      <c r="D18" s="2">
        <v>357</v>
      </c>
      <c r="H18" t="s">
        <v>7</v>
      </c>
      <c r="M18" s="2">
        <v>366</v>
      </c>
    </row>
    <row r="19" spans="1:13" ht="12.75">
      <c r="A19" t="s">
        <v>8</v>
      </c>
      <c r="D19" s="2">
        <v>2</v>
      </c>
      <c r="H19" t="s">
        <v>8</v>
      </c>
      <c r="M19" s="2">
        <v>6</v>
      </c>
    </row>
    <row r="20" spans="1:13" ht="12.75">
      <c r="A20" t="s">
        <v>9</v>
      </c>
      <c r="D20" s="2">
        <v>22</v>
      </c>
      <c r="H20" t="s">
        <v>9</v>
      </c>
      <c r="M20" s="2">
        <v>44</v>
      </c>
    </row>
    <row r="21" spans="1:13" ht="12.75">
      <c r="A21" t="s">
        <v>10</v>
      </c>
      <c r="D21">
        <f>+D18-D20</f>
        <v>335</v>
      </c>
      <c r="H21" t="s">
        <v>10</v>
      </c>
      <c r="M21">
        <f>+M18-M20</f>
        <v>322</v>
      </c>
    </row>
    <row r="22" spans="1:13" ht="12.75">
      <c r="A22" t="s">
        <v>11</v>
      </c>
      <c r="D22" s="7">
        <f>+D21/(D15+D19)</f>
        <v>9.852941176470589</v>
      </c>
      <c r="H22" t="s">
        <v>11</v>
      </c>
      <c r="M22" s="7">
        <f>+M21/(M15+M19)</f>
        <v>7</v>
      </c>
    </row>
    <row r="23" spans="1:13" ht="12.75">
      <c r="A23" t="s">
        <v>12</v>
      </c>
      <c r="D23" s="7">
        <f>+D18/D16</f>
        <v>19.833333333333332</v>
      </c>
      <c r="H23" t="s">
        <v>12</v>
      </c>
      <c r="M23" s="7">
        <f>+M18/M16</f>
        <v>14.076923076923077</v>
      </c>
    </row>
    <row r="25" spans="1:8" ht="12.75">
      <c r="A25" t="s">
        <v>13</v>
      </c>
      <c r="H25" t="s">
        <v>13</v>
      </c>
    </row>
    <row r="26" spans="1:13" ht="12.75">
      <c r="A26" t="s">
        <v>14</v>
      </c>
      <c r="D26">
        <f>+D21+D12</f>
        <v>459</v>
      </c>
      <c r="H26" t="s">
        <v>14</v>
      </c>
      <c r="M26">
        <f>+M21+M12</f>
        <v>432</v>
      </c>
    </row>
    <row r="27" spans="1:13" ht="12.75">
      <c r="A27" t="s">
        <v>15</v>
      </c>
      <c r="D27" s="7">
        <f>+D12/D26*100</f>
        <v>27.01525054466231</v>
      </c>
      <c r="H27" t="s">
        <v>15</v>
      </c>
      <c r="M27" s="7">
        <f>+M12/M26*100</f>
        <v>25.462962962962965</v>
      </c>
    </row>
    <row r="28" spans="1:13" ht="12.75">
      <c r="A28" s="1" t="s">
        <v>86</v>
      </c>
      <c r="D28" s="7">
        <f>+D21/D26*100</f>
        <v>72.98474945533769</v>
      </c>
      <c r="H28" s="1" t="s">
        <v>86</v>
      </c>
      <c r="M28" s="7">
        <f>+M21/M26*100</f>
        <v>74.53703703703704</v>
      </c>
    </row>
    <row r="30" spans="1:13" ht="12.75">
      <c r="A30" t="s">
        <v>16</v>
      </c>
      <c r="D30">
        <f>+D11+D15+D19</f>
        <v>65</v>
      </c>
      <c r="H30" t="s">
        <v>16</v>
      </c>
      <c r="M30">
        <f>+M11+M15+M19</f>
        <v>72</v>
      </c>
    </row>
    <row r="31" spans="1:13" ht="12.75">
      <c r="A31" t="s">
        <v>17</v>
      </c>
      <c r="D31" s="8">
        <f>+D26/D30</f>
        <v>7.061538461538461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6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2</v>
      </c>
      <c r="H34" t="s">
        <v>19</v>
      </c>
      <c r="M34" s="2">
        <v>2</v>
      </c>
    </row>
    <row r="35" spans="1:13" ht="12.75">
      <c r="A35" t="s">
        <v>20</v>
      </c>
      <c r="D35" s="2">
        <v>49</v>
      </c>
      <c r="H35" t="s">
        <v>20</v>
      </c>
      <c r="M35" s="2">
        <v>52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5</v>
      </c>
      <c r="H38" t="s">
        <v>22</v>
      </c>
      <c r="M38" s="2">
        <v>3</v>
      </c>
    </row>
    <row r="39" spans="1:13" ht="12.75">
      <c r="A39" t="s">
        <v>23</v>
      </c>
      <c r="D39" s="2">
        <v>229</v>
      </c>
      <c r="H39" t="s">
        <v>23</v>
      </c>
      <c r="M39" s="2">
        <v>120</v>
      </c>
    </row>
    <row r="40" spans="1:13" ht="12.75">
      <c r="A40" t="s">
        <v>24</v>
      </c>
      <c r="D40" s="8">
        <f>+D39/D38</f>
        <v>45.8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40</v>
      </c>
    </row>
    <row r="42" spans="1:13" ht="12.75">
      <c r="A42" t="s">
        <v>25</v>
      </c>
      <c r="D42" s="2">
        <v>2</v>
      </c>
      <c r="H42" t="s">
        <v>25</v>
      </c>
      <c r="M42" s="2">
        <v>3</v>
      </c>
    </row>
    <row r="43" spans="1:13" ht="12.75">
      <c r="A43" t="s">
        <v>26</v>
      </c>
      <c r="D43" s="2">
        <v>32</v>
      </c>
      <c r="H43" t="s">
        <v>26</v>
      </c>
      <c r="M43" s="2">
        <v>63</v>
      </c>
    </row>
    <row r="44" spans="1:13" ht="12.75">
      <c r="A44" t="s">
        <v>27</v>
      </c>
      <c r="D44" s="8">
        <f>+D43/D42</f>
        <v>16</v>
      </c>
      <c r="H44" t="s">
        <v>27</v>
      </c>
      <c r="M44" s="8">
        <f>+M43/M42</f>
        <v>21</v>
      </c>
    </row>
    <row r="45" spans="1:13" ht="12.75">
      <c r="A45" t="s">
        <v>106</v>
      </c>
      <c r="D45" s="2">
        <v>0</v>
      </c>
      <c r="H45" t="s">
        <v>106</v>
      </c>
      <c r="M45" s="2">
        <v>0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6</v>
      </c>
      <c r="H48" t="s">
        <v>30</v>
      </c>
      <c r="M48" s="2">
        <v>5</v>
      </c>
    </row>
    <row r="49" spans="1:13" ht="12.75">
      <c r="A49" t="s">
        <v>26</v>
      </c>
      <c r="D49" s="2">
        <v>106</v>
      </c>
      <c r="H49" t="s">
        <v>26</v>
      </c>
      <c r="M49" s="2">
        <v>88</v>
      </c>
    </row>
    <row r="50" spans="1:13" ht="12.75">
      <c r="A50" t="s">
        <v>27</v>
      </c>
      <c r="D50" s="8">
        <f>+D49/D48</f>
        <v>17.666666666666668</v>
      </c>
      <c r="H50" t="s">
        <v>27</v>
      </c>
      <c r="M50" s="8">
        <f>+M49/M48</f>
        <v>17.6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2</v>
      </c>
      <c r="H53" t="s">
        <v>31</v>
      </c>
      <c r="M53" s="2">
        <v>3</v>
      </c>
    </row>
    <row r="54" spans="1:13" ht="12.75">
      <c r="A54" t="s">
        <v>32</v>
      </c>
      <c r="D54" s="2">
        <v>15</v>
      </c>
      <c r="H54" t="s">
        <v>32</v>
      </c>
      <c r="M54" s="2">
        <v>25</v>
      </c>
    </row>
    <row r="56" spans="1:13" ht="12.75">
      <c r="A56" t="s">
        <v>33</v>
      </c>
      <c r="D56" s="2">
        <v>0</v>
      </c>
      <c r="H56" t="s">
        <v>33</v>
      </c>
      <c r="M56" s="2">
        <v>5</v>
      </c>
    </row>
    <row r="57" spans="1:13" ht="12.75">
      <c r="A57" t="s">
        <v>101</v>
      </c>
      <c r="D57" s="2">
        <v>0</v>
      </c>
      <c r="H57" t="s">
        <v>101</v>
      </c>
      <c r="M57" s="2">
        <v>4</v>
      </c>
    </row>
    <row r="58" ht="12.75">
      <c r="D58" s="2"/>
    </row>
    <row r="59" spans="1:13" ht="12.75">
      <c r="A59" t="s">
        <v>34</v>
      </c>
      <c r="D59" s="2">
        <v>38</v>
      </c>
      <c r="H59" t="s">
        <v>34</v>
      </c>
      <c r="M59" s="2">
        <v>31</v>
      </c>
    </row>
    <row r="60" spans="1:13" ht="12.75">
      <c r="A60" t="s">
        <v>35</v>
      </c>
      <c r="D60" s="2">
        <v>5</v>
      </c>
      <c r="H60" t="s">
        <v>35</v>
      </c>
      <c r="M60" s="2">
        <v>4</v>
      </c>
    </row>
    <row r="61" spans="1:13" ht="12.75">
      <c r="A61" t="s">
        <v>36</v>
      </c>
      <c r="D61" s="2">
        <v>2</v>
      </c>
      <c r="H61" t="s">
        <v>36</v>
      </c>
      <c r="M61" s="2">
        <v>1</v>
      </c>
    </row>
    <row r="62" spans="1:13" ht="12.75">
      <c r="A62" t="s">
        <v>37</v>
      </c>
      <c r="D62" s="2">
        <v>3</v>
      </c>
      <c r="H62" t="s">
        <v>37</v>
      </c>
      <c r="M62" s="2">
        <v>2</v>
      </c>
    </row>
    <row r="63" spans="1:13" ht="12.75">
      <c r="A63" t="s">
        <v>38</v>
      </c>
      <c r="D63" s="2">
        <v>0</v>
      </c>
      <c r="H63" t="s">
        <v>38</v>
      </c>
      <c r="M63" s="2">
        <v>1</v>
      </c>
    </row>
    <row r="64" spans="1:13" ht="12.75">
      <c r="A64" t="s">
        <v>39</v>
      </c>
      <c r="D64" s="2">
        <v>5</v>
      </c>
      <c r="H64" t="s">
        <v>39</v>
      </c>
      <c r="M64" s="2">
        <v>4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1</v>
      </c>
      <c r="H66" t="s">
        <v>41</v>
      </c>
      <c r="M66" s="2">
        <v>1</v>
      </c>
    </row>
    <row r="67" spans="1:13" ht="12.75">
      <c r="A67" t="s">
        <v>42</v>
      </c>
      <c r="D67" s="2">
        <v>2</v>
      </c>
      <c r="H67" t="s">
        <v>42</v>
      </c>
      <c r="M67" s="2">
        <v>2</v>
      </c>
    </row>
    <row r="68" spans="1:13" ht="12.75">
      <c r="A68" t="s">
        <v>43</v>
      </c>
      <c r="D68" s="8">
        <f>+D66/D67*100</f>
        <v>50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50</v>
      </c>
    </row>
    <row r="69" spans="1:13" ht="12.75">
      <c r="A69" t="s">
        <v>92</v>
      </c>
      <c r="D69" s="10">
        <v>29.32</v>
      </c>
      <c r="E69" s="8"/>
      <c r="F69" s="8"/>
      <c r="H69" t="s">
        <v>91</v>
      </c>
      <c r="M69" s="10">
        <v>30.28</v>
      </c>
    </row>
    <row r="70" spans="1:13" ht="12.75">
      <c r="A70" t="s">
        <v>102</v>
      </c>
      <c r="D70" s="23">
        <f>D161</f>
        <v>35.714285714285715</v>
      </c>
      <c r="E70" s="8"/>
      <c r="F70" s="8"/>
      <c r="H70" t="s">
        <v>102</v>
      </c>
      <c r="M70" s="23">
        <f>M161</f>
        <v>31.25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110</v>
      </c>
      <c r="C74">
        <v>25</v>
      </c>
      <c r="D74">
        <v>114</v>
      </c>
      <c r="E74" s="12">
        <f aca="true" t="shared" si="0" ref="E74:E84">+D74/C74</f>
        <v>4.56</v>
      </c>
      <c r="F74">
        <v>60</v>
      </c>
      <c r="G74">
        <v>2</v>
      </c>
      <c r="H74">
        <v>0</v>
      </c>
    </row>
    <row r="75" spans="1:8" ht="12.75">
      <c r="A75" t="s">
        <v>111</v>
      </c>
      <c r="C75">
        <v>4</v>
      </c>
      <c r="D75">
        <v>4</v>
      </c>
      <c r="E75" s="12">
        <f t="shared" si="0"/>
        <v>1</v>
      </c>
      <c r="F75">
        <v>2</v>
      </c>
      <c r="G75">
        <v>0</v>
      </c>
      <c r="H75">
        <v>0</v>
      </c>
    </row>
    <row r="76" spans="1:5" ht="12.75">
      <c r="A76" t="s">
        <v>112</v>
      </c>
      <c r="E76" s="12" t="e">
        <f t="shared" si="0"/>
        <v>#DIV/0!</v>
      </c>
    </row>
    <row r="77" spans="1:5" ht="12.75">
      <c r="A77" t="s">
        <v>113</v>
      </c>
      <c r="E77" s="12" t="e">
        <f t="shared" si="0"/>
        <v>#DIV/0!</v>
      </c>
    </row>
    <row r="78" spans="1:5" ht="12.75">
      <c r="A78" t="s">
        <v>108</v>
      </c>
      <c r="E78" s="12" t="e">
        <f t="shared" si="0"/>
        <v>#DIV/0!</v>
      </c>
    </row>
    <row r="79" spans="1:8" ht="12.75">
      <c r="A79" t="s">
        <v>114</v>
      </c>
      <c r="C79">
        <v>1</v>
      </c>
      <c r="D79">
        <v>6</v>
      </c>
      <c r="E79" s="12">
        <f t="shared" si="0"/>
        <v>6</v>
      </c>
      <c r="F79">
        <v>6</v>
      </c>
      <c r="G79">
        <v>0</v>
      </c>
      <c r="H79">
        <v>0</v>
      </c>
    </row>
    <row r="80" spans="1:8" ht="12.75">
      <c r="A80" t="s">
        <v>115</v>
      </c>
      <c r="C80">
        <v>1</v>
      </c>
      <c r="D80">
        <v>0</v>
      </c>
      <c r="E80" s="12">
        <f t="shared" si="0"/>
        <v>0</v>
      </c>
      <c r="F80">
        <v>0</v>
      </c>
      <c r="G80">
        <v>0</v>
      </c>
      <c r="H80">
        <v>0</v>
      </c>
    </row>
    <row r="81" spans="1:5" ht="12.75">
      <c r="A81" t="s">
        <v>116</v>
      </c>
      <c r="E81" s="12" t="e">
        <f t="shared" si="0"/>
        <v>#DIV/0!</v>
      </c>
    </row>
    <row r="82" spans="1:5" ht="12.75">
      <c r="A82" t="s">
        <v>117</v>
      </c>
      <c r="E82" s="12" t="e">
        <f t="shared" si="0"/>
        <v>#DIV/0!</v>
      </c>
    </row>
    <row r="83" spans="1:5" ht="12.75">
      <c r="A83" t="s">
        <v>118</v>
      </c>
      <c r="E83" s="12" t="e">
        <f t="shared" si="0"/>
        <v>#DIV/0!</v>
      </c>
    </row>
    <row r="84" spans="1:5" ht="12.75">
      <c r="A84" t="s">
        <v>107</v>
      </c>
      <c r="E84" s="12" t="e">
        <f t="shared" si="0"/>
        <v>#DIV/0!</v>
      </c>
    </row>
    <row r="85" ht="12.75">
      <c r="E85" s="8"/>
    </row>
    <row r="86" spans="1:8" ht="12.75">
      <c r="A86" s="2" t="s">
        <v>52</v>
      </c>
      <c r="C86" s="3" t="s">
        <v>53</v>
      </c>
      <c r="D86" s="3" t="s">
        <v>48</v>
      </c>
      <c r="E86" s="15" t="s">
        <v>49</v>
      </c>
      <c r="F86" s="3" t="s">
        <v>50</v>
      </c>
      <c r="G86" s="3" t="s">
        <v>51</v>
      </c>
      <c r="H86" s="3" t="s">
        <v>80</v>
      </c>
    </row>
    <row r="87" spans="1:8" ht="12.75">
      <c r="A87" t="s">
        <v>107</v>
      </c>
      <c r="C87">
        <v>2</v>
      </c>
      <c r="D87">
        <v>49</v>
      </c>
      <c r="E87" s="12">
        <f aca="true" t="shared" si="1" ref="E87:E98">+D87/C87</f>
        <v>24.5</v>
      </c>
      <c r="F87">
        <v>30</v>
      </c>
      <c r="G87">
        <v>0</v>
      </c>
      <c r="H87">
        <v>0</v>
      </c>
    </row>
    <row r="88" spans="1:8" ht="12.75">
      <c r="A88" t="s">
        <v>119</v>
      </c>
      <c r="C88">
        <v>3</v>
      </c>
      <c r="D88">
        <v>24</v>
      </c>
      <c r="E88" s="12">
        <f t="shared" si="1"/>
        <v>8</v>
      </c>
      <c r="F88">
        <v>13</v>
      </c>
      <c r="G88">
        <v>0</v>
      </c>
      <c r="H88">
        <v>0</v>
      </c>
    </row>
    <row r="89" spans="1:8" ht="12.75">
      <c r="A89" t="s">
        <v>120</v>
      </c>
      <c r="C89">
        <v>5</v>
      </c>
      <c r="D89">
        <v>169</v>
      </c>
      <c r="E89" s="12">
        <f t="shared" si="1"/>
        <v>33.8</v>
      </c>
      <c r="F89">
        <v>49</v>
      </c>
      <c r="G89">
        <v>1</v>
      </c>
      <c r="H89">
        <v>0</v>
      </c>
    </row>
    <row r="90" spans="1:8" ht="12.75">
      <c r="A90" t="s">
        <v>110</v>
      </c>
      <c r="C90">
        <v>2</v>
      </c>
      <c r="D90">
        <v>17</v>
      </c>
      <c r="E90" s="12">
        <f t="shared" si="1"/>
        <v>8.5</v>
      </c>
      <c r="F90">
        <v>18</v>
      </c>
      <c r="G90">
        <v>0</v>
      </c>
      <c r="H90">
        <v>0</v>
      </c>
    </row>
    <row r="91" spans="1:8" ht="12.75">
      <c r="A91" t="s">
        <v>111</v>
      </c>
      <c r="C91">
        <v>2</v>
      </c>
      <c r="D91">
        <v>26</v>
      </c>
      <c r="E91" s="12">
        <f t="shared" si="1"/>
        <v>13</v>
      </c>
      <c r="F91">
        <v>17</v>
      </c>
      <c r="G91">
        <v>0</v>
      </c>
      <c r="H91">
        <v>0</v>
      </c>
    </row>
    <row r="92" spans="1:8" ht="12.75">
      <c r="A92" t="s">
        <v>116</v>
      </c>
      <c r="C92">
        <v>3</v>
      </c>
      <c r="D92">
        <v>39</v>
      </c>
      <c r="E92" s="12">
        <f t="shared" si="1"/>
        <v>13</v>
      </c>
      <c r="F92">
        <v>27</v>
      </c>
      <c r="G92">
        <v>1</v>
      </c>
      <c r="H92">
        <v>0</v>
      </c>
    </row>
    <row r="93" spans="1:8" ht="12.75">
      <c r="A93" t="s">
        <v>121</v>
      </c>
      <c r="C93">
        <v>1</v>
      </c>
      <c r="D93">
        <v>33</v>
      </c>
      <c r="E93" s="12">
        <f t="shared" si="1"/>
        <v>33</v>
      </c>
      <c r="F93">
        <v>33</v>
      </c>
      <c r="G93">
        <v>1</v>
      </c>
      <c r="H93">
        <v>0</v>
      </c>
    </row>
    <row r="94" spans="1:5" ht="12.75">
      <c r="A94" t="s">
        <v>122</v>
      </c>
      <c r="E94" s="12" t="e">
        <f t="shared" si="1"/>
        <v>#DIV/0!</v>
      </c>
    </row>
    <row r="95" spans="1:5" ht="12.75">
      <c r="A95" t="s">
        <v>115</v>
      </c>
      <c r="E95" s="12" t="e">
        <f t="shared" si="1"/>
        <v>#DIV/0!</v>
      </c>
    </row>
    <row r="96" spans="1:5" ht="12.75">
      <c r="A96" t="s">
        <v>123</v>
      </c>
      <c r="E96" s="12" t="e">
        <f t="shared" si="1"/>
        <v>#DIV/0!</v>
      </c>
    </row>
    <row r="97" spans="1:5" ht="12.75">
      <c r="A97" t="s">
        <v>113</v>
      </c>
      <c r="E97" s="12" t="e">
        <f t="shared" si="1"/>
        <v>#DIV/0!</v>
      </c>
    </row>
    <row r="98" spans="1:5" ht="12.75">
      <c r="A98" t="s">
        <v>114</v>
      </c>
      <c r="E98" s="12" t="e">
        <f t="shared" si="1"/>
        <v>#DIV/0!</v>
      </c>
    </row>
    <row r="99" ht="12.75">
      <c r="E99" s="8"/>
    </row>
    <row r="100" spans="1:13" ht="12.75">
      <c r="A100" s="2"/>
      <c r="B100" s="2"/>
      <c r="C100" s="3"/>
      <c r="D100" s="3"/>
      <c r="E100" s="15" t="s">
        <v>57</v>
      </c>
      <c r="F100" s="3" t="s">
        <v>58</v>
      </c>
      <c r="G100" s="3"/>
      <c r="H100" s="3"/>
      <c r="I100" s="3" t="s">
        <v>61</v>
      </c>
      <c r="J100" s="3" t="s">
        <v>63</v>
      </c>
      <c r="K100" s="3" t="s">
        <v>57</v>
      </c>
      <c r="L100" s="3" t="s">
        <v>49</v>
      </c>
      <c r="M100" s="3"/>
    </row>
    <row r="101" spans="1:14" ht="12.75">
      <c r="A101" s="2" t="s">
        <v>54</v>
      </c>
      <c r="B101" s="2"/>
      <c r="C101" s="3" t="s">
        <v>55</v>
      </c>
      <c r="D101" s="3" t="s">
        <v>56</v>
      </c>
      <c r="E101" s="15" t="s">
        <v>56</v>
      </c>
      <c r="F101" s="3" t="s">
        <v>59</v>
      </c>
      <c r="G101" s="3" t="s">
        <v>51</v>
      </c>
      <c r="H101" s="3" t="s">
        <v>60</v>
      </c>
      <c r="I101" s="5" t="s">
        <v>62</v>
      </c>
      <c r="J101" s="3" t="s">
        <v>51</v>
      </c>
      <c r="K101" s="3" t="s">
        <v>64</v>
      </c>
      <c r="L101" s="3" t="s">
        <v>65</v>
      </c>
      <c r="M101" s="3" t="s">
        <v>66</v>
      </c>
      <c r="N101" s="3" t="s">
        <v>80</v>
      </c>
    </row>
    <row r="102" spans="1:25" ht="12.75">
      <c r="A102" t="s">
        <v>113</v>
      </c>
      <c r="E102" s="12" t="e">
        <f>+D102/C102*100</f>
        <v>#DIV/0!</v>
      </c>
      <c r="J102" s="8" t="e">
        <f>+G102/C102*100</f>
        <v>#DIV/0!</v>
      </c>
      <c r="K102" s="12" t="e">
        <f>+I102/C102*100</f>
        <v>#DIV/0!</v>
      </c>
      <c r="L102" s="12" t="e">
        <f>+F102/C102</f>
        <v>#DIV/0!</v>
      </c>
      <c r="M102" s="12" t="e">
        <f>100*(S102+U102+W102+Y102)/6</f>
        <v>#DIV/0!</v>
      </c>
      <c r="R102" t="e">
        <f>+(E102-30)/20</f>
        <v>#DIV/0!</v>
      </c>
      <c r="S102" s="2" t="e">
        <f>IF(R102&lt;0,0,IF(R102&gt;2.375,2.375,R102))</f>
        <v>#DIV/0!</v>
      </c>
      <c r="T102" s="6" t="e">
        <f>+(L102-3)/4</f>
        <v>#DIV/0!</v>
      </c>
      <c r="U102" s="2" t="e">
        <f>IF(T102&lt;0,0,IF(T102&gt;2.375,2.375,T102))</f>
        <v>#DIV/0!</v>
      </c>
      <c r="V102" t="e">
        <f>+J102/5</f>
        <v>#DIV/0!</v>
      </c>
      <c r="W102" s="2" t="e">
        <f>IF(V102&lt;0,0,IF(V102&gt;2.375,2.375,V102))</f>
        <v>#DIV/0!</v>
      </c>
      <c r="X102" t="e">
        <f>(9.5-K102)/4</f>
        <v>#DIV/0!</v>
      </c>
      <c r="Y102" s="2" t="e">
        <f>IF(X102&lt;0,0,X102)</f>
        <v>#DIV/0!</v>
      </c>
    </row>
    <row r="103" spans="1:25" ht="12.75">
      <c r="A103" t="s">
        <v>112</v>
      </c>
      <c r="C103">
        <v>31</v>
      </c>
      <c r="D103">
        <v>17</v>
      </c>
      <c r="E103" s="12">
        <f>+D103/C103*100</f>
        <v>54.83870967741935</v>
      </c>
      <c r="F103">
        <v>340</v>
      </c>
      <c r="G103">
        <v>3</v>
      </c>
      <c r="H103">
        <v>49</v>
      </c>
      <c r="I103">
        <v>2</v>
      </c>
      <c r="J103" s="8">
        <f>+G103/C103*100</f>
        <v>9.67741935483871</v>
      </c>
      <c r="K103" s="12">
        <f>+I103/C103*100</f>
        <v>6.451612903225806</v>
      </c>
      <c r="L103" s="12">
        <f>+F103/C103</f>
        <v>10.96774193548387</v>
      </c>
      <c r="M103" s="12">
        <f>100*(S103+U103+W103+Y103)/6</f>
        <v>98.85752688172043</v>
      </c>
      <c r="R103">
        <f>+(E103-30)/20</f>
        <v>1.2419354838709675</v>
      </c>
      <c r="S103" s="2">
        <f>IF(R103&lt;0,0,IF(R103&gt;2.375,2.375,R103))</f>
        <v>1.2419354838709675</v>
      </c>
      <c r="T103" s="6">
        <f>+(L103-3)/4</f>
        <v>1.9919354838709675</v>
      </c>
      <c r="U103" s="2">
        <f>IF(T103&lt;0,0,IF(T103&gt;2.375,2.375,T103))</f>
        <v>1.9919354838709675</v>
      </c>
      <c r="V103">
        <f>+J103/5</f>
        <v>1.935483870967742</v>
      </c>
      <c r="W103" s="2">
        <f>IF(V103&lt;0,0,IF(V103&gt;2.375,2.375,V103))</f>
        <v>1.935483870967742</v>
      </c>
      <c r="X103">
        <f>(9.5-K103)/4</f>
        <v>0.7620967741935485</v>
      </c>
      <c r="Y103" s="2">
        <f>IF(X103&lt;0,0,X103)</f>
        <v>0.7620967741935485</v>
      </c>
    </row>
    <row r="104" spans="1:25" ht="12.75">
      <c r="A104" t="s">
        <v>118</v>
      </c>
      <c r="E104" s="12" t="e">
        <f>+D104/C104*100</f>
        <v>#DIV/0!</v>
      </c>
      <c r="J104" s="8" t="e">
        <f>+G104/C104*100</f>
        <v>#DIV/0!</v>
      </c>
      <c r="K104" s="12" t="e">
        <f>+I104/C104*100</f>
        <v>#DIV/0!</v>
      </c>
      <c r="L104" s="12" t="e">
        <f>+F104/C104</f>
        <v>#DIV/0!</v>
      </c>
      <c r="M104" s="12" t="e">
        <f>100*(S104+U104+W104+Y104)/6</f>
        <v>#DIV/0!</v>
      </c>
      <c r="R104" t="e">
        <f>+(E104-30)/20</f>
        <v>#DIV/0!</v>
      </c>
      <c r="S104" s="2" t="e">
        <f>IF(R104&lt;0,0,IF(R104&gt;2.375,2.375,R104))</f>
        <v>#DIV/0!</v>
      </c>
      <c r="T104" s="6" t="e">
        <f>+(L104-3)/4</f>
        <v>#DIV/0!</v>
      </c>
      <c r="U104" s="2" t="e">
        <f>IF(T104&lt;0,0,IF(T104&gt;2.375,2.375,T104))</f>
        <v>#DIV/0!</v>
      </c>
      <c r="V104" t="e">
        <f>+J104/5</f>
        <v>#DIV/0!</v>
      </c>
      <c r="W104" s="2" t="e">
        <f>IF(V104&lt;0,0,IF(V104&gt;2.375,2.375,V104))</f>
        <v>#DIV/0!</v>
      </c>
      <c r="X104" t="e">
        <f>(9.5-K104)/4</f>
        <v>#DIV/0!</v>
      </c>
      <c r="Y104" s="2" t="e">
        <f>IF(X104&lt;0,0,X104)</f>
        <v>#DIV/0!</v>
      </c>
    </row>
    <row r="105" spans="1:25" ht="12.75">
      <c r="A105" t="s">
        <v>116</v>
      </c>
      <c r="E105" s="12" t="e">
        <f>+D105/C105*100</f>
        <v>#DIV/0!</v>
      </c>
      <c r="J105" s="8" t="e">
        <f>+G105/C105*100</f>
        <v>#DIV/0!</v>
      </c>
      <c r="K105" s="12" t="e">
        <f>+I105/C105*100</f>
        <v>#DIV/0!</v>
      </c>
      <c r="L105" s="12" t="e">
        <f>+F105/C105</f>
        <v>#DIV/0!</v>
      </c>
      <c r="M105" s="12" t="e">
        <f>100*(S105+U105+W105+Y105)/6</f>
        <v>#DIV/0!</v>
      </c>
      <c r="R105" t="e">
        <f>+(E105-30)/20</f>
        <v>#DIV/0!</v>
      </c>
      <c r="S105" s="2" t="e">
        <f>IF(R105&lt;0,0,IF(R105&gt;2.375,2.375,R105))</f>
        <v>#DIV/0!</v>
      </c>
      <c r="T105" s="6" t="e">
        <f>+(L105-3)/4</f>
        <v>#DIV/0!</v>
      </c>
      <c r="U105" s="2" t="e">
        <f>IF(T105&lt;0,0,IF(T105&gt;2.375,2.375,T105))</f>
        <v>#DIV/0!</v>
      </c>
      <c r="V105" t="e">
        <f>+J105/5</f>
        <v>#DIV/0!</v>
      </c>
      <c r="W105" s="2" t="e">
        <f>IF(V105&lt;0,0,IF(V105&gt;2.375,2.375,V105))</f>
        <v>#DIV/0!</v>
      </c>
      <c r="X105" t="e">
        <f>(9.5-K105)/4</f>
        <v>#DIV/0!</v>
      </c>
      <c r="Y105" s="2" t="e">
        <f>IF(X105&lt;0,0,X105)</f>
        <v>#DIV/0!</v>
      </c>
    </row>
    <row r="106" spans="1:25" ht="12.75">
      <c r="A106" t="s">
        <v>107</v>
      </c>
      <c r="E106" s="12" t="e">
        <f>+D106/C106*100</f>
        <v>#DIV/0!</v>
      </c>
      <c r="J106" s="8" t="e">
        <f>+G106/C106*100</f>
        <v>#DIV/0!</v>
      </c>
      <c r="K106" s="12" t="e">
        <f>+I106/C106*100</f>
        <v>#DIV/0!</v>
      </c>
      <c r="L106" s="12" t="e">
        <f>+F106/C106</f>
        <v>#DIV/0!</v>
      </c>
      <c r="M106" s="12" t="e">
        <f>100*(S106+U106+W106+Y106)/6</f>
        <v>#DIV/0!</v>
      </c>
      <c r="R106" t="e">
        <f>+(E106-30)/20</f>
        <v>#DIV/0!</v>
      </c>
      <c r="S106" s="2" t="e">
        <f>IF(R106&lt;0,0,IF(R106&gt;2.375,2.375,R106))</f>
        <v>#DIV/0!</v>
      </c>
      <c r="T106" s="6" t="e">
        <f>+(L106-3)/4</f>
        <v>#DIV/0!</v>
      </c>
      <c r="U106" s="2" t="e">
        <f>IF(T106&lt;0,0,IF(T106&gt;2.375,2.375,T106))</f>
        <v>#DIV/0!</v>
      </c>
      <c r="V106" t="e">
        <f>+J106/5</f>
        <v>#DIV/0!</v>
      </c>
      <c r="W106" s="2" t="e">
        <f>IF(V106&lt;0,0,IF(V106&gt;2.375,2.375,V106))</f>
        <v>#DIV/0!</v>
      </c>
      <c r="X106" t="e">
        <f>(9.5-K106)/4</f>
        <v>#DIV/0!</v>
      </c>
      <c r="Y106" s="2" t="e">
        <f>IF(X106&lt;0,0,X106)</f>
        <v>#DIV/0!</v>
      </c>
    </row>
    <row r="109" spans="1:9" ht="12.75">
      <c r="A109" s="2" t="s">
        <v>67</v>
      </c>
      <c r="C109" s="3" t="s">
        <v>68</v>
      </c>
      <c r="D109" s="3" t="s">
        <v>69</v>
      </c>
      <c r="E109" s="3" t="s">
        <v>70</v>
      </c>
      <c r="F109" s="3" t="s">
        <v>49</v>
      </c>
      <c r="G109" s="3" t="s">
        <v>60</v>
      </c>
      <c r="H109" s="3" t="s">
        <v>51</v>
      </c>
      <c r="I109" s="3" t="s">
        <v>80</v>
      </c>
    </row>
    <row r="110" spans="1:9" ht="12.75">
      <c r="A110" t="s">
        <v>124</v>
      </c>
      <c r="C110">
        <v>2</v>
      </c>
      <c r="D110">
        <v>0</v>
      </c>
      <c r="E110">
        <v>32</v>
      </c>
      <c r="F110" s="12">
        <f>+E110/C110</f>
        <v>16</v>
      </c>
      <c r="G110">
        <v>17</v>
      </c>
      <c r="H110">
        <v>0</v>
      </c>
      <c r="I110">
        <v>0</v>
      </c>
    </row>
    <row r="111" spans="1:6" ht="12.75">
      <c r="A111" t="s">
        <v>123</v>
      </c>
      <c r="F111" s="12" t="e">
        <f>+E111/C111</f>
        <v>#DIV/0!</v>
      </c>
    </row>
    <row r="112" spans="1:6" ht="12.75">
      <c r="A112" t="s">
        <v>117</v>
      </c>
      <c r="F112" s="12" t="e">
        <f>+E112/C112</f>
        <v>#DIV/0!</v>
      </c>
    </row>
    <row r="114" spans="1:8" ht="12.75">
      <c r="A114" s="2" t="s">
        <v>30</v>
      </c>
      <c r="C114" s="3" t="s">
        <v>68</v>
      </c>
      <c r="D114" s="3" t="s">
        <v>70</v>
      </c>
      <c r="E114" s="3" t="s">
        <v>49</v>
      </c>
      <c r="F114" s="3" t="s">
        <v>60</v>
      </c>
      <c r="G114" s="3" t="s">
        <v>51</v>
      </c>
      <c r="H114" s="3" t="s">
        <v>80</v>
      </c>
    </row>
    <row r="115" spans="1:8" ht="12.75">
      <c r="A115" t="s">
        <v>114</v>
      </c>
      <c r="C115">
        <v>3</v>
      </c>
      <c r="D115">
        <v>58</v>
      </c>
      <c r="E115" s="12">
        <f aca="true" t="shared" si="2" ref="E115:E120">+D115/C115</f>
        <v>19.333333333333332</v>
      </c>
      <c r="F115">
        <v>28</v>
      </c>
      <c r="G115">
        <v>0</v>
      </c>
      <c r="H115">
        <v>0</v>
      </c>
    </row>
    <row r="116" spans="1:5" ht="12.75">
      <c r="A116" t="s">
        <v>125</v>
      </c>
      <c r="E116" s="12" t="e">
        <f t="shared" si="2"/>
        <v>#DIV/0!</v>
      </c>
    </row>
    <row r="117" spans="1:8" ht="12.75">
      <c r="A117" t="s">
        <v>116</v>
      </c>
      <c r="C117">
        <v>2</v>
      </c>
      <c r="D117">
        <v>27</v>
      </c>
      <c r="E117" s="12">
        <f t="shared" si="2"/>
        <v>13.5</v>
      </c>
      <c r="F117">
        <v>21</v>
      </c>
      <c r="G117">
        <v>0</v>
      </c>
      <c r="H117">
        <v>0</v>
      </c>
    </row>
    <row r="118" spans="1:8" ht="12.75">
      <c r="A118" t="s">
        <v>108</v>
      </c>
      <c r="C118">
        <v>1</v>
      </c>
      <c r="D118">
        <v>21</v>
      </c>
      <c r="E118" s="12">
        <f t="shared" si="2"/>
        <v>21</v>
      </c>
      <c r="F118">
        <v>21</v>
      </c>
      <c r="G118">
        <v>0</v>
      </c>
      <c r="H118">
        <v>0</v>
      </c>
    </row>
    <row r="119" spans="1:5" ht="12.75">
      <c r="A119" t="s">
        <v>115</v>
      </c>
      <c r="E119" s="12" t="e">
        <f t="shared" si="2"/>
        <v>#DIV/0!</v>
      </c>
    </row>
    <row r="120" spans="1:5" ht="12.75">
      <c r="A120" t="s">
        <v>121</v>
      </c>
      <c r="E120" s="12" t="e">
        <f t="shared" si="2"/>
        <v>#DIV/0!</v>
      </c>
    </row>
    <row r="122" spans="1:7" ht="12.75">
      <c r="A122" s="2" t="s">
        <v>71</v>
      </c>
      <c r="C122" s="3" t="s">
        <v>68</v>
      </c>
      <c r="D122" s="3" t="s">
        <v>70</v>
      </c>
      <c r="E122" s="3" t="s">
        <v>49</v>
      </c>
      <c r="F122" s="3" t="s">
        <v>60</v>
      </c>
      <c r="G122" s="3" t="s">
        <v>72</v>
      </c>
    </row>
    <row r="123" spans="1:7" ht="12.75">
      <c r="A123" t="s">
        <v>126</v>
      </c>
      <c r="C123">
        <v>5</v>
      </c>
      <c r="D123">
        <v>229</v>
      </c>
      <c r="E123" s="12">
        <f>+D123/C123</f>
        <v>45.8</v>
      </c>
      <c r="F123">
        <v>50</v>
      </c>
      <c r="G123">
        <v>0</v>
      </c>
    </row>
    <row r="124" spans="1:5" ht="12.75">
      <c r="A124" t="s">
        <v>113</v>
      </c>
      <c r="E124" s="12" t="e">
        <f>+D124/C124</f>
        <v>#DIV/0!</v>
      </c>
    </row>
    <row r="125" ht="12.75">
      <c r="I125" s="5" t="s">
        <v>63</v>
      </c>
    </row>
    <row r="126" spans="1:10" ht="12.75">
      <c r="A126" s="4" t="s">
        <v>79</v>
      </c>
      <c r="C126" s="3" t="s">
        <v>73</v>
      </c>
      <c r="D126" s="3" t="s">
        <v>74</v>
      </c>
      <c r="E126" s="3" t="s">
        <v>75</v>
      </c>
      <c r="F126" s="3" t="s">
        <v>76</v>
      </c>
      <c r="G126" s="3" t="s">
        <v>77</v>
      </c>
      <c r="H126" s="3" t="s">
        <v>78</v>
      </c>
      <c r="I126" s="3" t="s">
        <v>82</v>
      </c>
      <c r="J126" s="3" t="s">
        <v>60</v>
      </c>
    </row>
    <row r="127" spans="1:10" ht="12.75">
      <c r="A127" t="s">
        <v>127</v>
      </c>
      <c r="C127">
        <v>7</v>
      </c>
      <c r="D127">
        <v>2</v>
      </c>
      <c r="E127">
        <v>4</v>
      </c>
      <c r="F127">
        <v>4</v>
      </c>
      <c r="G127">
        <v>2</v>
      </c>
      <c r="H127">
        <v>1</v>
      </c>
      <c r="I127" s="12">
        <f>+H127/G127*100</f>
        <v>50</v>
      </c>
      <c r="J127">
        <v>34</v>
      </c>
    </row>
    <row r="129" spans="1:8" ht="12.75">
      <c r="A129" s="2" t="s">
        <v>81</v>
      </c>
      <c r="C129" s="3" t="s">
        <v>68</v>
      </c>
      <c r="D129" s="3" t="s">
        <v>70</v>
      </c>
      <c r="E129" s="3" t="s">
        <v>49</v>
      </c>
      <c r="F129" s="3" t="s">
        <v>60</v>
      </c>
      <c r="G129" s="3" t="s">
        <v>51</v>
      </c>
      <c r="H129" s="3" t="s">
        <v>80</v>
      </c>
    </row>
    <row r="130" spans="1:5" ht="12.75">
      <c r="A130" t="s">
        <v>128</v>
      </c>
      <c r="E130" s="12" t="e">
        <f aca="true" t="shared" si="3" ref="E130:E138">+D130/C130</f>
        <v>#DIV/0!</v>
      </c>
    </row>
    <row r="131" spans="1:5" ht="12.75">
      <c r="A131" t="s">
        <v>129</v>
      </c>
      <c r="E131" s="12" t="e">
        <f t="shared" si="3"/>
        <v>#DIV/0!</v>
      </c>
    </row>
    <row r="132" spans="1:8" ht="12.75">
      <c r="A132" t="s">
        <v>130</v>
      </c>
      <c r="C132">
        <v>1</v>
      </c>
      <c r="D132">
        <v>25</v>
      </c>
      <c r="E132" s="12">
        <f t="shared" si="3"/>
        <v>25</v>
      </c>
      <c r="F132">
        <v>25</v>
      </c>
      <c r="G132">
        <v>0</v>
      </c>
      <c r="H132">
        <v>0</v>
      </c>
    </row>
    <row r="133" spans="1:8" ht="12.75">
      <c r="A133" t="s">
        <v>124</v>
      </c>
      <c r="C133">
        <v>1</v>
      </c>
      <c r="D133">
        <v>27</v>
      </c>
      <c r="E133" s="12">
        <f t="shared" si="3"/>
        <v>27</v>
      </c>
      <c r="F133">
        <v>27</v>
      </c>
      <c r="G133">
        <v>0</v>
      </c>
      <c r="H133">
        <v>0</v>
      </c>
    </row>
    <row r="134" spans="1:5" ht="12.75">
      <c r="A134" t="s">
        <v>131</v>
      </c>
      <c r="E134" s="12" t="e">
        <f t="shared" si="3"/>
        <v>#DIV/0!</v>
      </c>
    </row>
    <row r="135" spans="1:5" ht="12.75">
      <c r="A135" t="s">
        <v>132</v>
      </c>
      <c r="E135" s="12" t="e">
        <f t="shared" si="3"/>
        <v>#DIV/0!</v>
      </c>
    </row>
    <row r="136" spans="1:5" ht="12.75">
      <c r="A136" t="s">
        <v>133</v>
      </c>
      <c r="E136" s="12" t="e">
        <f t="shared" si="3"/>
        <v>#DIV/0!</v>
      </c>
    </row>
    <row r="137" spans="1:5" ht="12.75">
      <c r="A137" t="s">
        <v>134</v>
      </c>
      <c r="E137" s="12" t="e">
        <f t="shared" si="3"/>
        <v>#DIV/0!</v>
      </c>
    </row>
    <row r="138" spans="1:5" ht="12.75">
      <c r="A138" t="s">
        <v>135</v>
      </c>
      <c r="E138" s="12" t="e">
        <f t="shared" si="3"/>
        <v>#DIV/0!</v>
      </c>
    </row>
    <row r="139" ht="12.75">
      <c r="A139" t="s">
        <v>136</v>
      </c>
    </row>
    <row r="141" spans="1:4" ht="12.75">
      <c r="A141" s="2" t="s">
        <v>90</v>
      </c>
      <c r="C141" s="3" t="s">
        <v>68</v>
      </c>
      <c r="D141" s="3"/>
    </row>
    <row r="142" spans="1:3" ht="12.75">
      <c r="A142" t="s">
        <v>137</v>
      </c>
      <c r="C142">
        <v>1</v>
      </c>
    </row>
    <row r="143" spans="1:3" ht="12.75">
      <c r="A143" t="s">
        <v>134</v>
      </c>
      <c r="C143">
        <v>3</v>
      </c>
    </row>
    <row r="144" spans="1:3" ht="12.75">
      <c r="A144" t="s">
        <v>138</v>
      </c>
      <c r="C144">
        <v>1</v>
      </c>
    </row>
    <row r="145" ht="12.75">
      <c r="A145" t="s">
        <v>136</v>
      </c>
    </row>
    <row r="146" ht="12.75">
      <c r="A146" t="s">
        <v>139</v>
      </c>
    </row>
    <row r="147" spans="1:3" ht="12.75">
      <c r="A147" t="s">
        <v>135</v>
      </c>
      <c r="C147">
        <v>1</v>
      </c>
    </row>
    <row r="148" ht="12.75">
      <c r="A148" t="s">
        <v>133</v>
      </c>
    </row>
    <row r="149" ht="12.75">
      <c r="A149" t="s">
        <v>140</v>
      </c>
    </row>
    <row r="150" ht="12.75">
      <c r="A150" t="s">
        <v>141</v>
      </c>
    </row>
    <row r="151" ht="12.75">
      <c r="A151" t="s">
        <v>142</v>
      </c>
    </row>
    <row r="152" ht="12.75">
      <c r="A152" t="s">
        <v>143</v>
      </c>
    </row>
    <row r="153" ht="12.75">
      <c r="A153" t="s">
        <v>124</v>
      </c>
    </row>
    <row r="154" ht="12.75">
      <c r="A154" t="s">
        <v>129</v>
      </c>
    </row>
    <row r="155" ht="12.75">
      <c r="A155" t="s">
        <v>132</v>
      </c>
    </row>
    <row r="156" ht="12.75">
      <c r="A156" t="s">
        <v>144</v>
      </c>
    </row>
    <row r="158" spans="4:14" ht="12.75">
      <c r="D158" s="2" t="s">
        <v>84</v>
      </c>
      <c r="E158" s="2" t="s">
        <v>85</v>
      </c>
      <c r="M158" s="2" t="s">
        <v>84</v>
      </c>
      <c r="N158" s="2" t="s">
        <v>85</v>
      </c>
    </row>
    <row r="159" spans="1:13" ht="12.75">
      <c r="A159" t="s">
        <v>93</v>
      </c>
      <c r="D159">
        <v>14</v>
      </c>
      <c r="H159" t="s">
        <v>93</v>
      </c>
      <c r="M159">
        <v>16</v>
      </c>
    </row>
    <row r="160" spans="1:13" ht="12.75">
      <c r="A160" t="s">
        <v>94</v>
      </c>
      <c r="D160">
        <v>5</v>
      </c>
      <c r="H160" t="s">
        <v>94</v>
      </c>
      <c r="M160">
        <v>5</v>
      </c>
    </row>
    <row r="161" spans="1:13" ht="12.75">
      <c r="A161" t="s">
        <v>95</v>
      </c>
      <c r="D161">
        <f>D160/D159*100</f>
        <v>35.714285714285715</v>
      </c>
      <c r="H161" t="s">
        <v>95</v>
      </c>
      <c r="M161">
        <f>+M160/M159*100</f>
        <v>31.25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Y161"/>
  <sheetViews>
    <sheetView tabSelected="1" zoomScalePageLayoutView="0" workbookViewId="0" topLeftCell="A60">
      <selection activeCell="S68" sqref="S68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109</v>
      </c>
      <c r="E1" s="2" t="s">
        <v>96</v>
      </c>
      <c r="F1" s="2" t="s">
        <v>97</v>
      </c>
    </row>
    <row r="2" ht="12.75">
      <c r="E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14</v>
      </c>
      <c r="H6" s="1" t="s">
        <v>29</v>
      </c>
      <c r="M6" s="2">
        <f>M7+M8+M9</f>
        <v>12</v>
      </c>
    </row>
    <row r="7" spans="1:13" ht="12.75">
      <c r="A7" s="1" t="s">
        <v>103</v>
      </c>
      <c r="D7" s="2">
        <v>4</v>
      </c>
      <c r="H7" s="1" t="s">
        <v>103</v>
      </c>
      <c r="M7" s="2">
        <v>6</v>
      </c>
    </row>
    <row r="8" spans="1:13" ht="12.75">
      <c r="A8" s="1" t="s">
        <v>105</v>
      </c>
      <c r="D8" s="2">
        <v>9</v>
      </c>
      <c r="H8" s="1" t="s">
        <v>105</v>
      </c>
      <c r="M8" s="2">
        <v>5</v>
      </c>
    </row>
    <row r="9" spans="1:13" ht="12.75">
      <c r="A9" s="1" t="s">
        <v>104</v>
      </c>
      <c r="D9" s="2">
        <v>1</v>
      </c>
      <c r="H9" s="1" t="s">
        <v>104</v>
      </c>
      <c r="M9" s="2">
        <v>1</v>
      </c>
    </row>
    <row r="11" spans="1:23" ht="12.75">
      <c r="A11" t="s">
        <v>1</v>
      </c>
      <c r="D11" s="2">
        <v>32</v>
      </c>
      <c r="H11" t="s">
        <v>1</v>
      </c>
      <c r="M11" s="2">
        <v>28</v>
      </c>
      <c r="V11">
        <f>+D11</f>
        <v>32</v>
      </c>
      <c r="W11">
        <f>+M11</f>
        <v>28</v>
      </c>
    </row>
    <row r="12" spans="1:23" ht="12.75">
      <c r="A12" t="s">
        <v>2</v>
      </c>
      <c r="D12" s="2">
        <v>72</v>
      </c>
      <c r="H12" t="s">
        <v>2</v>
      </c>
      <c r="M12" s="2">
        <v>121</v>
      </c>
      <c r="P12" s="13"/>
      <c r="U12" s="13"/>
      <c r="V12">
        <f>+D16</f>
        <v>13</v>
      </c>
      <c r="W12">
        <f>+M16</f>
        <v>16</v>
      </c>
    </row>
    <row r="13" spans="1:23" ht="12.75">
      <c r="A13" s="1" t="s">
        <v>3</v>
      </c>
      <c r="D13" s="8">
        <f>+D12/D11</f>
        <v>2.25</v>
      </c>
      <c r="H13" s="1" t="s">
        <v>3</v>
      </c>
      <c r="M13" s="8">
        <f>+M12/M11</f>
        <v>4.321428571428571</v>
      </c>
      <c r="V13">
        <f>+(D15-D16)/2</f>
        <v>4</v>
      </c>
      <c r="W13">
        <f>+(M15-M16)/2</f>
        <v>5.5</v>
      </c>
    </row>
    <row r="14" spans="22:23" ht="12.75">
      <c r="V14">
        <f>+D38/2</f>
        <v>3.5</v>
      </c>
      <c r="W14">
        <f>+M38/2</f>
        <v>3</v>
      </c>
    </row>
    <row r="15" spans="1:23" ht="12.75">
      <c r="A15" t="s">
        <v>4</v>
      </c>
      <c r="D15" s="2">
        <v>21</v>
      </c>
      <c r="H15" t="s">
        <v>4</v>
      </c>
      <c r="M15" s="2">
        <v>27</v>
      </c>
      <c r="V15">
        <f>+D42/2</f>
        <v>2.5</v>
      </c>
      <c r="W15">
        <f>+M42/2</f>
        <v>2</v>
      </c>
    </row>
    <row r="16" spans="1:23" ht="12.75">
      <c r="A16" t="s">
        <v>5</v>
      </c>
      <c r="D16" s="2">
        <v>13</v>
      </c>
      <c r="H16" t="s">
        <v>5</v>
      </c>
      <c r="M16" s="2">
        <v>16</v>
      </c>
      <c r="V16">
        <f>+D48/2</f>
        <v>1</v>
      </c>
      <c r="W16">
        <f>+M48/2</f>
        <v>1.5</v>
      </c>
    </row>
    <row r="17" spans="1:13" ht="12.75">
      <c r="A17" t="s">
        <v>6</v>
      </c>
      <c r="D17" s="8">
        <f>+D16/D15*100</f>
        <v>61.904761904761905</v>
      </c>
      <c r="H17" t="s">
        <v>6</v>
      </c>
      <c r="M17" s="8">
        <f>+M16/M15*100</f>
        <v>59.25925925925925</v>
      </c>
    </row>
    <row r="18" spans="1:24" ht="12.75">
      <c r="A18" t="s">
        <v>7</v>
      </c>
      <c r="D18" s="2">
        <v>192</v>
      </c>
      <c r="H18" t="s">
        <v>7</v>
      </c>
      <c r="M18" s="2">
        <v>152</v>
      </c>
      <c r="V18">
        <f>SUM(V11:V16)</f>
        <v>56</v>
      </c>
      <c r="W18">
        <f>SUM(W11:W16)</f>
        <v>56</v>
      </c>
      <c r="X18">
        <f>+W18+V18</f>
        <v>112</v>
      </c>
    </row>
    <row r="19" spans="1:23" ht="12.75">
      <c r="A19" t="s">
        <v>8</v>
      </c>
      <c r="D19" s="2">
        <v>6</v>
      </c>
      <c r="H19" t="s">
        <v>8</v>
      </c>
      <c r="M19" s="2">
        <v>4</v>
      </c>
      <c r="V19">
        <f>+V18/X18</f>
        <v>0.5</v>
      </c>
      <c r="W19">
        <f>+W18/X18</f>
        <v>0.5</v>
      </c>
    </row>
    <row r="20" spans="1:23" ht="12.75">
      <c r="A20" t="s">
        <v>9</v>
      </c>
      <c r="D20" s="2">
        <v>35</v>
      </c>
      <c r="H20" t="s">
        <v>9</v>
      </c>
      <c r="M20" s="2">
        <v>31</v>
      </c>
      <c r="V20">
        <f>+V19*60</f>
        <v>30</v>
      </c>
      <c r="W20">
        <f>+W19*60</f>
        <v>30</v>
      </c>
    </row>
    <row r="21" spans="1:23" ht="12.75">
      <c r="A21" t="s">
        <v>10</v>
      </c>
      <c r="D21">
        <f>+D18-D20</f>
        <v>157</v>
      </c>
      <c r="H21" t="s">
        <v>10</v>
      </c>
      <c r="M21">
        <f>+M18-M20</f>
        <v>121</v>
      </c>
      <c r="V21">
        <f>+V20-INT(V20)</f>
        <v>0</v>
      </c>
      <c r="W21">
        <f>+W20-INT(W20)</f>
        <v>0</v>
      </c>
    </row>
    <row r="22" spans="1:23" ht="12.75">
      <c r="A22" t="s">
        <v>11</v>
      </c>
      <c r="D22" s="7">
        <f>+D21/(D15+D19)</f>
        <v>5.814814814814815</v>
      </c>
      <c r="H22" t="s">
        <v>11</v>
      </c>
      <c r="M22" s="7">
        <f>+M21/(M15+M19)</f>
        <v>3.903225806451613</v>
      </c>
      <c r="V22">
        <f>+V21*60</f>
        <v>0</v>
      </c>
      <c r="W22">
        <f>+W21*60</f>
        <v>0</v>
      </c>
    </row>
    <row r="23" spans="1:23" ht="12.75">
      <c r="A23" t="s">
        <v>12</v>
      </c>
      <c r="D23" s="7">
        <f>+D18/D16</f>
        <v>14.76923076923077</v>
      </c>
      <c r="H23" t="s">
        <v>12</v>
      </c>
      <c r="M23" s="7">
        <f>+M18/M16</f>
        <v>9.5</v>
      </c>
      <c r="Q23" s="11"/>
      <c r="U23">
        <v>0</v>
      </c>
      <c r="V23" s="11">
        <f>ROUND(V22,0)</f>
        <v>0</v>
      </c>
      <c r="W23">
        <f>ROUND(W22,0)</f>
        <v>0</v>
      </c>
    </row>
    <row r="24" spans="22:23" ht="12.75">
      <c r="V24">
        <f>INT(V20)</f>
        <v>30</v>
      </c>
      <c r="W24">
        <f>INT(W20)</f>
        <v>30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229</v>
      </c>
      <c r="H26" t="s">
        <v>14</v>
      </c>
      <c r="M26">
        <f>+M21+M12</f>
        <v>242</v>
      </c>
      <c r="Q26" s="14"/>
      <c r="R26" s="9"/>
      <c r="V26" s="14" t="str">
        <f>+V24&amp;V25&amp;V23</f>
        <v>30:0</v>
      </c>
      <c r="W26" s="9" t="str">
        <f>+W24&amp;W25&amp;W23</f>
        <v>30:0</v>
      </c>
    </row>
    <row r="27" spans="1:23" ht="12.75">
      <c r="A27" t="s">
        <v>15</v>
      </c>
      <c r="D27" s="7">
        <f>+D12/D26*100</f>
        <v>31.4410480349345</v>
      </c>
      <c r="H27" t="s">
        <v>15</v>
      </c>
      <c r="M27" s="7">
        <f>+M12/M26*100</f>
        <v>50</v>
      </c>
      <c r="Q27" s="9"/>
      <c r="R27" s="9"/>
      <c r="V27" s="9" t="str">
        <f>IF(V23&lt;10,+V24&amp;V25&amp;$U$23&amp;V23,+V24&amp;V25&amp;V23)</f>
        <v>30:00</v>
      </c>
      <c r="W27" s="9" t="str">
        <f>IF(W23&lt;10,+W24&amp;W25&amp;$U$23&amp;W23,+W24&amp;W25&amp;W23)</f>
        <v>30:00</v>
      </c>
    </row>
    <row r="28" spans="1:16" ht="12.75">
      <c r="A28" s="1" t="s">
        <v>86</v>
      </c>
      <c r="D28" s="7">
        <f>+D21/D26*100</f>
        <v>68.5589519650655</v>
      </c>
      <c r="H28" s="1" t="s">
        <v>86</v>
      </c>
      <c r="M28" s="7">
        <f>+M21/M26*100</f>
        <v>50</v>
      </c>
      <c r="P28" s="13"/>
    </row>
    <row r="30" spans="1:13" ht="12.75">
      <c r="A30" t="s">
        <v>16</v>
      </c>
      <c r="D30">
        <f>+D11+D15+D19</f>
        <v>59</v>
      </c>
      <c r="H30" t="s">
        <v>16</v>
      </c>
      <c r="M30">
        <f>M11+M15+M19</f>
        <v>59</v>
      </c>
    </row>
    <row r="31" spans="1:13" ht="12.75">
      <c r="A31" t="s">
        <v>17</v>
      </c>
      <c r="D31" s="8">
        <f>+D26/D30</f>
        <v>3.8813559322033897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4.101694915254237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0</v>
      </c>
      <c r="H34" t="s">
        <v>19</v>
      </c>
      <c r="M34" s="2">
        <v>2</v>
      </c>
    </row>
    <row r="35" spans="1:13" ht="12.75">
      <c r="A35" t="s">
        <v>20</v>
      </c>
      <c r="D35" s="2">
        <v>0</v>
      </c>
      <c r="H35" t="s">
        <v>20</v>
      </c>
      <c r="M35" s="2">
        <v>11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7</v>
      </c>
      <c r="H38" t="s">
        <v>22</v>
      </c>
      <c r="M38" s="2">
        <v>6</v>
      </c>
    </row>
    <row r="39" spans="1:13" ht="12.75">
      <c r="A39" t="s">
        <v>23</v>
      </c>
      <c r="D39" s="2">
        <v>295</v>
      </c>
      <c r="H39" t="s">
        <v>23</v>
      </c>
      <c r="M39" s="2">
        <v>257</v>
      </c>
    </row>
    <row r="40" spans="1:13" ht="12.75">
      <c r="A40" t="s">
        <v>24</v>
      </c>
      <c r="D40" s="8">
        <f>+D39/D38</f>
        <v>42.142857142857146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42.833333333333336</v>
      </c>
    </row>
    <row r="42" spans="1:13" ht="12.75">
      <c r="A42" t="s">
        <v>25</v>
      </c>
      <c r="D42" s="2">
        <v>5</v>
      </c>
      <c r="H42" t="s">
        <v>25</v>
      </c>
      <c r="M42" s="2">
        <v>4</v>
      </c>
    </row>
    <row r="43" spans="1:13" ht="12.75">
      <c r="A43" t="s">
        <v>26</v>
      </c>
      <c r="D43" s="2">
        <v>50</v>
      </c>
      <c r="H43" t="s">
        <v>26</v>
      </c>
      <c r="M43" s="2">
        <v>18</v>
      </c>
    </row>
    <row r="44" spans="1:13" ht="12.75">
      <c r="A44" t="s">
        <v>27</v>
      </c>
      <c r="D44" s="8">
        <f>+D43/D42</f>
        <v>10</v>
      </c>
      <c r="H44" t="s">
        <v>27</v>
      </c>
      <c r="M44" s="8">
        <f>+M43/M42</f>
        <v>4.5</v>
      </c>
    </row>
    <row r="45" spans="1:13" ht="12.75">
      <c r="A45" t="s">
        <v>106</v>
      </c>
      <c r="D45" s="2">
        <v>1</v>
      </c>
      <c r="H45" t="s">
        <v>106</v>
      </c>
      <c r="M45" s="2">
        <v>1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2</v>
      </c>
      <c r="H48" t="s">
        <v>30</v>
      </c>
      <c r="M48" s="2">
        <v>3</v>
      </c>
    </row>
    <row r="49" spans="1:13" ht="12.75">
      <c r="A49" t="s">
        <v>26</v>
      </c>
      <c r="D49" s="2">
        <v>60</v>
      </c>
      <c r="H49" t="s">
        <v>26</v>
      </c>
      <c r="M49" s="2">
        <v>60</v>
      </c>
    </row>
    <row r="50" spans="1:13" ht="12.75">
      <c r="A50" t="s">
        <v>27</v>
      </c>
      <c r="D50" s="8">
        <f>+D49/D48</f>
        <v>30</v>
      </c>
      <c r="H50" t="s">
        <v>27</v>
      </c>
      <c r="M50" s="8">
        <f>+M49/M48</f>
        <v>20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2</v>
      </c>
      <c r="H53" t="s">
        <v>31</v>
      </c>
      <c r="M53" s="2">
        <v>4</v>
      </c>
    </row>
    <row r="54" spans="1:13" ht="12.75">
      <c r="A54" t="s">
        <v>32</v>
      </c>
      <c r="D54" s="2">
        <v>15</v>
      </c>
      <c r="H54" t="s">
        <v>32</v>
      </c>
      <c r="M54" s="2">
        <v>40</v>
      </c>
    </row>
    <row r="56" spans="1:13" ht="12.75">
      <c r="A56" t="s">
        <v>33</v>
      </c>
      <c r="D56" s="2">
        <v>2</v>
      </c>
      <c r="H56" t="s">
        <v>33</v>
      </c>
      <c r="M56" s="2">
        <v>0</v>
      </c>
    </row>
    <row r="57" spans="1:13" ht="12.75">
      <c r="A57" t="s">
        <v>101</v>
      </c>
      <c r="D57" s="2">
        <v>1</v>
      </c>
      <c r="H57" t="s">
        <v>101</v>
      </c>
      <c r="M57" s="2">
        <v>0</v>
      </c>
    </row>
    <row r="59" spans="1:13" ht="12.75">
      <c r="A59" t="s">
        <v>34</v>
      </c>
      <c r="D59" s="2">
        <v>16</v>
      </c>
      <c r="H59" t="s">
        <v>34</v>
      </c>
      <c r="M59" s="2">
        <v>6</v>
      </c>
    </row>
    <row r="60" spans="1:13" ht="12.75">
      <c r="A60" t="s">
        <v>35</v>
      </c>
      <c r="D60" s="2">
        <v>1</v>
      </c>
      <c r="H60" t="s">
        <v>35</v>
      </c>
      <c r="M60" s="2">
        <v>0</v>
      </c>
    </row>
    <row r="61" spans="1:13" ht="12.75">
      <c r="A61" t="s">
        <v>36</v>
      </c>
      <c r="D61" s="2">
        <v>0</v>
      </c>
      <c r="H61" t="s">
        <v>36</v>
      </c>
      <c r="M61" s="2">
        <v>0</v>
      </c>
    </row>
    <row r="62" spans="1:13" ht="12.75">
      <c r="A62" t="s">
        <v>37</v>
      </c>
      <c r="D62" s="2">
        <v>1</v>
      </c>
      <c r="H62" t="s">
        <v>37</v>
      </c>
      <c r="M62" s="2">
        <v>0</v>
      </c>
    </row>
    <row r="63" spans="1:13" ht="12.75">
      <c r="A63" t="s">
        <v>38</v>
      </c>
      <c r="D63" s="2">
        <v>0</v>
      </c>
      <c r="H63" t="s">
        <v>38</v>
      </c>
      <c r="M63" s="2">
        <v>0</v>
      </c>
    </row>
    <row r="64" spans="1:13" ht="12.75">
      <c r="A64" t="s">
        <v>39</v>
      </c>
      <c r="D64" s="2">
        <v>1</v>
      </c>
      <c r="H64" t="s">
        <v>39</v>
      </c>
      <c r="M64" s="2">
        <v>0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3</v>
      </c>
      <c r="H66" t="s">
        <v>41</v>
      </c>
      <c r="M66" s="2">
        <v>2</v>
      </c>
    </row>
    <row r="67" spans="1:13" ht="12.75">
      <c r="A67" t="s">
        <v>42</v>
      </c>
      <c r="D67" s="2">
        <v>3</v>
      </c>
      <c r="H67" t="s">
        <v>42</v>
      </c>
      <c r="M67" s="2">
        <v>3</v>
      </c>
    </row>
    <row r="68" spans="1:13" ht="12.75">
      <c r="A68" t="s">
        <v>43</v>
      </c>
      <c r="D68" s="8">
        <f>+D66/D67*100</f>
        <v>100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66.66666666666666</v>
      </c>
    </row>
    <row r="69" spans="1:13" ht="12.75">
      <c r="A69" t="s">
        <v>89</v>
      </c>
      <c r="D69" s="10" t="str">
        <f>IF(V23&lt;10,V27,V26)</f>
        <v>30:00</v>
      </c>
      <c r="E69" s="8"/>
      <c r="F69" s="8"/>
      <c r="H69" t="s">
        <v>89</v>
      </c>
      <c r="M69" s="10" t="str">
        <f>IF(W23&lt;10,W27,W26)</f>
        <v>30:00</v>
      </c>
    </row>
    <row r="70" spans="1:13" ht="12.75">
      <c r="A70" t="s">
        <v>102</v>
      </c>
      <c r="D70" s="23">
        <f>D161</f>
        <v>35.714285714285715</v>
      </c>
      <c r="E70" s="8"/>
      <c r="F70" s="8"/>
      <c r="H70" t="s">
        <v>102</v>
      </c>
      <c r="M70" s="23">
        <f>M161</f>
        <v>23.076923076923077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2" t="s">
        <v>80</v>
      </c>
    </row>
    <row r="74" spans="1:8" ht="12.75">
      <c r="A74" t="s">
        <v>110</v>
      </c>
      <c r="C74">
        <v>25</v>
      </c>
      <c r="D74">
        <v>119</v>
      </c>
      <c r="E74" s="12">
        <f aca="true" t="shared" si="0" ref="E74:E84">+D74/C74</f>
        <v>4.76</v>
      </c>
      <c r="F74">
        <v>21</v>
      </c>
      <c r="G74">
        <v>0</v>
      </c>
      <c r="H74">
        <v>2</v>
      </c>
    </row>
    <row r="75" spans="1:8" ht="12.75">
      <c r="A75" t="s">
        <v>111</v>
      </c>
      <c r="C75">
        <v>10</v>
      </c>
      <c r="D75">
        <v>16</v>
      </c>
      <c r="E75" s="12">
        <f t="shared" si="0"/>
        <v>1.6</v>
      </c>
      <c r="F75">
        <v>11</v>
      </c>
      <c r="G75">
        <v>0</v>
      </c>
      <c r="H75">
        <v>0</v>
      </c>
    </row>
    <row r="76" spans="1:5" ht="12.75">
      <c r="A76" t="s">
        <v>112</v>
      </c>
      <c r="E76" s="12" t="e">
        <f t="shared" si="0"/>
        <v>#DIV/0!</v>
      </c>
    </row>
    <row r="77" spans="1:8" ht="12.75">
      <c r="A77" t="s">
        <v>113</v>
      </c>
      <c r="C77">
        <v>1</v>
      </c>
      <c r="D77">
        <v>-2</v>
      </c>
      <c r="E77" s="12">
        <f t="shared" si="0"/>
        <v>-2</v>
      </c>
      <c r="F77">
        <v>-2</v>
      </c>
      <c r="G77">
        <v>0</v>
      </c>
      <c r="H77">
        <v>0</v>
      </c>
    </row>
    <row r="78" spans="1:5" ht="12.75">
      <c r="A78" t="s">
        <v>108</v>
      </c>
      <c r="E78" s="12" t="e">
        <f t="shared" si="0"/>
        <v>#DIV/0!</v>
      </c>
    </row>
    <row r="79" spans="1:8" ht="12.75">
      <c r="A79" t="s">
        <v>114</v>
      </c>
      <c r="C79">
        <v>4</v>
      </c>
      <c r="D79">
        <v>7</v>
      </c>
      <c r="E79" s="12">
        <f t="shared" si="0"/>
        <v>1.75</v>
      </c>
      <c r="F79">
        <v>11</v>
      </c>
      <c r="G79">
        <v>0</v>
      </c>
      <c r="H79">
        <v>0</v>
      </c>
    </row>
    <row r="80" spans="1:5" ht="12.75">
      <c r="A80" t="s">
        <v>115</v>
      </c>
      <c r="E80" s="12" t="e">
        <f t="shared" si="0"/>
        <v>#DIV/0!</v>
      </c>
    </row>
    <row r="81" spans="1:5" ht="12.75">
      <c r="A81" t="s">
        <v>116</v>
      </c>
      <c r="E81" s="12" t="e">
        <f t="shared" si="0"/>
        <v>#DIV/0!</v>
      </c>
    </row>
    <row r="82" spans="1:5" ht="12.75">
      <c r="A82" t="s">
        <v>117</v>
      </c>
      <c r="E82" s="12" t="e">
        <f t="shared" si="0"/>
        <v>#DIV/0!</v>
      </c>
    </row>
    <row r="83" spans="1:5" ht="12.75">
      <c r="A83" t="s">
        <v>118</v>
      </c>
      <c r="E83" s="12" t="e">
        <f t="shared" si="0"/>
        <v>#DIV/0!</v>
      </c>
    </row>
    <row r="84" spans="1:5" ht="12.75">
      <c r="A84" t="s">
        <v>107</v>
      </c>
      <c r="E84" s="12" t="e">
        <f t="shared" si="0"/>
        <v>#DIV/0!</v>
      </c>
    </row>
    <row r="85" ht="12.75">
      <c r="E85" s="8"/>
    </row>
    <row r="86" spans="1:8" ht="12.75">
      <c r="A86" s="2" t="s">
        <v>52</v>
      </c>
      <c r="C86" s="3" t="s">
        <v>53</v>
      </c>
      <c r="D86" s="3" t="s">
        <v>48</v>
      </c>
      <c r="E86" s="15" t="s">
        <v>49</v>
      </c>
      <c r="F86" s="3" t="s">
        <v>50</v>
      </c>
      <c r="G86" s="3" t="s">
        <v>51</v>
      </c>
      <c r="H86" s="3" t="s">
        <v>80</v>
      </c>
    </row>
    <row r="87" spans="1:8" ht="12.75">
      <c r="A87" t="s">
        <v>107</v>
      </c>
      <c r="C87">
        <v>3</v>
      </c>
      <c r="D87">
        <v>44</v>
      </c>
      <c r="E87" s="12">
        <f aca="true" t="shared" si="1" ref="E87:E98">+D87/C87</f>
        <v>14.666666666666666</v>
      </c>
      <c r="F87">
        <v>31</v>
      </c>
      <c r="G87">
        <v>1</v>
      </c>
      <c r="H87">
        <v>0</v>
      </c>
    </row>
    <row r="88" spans="1:8" ht="12.75">
      <c r="A88" t="s">
        <v>119</v>
      </c>
      <c r="C88">
        <v>5</v>
      </c>
      <c r="D88">
        <v>36</v>
      </c>
      <c r="E88" s="12">
        <f t="shared" si="1"/>
        <v>7.2</v>
      </c>
      <c r="F88">
        <v>15</v>
      </c>
      <c r="G88">
        <v>0</v>
      </c>
      <c r="H88">
        <v>0</v>
      </c>
    </row>
    <row r="89" spans="1:8" ht="12.75">
      <c r="A89" t="s">
        <v>120</v>
      </c>
      <c r="C89">
        <v>4</v>
      </c>
      <c r="D89">
        <v>83</v>
      </c>
      <c r="E89" s="12">
        <f t="shared" si="1"/>
        <v>20.75</v>
      </c>
      <c r="F89">
        <v>58</v>
      </c>
      <c r="G89">
        <v>2</v>
      </c>
      <c r="H89">
        <v>0</v>
      </c>
    </row>
    <row r="90" spans="1:5" ht="12.75">
      <c r="A90" t="s">
        <v>110</v>
      </c>
      <c r="E90" s="12" t="e">
        <f t="shared" si="1"/>
        <v>#DIV/0!</v>
      </c>
    </row>
    <row r="91" spans="1:8" ht="12.75">
      <c r="A91" t="s">
        <v>111</v>
      </c>
      <c r="C91">
        <v>3</v>
      </c>
      <c r="D91">
        <v>8</v>
      </c>
      <c r="E91" s="12">
        <f t="shared" si="1"/>
        <v>2.6666666666666665</v>
      </c>
      <c r="F91">
        <v>9</v>
      </c>
      <c r="G91">
        <v>0</v>
      </c>
      <c r="H91">
        <v>0</v>
      </c>
    </row>
    <row r="92" spans="1:8" ht="12.75">
      <c r="A92" t="s">
        <v>116</v>
      </c>
      <c r="C92">
        <v>2</v>
      </c>
      <c r="D92">
        <v>19</v>
      </c>
      <c r="E92" s="12">
        <f t="shared" si="1"/>
        <v>9.5</v>
      </c>
      <c r="F92">
        <v>15</v>
      </c>
      <c r="G92">
        <v>0</v>
      </c>
      <c r="H92">
        <v>0</v>
      </c>
    </row>
    <row r="93" spans="1:5" ht="12.75">
      <c r="A93" t="s">
        <v>121</v>
      </c>
      <c r="E93" s="12" t="e">
        <f t="shared" si="1"/>
        <v>#DIV/0!</v>
      </c>
    </row>
    <row r="94" spans="1:8" ht="12.75">
      <c r="A94" t="s">
        <v>122</v>
      </c>
      <c r="C94">
        <v>1</v>
      </c>
      <c r="D94">
        <v>15</v>
      </c>
      <c r="E94" s="12">
        <f t="shared" si="1"/>
        <v>15</v>
      </c>
      <c r="F94">
        <v>15</v>
      </c>
      <c r="G94">
        <v>0</v>
      </c>
      <c r="H94">
        <v>0</v>
      </c>
    </row>
    <row r="95" spans="1:5" ht="12.75">
      <c r="A95" t="s">
        <v>115</v>
      </c>
      <c r="E95" s="12" t="e">
        <f t="shared" si="1"/>
        <v>#DIV/0!</v>
      </c>
    </row>
    <row r="96" spans="1:5" ht="12.75">
      <c r="A96" t="s">
        <v>123</v>
      </c>
      <c r="E96" s="12" t="e">
        <f t="shared" si="1"/>
        <v>#DIV/0!</v>
      </c>
    </row>
    <row r="97" spans="1:5" ht="12.75">
      <c r="A97" t="s">
        <v>113</v>
      </c>
      <c r="E97" s="12" t="e">
        <f t="shared" si="1"/>
        <v>#DIV/0!</v>
      </c>
    </row>
    <row r="98" spans="1:5" ht="12.75">
      <c r="A98" t="s">
        <v>114</v>
      </c>
      <c r="E98" s="12" t="e">
        <f t="shared" si="1"/>
        <v>#DIV/0!</v>
      </c>
    </row>
    <row r="99" ht="12.75">
      <c r="E99" s="8"/>
    </row>
    <row r="100" spans="1:13" ht="12.75">
      <c r="A100" s="2"/>
      <c r="B100" s="2"/>
      <c r="C100" s="3"/>
      <c r="D100" s="3"/>
      <c r="E100" s="15" t="s">
        <v>57</v>
      </c>
      <c r="F100" s="3" t="s">
        <v>58</v>
      </c>
      <c r="G100" s="3"/>
      <c r="H100" s="3"/>
      <c r="I100" s="3" t="s">
        <v>61</v>
      </c>
      <c r="J100" s="3" t="s">
        <v>63</v>
      </c>
      <c r="K100" s="3" t="s">
        <v>57</v>
      </c>
      <c r="L100" s="3" t="s">
        <v>49</v>
      </c>
      <c r="M100" s="3"/>
    </row>
    <row r="101" spans="1:14" ht="12.75">
      <c r="A101" s="2" t="s">
        <v>54</v>
      </c>
      <c r="B101" s="2"/>
      <c r="C101" s="3" t="s">
        <v>55</v>
      </c>
      <c r="D101" s="3" t="s">
        <v>56</v>
      </c>
      <c r="E101" s="15" t="s">
        <v>56</v>
      </c>
      <c r="F101" s="3" t="s">
        <v>59</v>
      </c>
      <c r="G101" s="3" t="s">
        <v>51</v>
      </c>
      <c r="H101" s="3" t="s">
        <v>60</v>
      </c>
      <c r="I101" s="5" t="s">
        <v>62</v>
      </c>
      <c r="J101" s="3" t="s">
        <v>51</v>
      </c>
      <c r="K101" s="3" t="s">
        <v>64</v>
      </c>
      <c r="L101" s="3" t="s">
        <v>65</v>
      </c>
      <c r="M101" s="3" t="s">
        <v>66</v>
      </c>
      <c r="N101" s="3" t="s">
        <v>80</v>
      </c>
    </row>
    <row r="102" spans="1:25" ht="12.75">
      <c r="A102" t="s">
        <v>113</v>
      </c>
      <c r="C102">
        <v>28</v>
      </c>
      <c r="D102">
        <v>18</v>
      </c>
      <c r="E102" s="12">
        <f>+D102/C102*100</f>
        <v>64.28571428571429</v>
      </c>
      <c r="F102">
        <v>195</v>
      </c>
      <c r="G102">
        <v>2</v>
      </c>
      <c r="H102">
        <v>58</v>
      </c>
      <c r="I102">
        <v>0</v>
      </c>
      <c r="J102" s="8">
        <f>+G102/C102*100</f>
        <v>7.142857142857142</v>
      </c>
      <c r="K102" s="12">
        <f>+I102/C102*100</f>
        <v>0</v>
      </c>
      <c r="L102" s="12">
        <f>+F102/C102</f>
        <v>6.964285714285714</v>
      </c>
      <c r="M102" s="12">
        <f>100*(S102+U102+W102+Y102)/6</f>
        <v>108.48214285714285</v>
      </c>
      <c r="R102">
        <f>+(E102-30)/20</f>
        <v>1.7142857142857146</v>
      </c>
      <c r="S102" s="2">
        <f>IF(R102&lt;0,0,IF(R102&gt;2.375,2.375,R102))</f>
        <v>1.7142857142857146</v>
      </c>
      <c r="T102" s="6">
        <f>+(L102-3)/4</f>
        <v>0.9910714285714286</v>
      </c>
      <c r="U102" s="2">
        <f>IF(T102&lt;0,0,IF(T102&gt;2.375,2.375,T102))</f>
        <v>0.9910714285714286</v>
      </c>
      <c r="V102">
        <f>+J102/5</f>
        <v>1.4285714285714284</v>
      </c>
      <c r="W102" s="2">
        <f>IF(V102&lt;0,0,IF(V102&gt;2.375,2.375,V102))</f>
        <v>1.4285714285714284</v>
      </c>
      <c r="X102">
        <f>(9.5-K102)/4</f>
        <v>2.375</v>
      </c>
      <c r="Y102" s="2">
        <f>IF(X102&lt;0,0,X102)</f>
        <v>2.375</v>
      </c>
    </row>
    <row r="103" spans="1:25" ht="12.75">
      <c r="A103" t="s">
        <v>112</v>
      </c>
      <c r="E103" s="12" t="e">
        <f>+D103/C103*100</f>
        <v>#DIV/0!</v>
      </c>
      <c r="J103" s="8" t="e">
        <f>+G103/C103*100</f>
        <v>#DIV/0!</v>
      </c>
      <c r="K103" s="12" t="e">
        <f>+I103/C103*100</f>
        <v>#DIV/0!</v>
      </c>
      <c r="L103" s="12" t="e">
        <f>+F103/C103</f>
        <v>#DIV/0!</v>
      </c>
      <c r="M103" s="12" t="e">
        <f>100*(S103+U103+W103+Y103)/6</f>
        <v>#DIV/0!</v>
      </c>
      <c r="R103" t="e">
        <f>+(E103-30)/20</f>
        <v>#DIV/0!</v>
      </c>
      <c r="S103" s="2" t="e">
        <f>IF(R103&lt;0,0,IF(R103&gt;2.375,2.375,R103))</f>
        <v>#DIV/0!</v>
      </c>
      <c r="T103" s="6" t="e">
        <f>+(L103-3)/4</f>
        <v>#DIV/0!</v>
      </c>
      <c r="U103" s="2" t="e">
        <f>IF(T103&lt;0,0,IF(T103&gt;2.375,2.375,T103))</f>
        <v>#DIV/0!</v>
      </c>
      <c r="V103" t="e">
        <f>+J103/5</f>
        <v>#DIV/0!</v>
      </c>
      <c r="W103" s="2" t="e">
        <f>IF(V103&lt;0,0,IF(V103&gt;2.375,2.375,V103))</f>
        <v>#DIV/0!</v>
      </c>
      <c r="X103" t="e">
        <f>(9.5-K103)/4</f>
        <v>#DIV/0!</v>
      </c>
      <c r="Y103" s="2" t="e">
        <f>IF(X103&lt;0,0,X103)</f>
        <v>#DIV/0!</v>
      </c>
    </row>
    <row r="104" spans="1:25" ht="12.75">
      <c r="A104" t="s">
        <v>118</v>
      </c>
      <c r="E104" s="12" t="e">
        <f>+D104/C104*100</f>
        <v>#DIV/0!</v>
      </c>
      <c r="J104" s="8" t="e">
        <f>+G104/C104*100</f>
        <v>#DIV/0!</v>
      </c>
      <c r="K104" s="12" t="e">
        <f>+I104/C104*100</f>
        <v>#DIV/0!</v>
      </c>
      <c r="L104" s="12" t="e">
        <f>+F104/C104</f>
        <v>#DIV/0!</v>
      </c>
      <c r="M104" s="12" t="e">
        <f>100*(S104+U104+W104+Y104)/6</f>
        <v>#DIV/0!</v>
      </c>
      <c r="R104" t="e">
        <f>+(E104-30)/20</f>
        <v>#DIV/0!</v>
      </c>
      <c r="S104" s="2" t="e">
        <f>IF(R104&lt;0,0,IF(R104&gt;2.375,2.375,R104))</f>
        <v>#DIV/0!</v>
      </c>
      <c r="T104" s="6" t="e">
        <f>+(L104-3)/4</f>
        <v>#DIV/0!</v>
      </c>
      <c r="U104" s="2" t="e">
        <f>IF(T104&lt;0,0,IF(T104&gt;2.375,2.375,T104))</f>
        <v>#DIV/0!</v>
      </c>
      <c r="V104" t="e">
        <f>+J104/5</f>
        <v>#DIV/0!</v>
      </c>
      <c r="W104" s="2" t="e">
        <f>IF(V104&lt;0,0,IF(V104&gt;2.375,2.375,V104))</f>
        <v>#DIV/0!</v>
      </c>
      <c r="X104" t="e">
        <f>(9.5-K104)/4</f>
        <v>#DIV/0!</v>
      </c>
      <c r="Y104" s="2" t="e">
        <f>IF(X104&lt;0,0,X104)</f>
        <v>#DIV/0!</v>
      </c>
    </row>
    <row r="105" spans="1:25" ht="12.75">
      <c r="A105" t="s">
        <v>116</v>
      </c>
      <c r="E105" s="12" t="e">
        <f>+D105/C105*100</f>
        <v>#DIV/0!</v>
      </c>
      <c r="J105" s="8" t="e">
        <f>+G105/C105*100</f>
        <v>#DIV/0!</v>
      </c>
      <c r="K105" s="12" t="e">
        <f>+I105/C105*100</f>
        <v>#DIV/0!</v>
      </c>
      <c r="L105" s="12" t="e">
        <f>+F105/C105</f>
        <v>#DIV/0!</v>
      </c>
      <c r="M105" s="12" t="e">
        <f>100*(S105+U105+W105+Y105)/6</f>
        <v>#DIV/0!</v>
      </c>
      <c r="R105" t="e">
        <f>+(E105-30)/20</f>
        <v>#DIV/0!</v>
      </c>
      <c r="S105" s="2" t="e">
        <f>IF(R105&lt;0,0,IF(R105&gt;2.375,2.375,R105))</f>
        <v>#DIV/0!</v>
      </c>
      <c r="T105" s="6" t="e">
        <f>+(L105-3)/4</f>
        <v>#DIV/0!</v>
      </c>
      <c r="U105" s="2" t="e">
        <f>IF(T105&lt;0,0,IF(T105&gt;2.375,2.375,T105))</f>
        <v>#DIV/0!</v>
      </c>
      <c r="V105" t="e">
        <f>+J105/5</f>
        <v>#DIV/0!</v>
      </c>
      <c r="W105" s="2" t="e">
        <f>IF(V105&lt;0,0,IF(V105&gt;2.375,2.375,V105))</f>
        <v>#DIV/0!</v>
      </c>
      <c r="X105" t="e">
        <f>(9.5-K105)/4</f>
        <v>#DIV/0!</v>
      </c>
      <c r="Y105" s="2" t="e">
        <f>IF(X105&lt;0,0,X105)</f>
        <v>#DIV/0!</v>
      </c>
    </row>
    <row r="106" spans="1:25" ht="12.75">
      <c r="A106" t="s">
        <v>107</v>
      </c>
      <c r="E106" s="12" t="e">
        <f>+D106/C106*100</f>
        <v>#DIV/0!</v>
      </c>
      <c r="J106" s="8" t="e">
        <f>+G106/C106*100</f>
        <v>#DIV/0!</v>
      </c>
      <c r="K106" s="12" t="e">
        <f>+I106/C106*100</f>
        <v>#DIV/0!</v>
      </c>
      <c r="L106" s="12" t="e">
        <f>+F106/C106</f>
        <v>#DIV/0!</v>
      </c>
      <c r="M106" s="12" t="e">
        <f>100*(S106+U106+W106+Y106)/6</f>
        <v>#DIV/0!</v>
      </c>
      <c r="R106" t="e">
        <f>+(E106-30)/20</f>
        <v>#DIV/0!</v>
      </c>
      <c r="S106" s="2" t="e">
        <f>IF(R106&lt;0,0,IF(R106&gt;2.375,2.375,R106))</f>
        <v>#DIV/0!</v>
      </c>
      <c r="T106" s="6" t="e">
        <f>+(L106-3)/4</f>
        <v>#DIV/0!</v>
      </c>
      <c r="U106" s="2" t="e">
        <f>IF(T106&lt;0,0,IF(T106&gt;2.375,2.375,T106))</f>
        <v>#DIV/0!</v>
      </c>
      <c r="V106" t="e">
        <f>+J106/5</f>
        <v>#DIV/0!</v>
      </c>
      <c r="W106" s="2" t="e">
        <f>IF(V106&lt;0,0,IF(V106&gt;2.375,2.375,V106))</f>
        <v>#DIV/0!</v>
      </c>
      <c r="X106" t="e">
        <f>(9.5-K106)/4</f>
        <v>#DIV/0!</v>
      </c>
      <c r="Y106" s="2" t="e">
        <f>IF(X106&lt;0,0,X106)</f>
        <v>#DIV/0!</v>
      </c>
    </row>
    <row r="109" spans="1:9" ht="12.75">
      <c r="A109" s="2" t="s">
        <v>67</v>
      </c>
      <c r="C109" s="3" t="s">
        <v>68</v>
      </c>
      <c r="D109" s="3" t="s">
        <v>69</v>
      </c>
      <c r="E109" s="3" t="s">
        <v>70</v>
      </c>
      <c r="F109" s="3" t="s">
        <v>49</v>
      </c>
      <c r="G109" s="3" t="s">
        <v>60</v>
      </c>
      <c r="H109" s="3" t="s">
        <v>51</v>
      </c>
      <c r="I109" s="3" t="s">
        <v>80</v>
      </c>
    </row>
    <row r="110" spans="1:9" ht="12.75">
      <c r="A110" t="s">
        <v>124</v>
      </c>
      <c r="C110">
        <v>3</v>
      </c>
      <c r="D110">
        <v>1</v>
      </c>
      <c r="E110">
        <v>12</v>
      </c>
      <c r="F110" s="12">
        <f>+E110/C110</f>
        <v>4</v>
      </c>
      <c r="G110">
        <v>8</v>
      </c>
      <c r="H110">
        <v>0</v>
      </c>
      <c r="I110">
        <v>0</v>
      </c>
    </row>
    <row r="111" spans="1:6" ht="12.75">
      <c r="A111" t="s">
        <v>123</v>
      </c>
      <c r="F111" s="12" t="e">
        <f>+E111/C111</f>
        <v>#DIV/0!</v>
      </c>
    </row>
    <row r="112" spans="1:6" ht="12.75">
      <c r="A112" t="s">
        <v>117</v>
      </c>
      <c r="F112" s="12" t="e">
        <f>+E112/C112</f>
        <v>#DIV/0!</v>
      </c>
    </row>
    <row r="114" spans="1:8" ht="12.75">
      <c r="A114" s="2" t="s">
        <v>30</v>
      </c>
      <c r="C114" s="3" t="s">
        <v>68</v>
      </c>
      <c r="D114" s="3" t="s">
        <v>70</v>
      </c>
      <c r="E114" s="3" t="s">
        <v>49</v>
      </c>
      <c r="F114" s="3" t="s">
        <v>60</v>
      </c>
      <c r="G114" s="3" t="s">
        <v>51</v>
      </c>
      <c r="H114" s="3" t="s">
        <v>80</v>
      </c>
    </row>
    <row r="115" spans="1:8" ht="12.75">
      <c r="A115" t="s">
        <v>114</v>
      </c>
      <c r="C115">
        <v>3</v>
      </c>
      <c r="D115">
        <v>48</v>
      </c>
      <c r="E115" s="12">
        <f aca="true" t="shared" si="2" ref="E115:E120">+D115/C115</f>
        <v>16</v>
      </c>
      <c r="F115">
        <v>21</v>
      </c>
      <c r="G115">
        <v>0</v>
      </c>
      <c r="H115">
        <v>0</v>
      </c>
    </row>
    <row r="116" spans="1:5" ht="12.75">
      <c r="A116" t="s">
        <v>125</v>
      </c>
      <c r="E116" s="12" t="e">
        <f t="shared" si="2"/>
        <v>#DIV/0!</v>
      </c>
    </row>
    <row r="117" spans="1:8" ht="12.75">
      <c r="A117" t="s">
        <v>116</v>
      </c>
      <c r="C117">
        <v>1</v>
      </c>
      <c r="D117">
        <v>21</v>
      </c>
      <c r="E117" s="12">
        <f t="shared" si="2"/>
        <v>21</v>
      </c>
      <c r="F117">
        <v>21</v>
      </c>
      <c r="G117">
        <v>0</v>
      </c>
      <c r="H117">
        <v>0</v>
      </c>
    </row>
    <row r="118" spans="1:5" ht="12.75">
      <c r="A118" t="s">
        <v>108</v>
      </c>
      <c r="E118" s="12" t="e">
        <f t="shared" si="2"/>
        <v>#DIV/0!</v>
      </c>
    </row>
    <row r="119" spans="1:8" ht="12.75">
      <c r="A119" t="s">
        <v>115</v>
      </c>
      <c r="C119">
        <v>1</v>
      </c>
      <c r="D119">
        <v>41</v>
      </c>
      <c r="E119" s="12">
        <f t="shared" si="2"/>
        <v>41</v>
      </c>
      <c r="F119">
        <v>41</v>
      </c>
      <c r="G119">
        <v>0</v>
      </c>
      <c r="H119">
        <v>0</v>
      </c>
    </row>
    <row r="120" spans="1:5" ht="12.75">
      <c r="A120" t="s">
        <v>121</v>
      </c>
      <c r="E120" s="12" t="e">
        <f t="shared" si="2"/>
        <v>#DIV/0!</v>
      </c>
    </row>
    <row r="122" spans="1:7" ht="12.75">
      <c r="A122" s="2" t="s">
        <v>71</v>
      </c>
      <c r="C122" s="3" t="s">
        <v>68</v>
      </c>
      <c r="D122" s="3" t="s">
        <v>70</v>
      </c>
      <c r="E122" s="3" t="s">
        <v>49</v>
      </c>
      <c r="F122" s="3" t="s">
        <v>60</v>
      </c>
      <c r="G122" s="3" t="s">
        <v>72</v>
      </c>
    </row>
    <row r="123" spans="1:7" ht="12.75">
      <c r="A123" t="s">
        <v>126</v>
      </c>
      <c r="C123">
        <v>10</v>
      </c>
      <c r="D123">
        <v>418</v>
      </c>
      <c r="E123" s="12">
        <f>+D123/C123</f>
        <v>41.8</v>
      </c>
      <c r="F123">
        <v>52</v>
      </c>
      <c r="G123">
        <v>0</v>
      </c>
    </row>
    <row r="124" spans="1:5" ht="12.75">
      <c r="A124" t="s">
        <v>113</v>
      </c>
      <c r="E124" s="12" t="e">
        <f>+D124/C124</f>
        <v>#DIV/0!</v>
      </c>
    </row>
    <row r="125" ht="12.75">
      <c r="I125" s="5" t="s">
        <v>63</v>
      </c>
    </row>
    <row r="126" spans="1:10" ht="12.75">
      <c r="A126" s="4" t="s">
        <v>79</v>
      </c>
      <c r="C126" s="3" t="s">
        <v>73</v>
      </c>
      <c r="D126" s="3" t="s">
        <v>74</v>
      </c>
      <c r="E126" s="3" t="s">
        <v>75</v>
      </c>
      <c r="F126" s="3" t="s">
        <v>76</v>
      </c>
      <c r="G126" s="3" t="s">
        <v>77</v>
      </c>
      <c r="H126" s="3" t="s">
        <v>78</v>
      </c>
      <c r="I126" s="3" t="s">
        <v>82</v>
      </c>
      <c r="J126" s="3" t="s">
        <v>60</v>
      </c>
    </row>
    <row r="127" spans="1:10" ht="12.75">
      <c r="A127" t="s">
        <v>127</v>
      </c>
      <c r="C127">
        <v>6</v>
      </c>
      <c r="D127">
        <v>0</v>
      </c>
      <c r="E127">
        <v>2</v>
      </c>
      <c r="F127">
        <v>2</v>
      </c>
      <c r="G127">
        <v>5</v>
      </c>
      <c r="H127">
        <v>4</v>
      </c>
      <c r="I127" s="12">
        <f>+H127/G127*100</f>
        <v>80</v>
      </c>
      <c r="J127">
        <v>32</v>
      </c>
    </row>
    <row r="129" spans="1:8" ht="12.75">
      <c r="A129" s="2" t="s">
        <v>81</v>
      </c>
      <c r="C129" s="3" t="s">
        <v>68</v>
      </c>
      <c r="D129" s="3" t="s">
        <v>70</v>
      </c>
      <c r="E129" s="3" t="s">
        <v>49</v>
      </c>
      <c r="F129" s="3" t="s">
        <v>60</v>
      </c>
      <c r="G129" s="3" t="s">
        <v>51</v>
      </c>
      <c r="H129" s="3" t="s">
        <v>80</v>
      </c>
    </row>
    <row r="130" spans="1:8" ht="12.75">
      <c r="A130" t="s">
        <v>128</v>
      </c>
      <c r="C130">
        <v>1</v>
      </c>
      <c r="D130">
        <v>-1</v>
      </c>
      <c r="E130" s="12">
        <f>+D130/C130</f>
        <v>-1</v>
      </c>
      <c r="F130">
        <v>-1</v>
      </c>
      <c r="G130">
        <v>0</v>
      </c>
      <c r="H130">
        <v>0</v>
      </c>
    </row>
    <row r="131" spans="1:5" ht="12.75">
      <c r="A131" t="s">
        <v>129</v>
      </c>
      <c r="E131" s="12" t="e">
        <f aca="true" t="shared" si="3" ref="E131:E138">+D131/C131</f>
        <v>#DIV/0!</v>
      </c>
    </row>
    <row r="132" spans="1:8" ht="12.75">
      <c r="A132" t="s">
        <v>130</v>
      </c>
      <c r="C132">
        <v>1</v>
      </c>
      <c r="D132">
        <v>0</v>
      </c>
      <c r="E132" s="12">
        <f t="shared" si="3"/>
        <v>0</v>
      </c>
      <c r="F132">
        <v>0</v>
      </c>
      <c r="G132">
        <v>0</v>
      </c>
      <c r="H132">
        <v>0</v>
      </c>
    </row>
    <row r="133" spans="1:8" ht="12.75">
      <c r="A133" t="s">
        <v>124</v>
      </c>
      <c r="C133">
        <v>1</v>
      </c>
      <c r="D133">
        <v>0</v>
      </c>
      <c r="E133" s="12">
        <f t="shared" si="3"/>
        <v>0</v>
      </c>
      <c r="F133">
        <v>0</v>
      </c>
      <c r="G133">
        <v>0</v>
      </c>
      <c r="H133">
        <v>0</v>
      </c>
    </row>
    <row r="134" spans="1:5" ht="12.75">
      <c r="A134" t="s">
        <v>131</v>
      </c>
      <c r="E134" s="12" t="e">
        <f t="shared" si="3"/>
        <v>#DIV/0!</v>
      </c>
    </row>
    <row r="135" spans="1:5" ht="12.75">
      <c r="A135" t="s">
        <v>132</v>
      </c>
      <c r="E135" s="12" t="e">
        <f t="shared" si="3"/>
        <v>#DIV/0!</v>
      </c>
    </row>
    <row r="136" spans="1:5" ht="12.75">
      <c r="A136" t="s">
        <v>133</v>
      </c>
      <c r="E136" s="12" t="e">
        <f t="shared" si="3"/>
        <v>#DIV/0!</v>
      </c>
    </row>
    <row r="137" spans="1:5" ht="12.75">
      <c r="A137" t="s">
        <v>134</v>
      </c>
      <c r="E137" s="12" t="e">
        <f t="shared" si="3"/>
        <v>#DIV/0!</v>
      </c>
    </row>
    <row r="138" spans="1:5" ht="12.75">
      <c r="A138" t="s">
        <v>135</v>
      </c>
      <c r="E138" s="12" t="e">
        <f t="shared" si="3"/>
        <v>#DIV/0!</v>
      </c>
    </row>
    <row r="139" ht="12.75">
      <c r="A139" t="s">
        <v>136</v>
      </c>
    </row>
    <row r="141" spans="1:4" ht="12.75">
      <c r="A141" s="2" t="s">
        <v>90</v>
      </c>
      <c r="C141" s="2" t="s">
        <v>68</v>
      </c>
      <c r="D141" s="2"/>
    </row>
    <row r="142" spans="1:3" ht="12.75">
      <c r="A142" t="s">
        <v>137</v>
      </c>
      <c r="C142">
        <v>1.5</v>
      </c>
    </row>
    <row r="143" spans="1:3" ht="12.75">
      <c r="A143" t="s">
        <v>134</v>
      </c>
      <c r="C143">
        <v>2</v>
      </c>
    </row>
    <row r="144" ht="12.75">
      <c r="A144" t="s">
        <v>138</v>
      </c>
    </row>
    <row r="145" spans="1:3" ht="12.75">
      <c r="A145" t="s">
        <v>136</v>
      </c>
      <c r="C145">
        <v>0.5</v>
      </c>
    </row>
    <row r="146" ht="12.75">
      <c r="A146" t="s">
        <v>139</v>
      </c>
    </row>
    <row r="147" ht="12.75">
      <c r="A147" t="s">
        <v>135</v>
      </c>
    </row>
    <row r="148" spans="1:3" ht="12.75">
      <c r="A148" t="s">
        <v>133</v>
      </c>
      <c r="C148">
        <v>1</v>
      </c>
    </row>
    <row r="149" ht="12.75">
      <c r="A149" t="s">
        <v>140</v>
      </c>
    </row>
    <row r="150" spans="1:3" ht="12.75">
      <c r="A150" t="s">
        <v>141</v>
      </c>
      <c r="C150">
        <v>1</v>
      </c>
    </row>
    <row r="151" ht="12.75">
      <c r="A151" t="s">
        <v>142</v>
      </c>
    </row>
    <row r="152" ht="12.75">
      <c r="A152" t="s">
        <v>143</v>
      </c>
    </row>
    <row r="153" ht="12.75">
      <c r="A153" t="s">
        <v>124</v>
      </c>
    </row>
    <row r="154" ht="12.75">
      <c r="A154" t="s">
        <v>129</v>
      </c>
    </row>
    <row r="155" ht="12.75">
      <c r="A155" t="s">
        <v>132</v>
      </c>
    </row>
    <row r="156" ht="12.75">
      <c r="A156" t="s">
        <v>144</v>
      </c>
    </row>
    <row r="158" spans="4:14" ht="12.75">
      <c r="D158" s="2" t="s">
        <v>84</v>
      </c>
      <c r="E158" s="2" t="s">
        <v>85</v>
      </c>
      <c r="M158" s="2" t="s">
        <v>84</v>
      </c>
      <c r="N158" s="2" t="s">
        <v>85</v>
      </c>
    </row>
    <row r="159" spans="1:13" ht="12.75">
      <c r="A159" t="s">
        <v>93</v>
      </c>
      <c r="D159">
        <v>14</v>
      </c>
      <c r="H159" t="s">
        <v>93</v>
      </c>
      <c r="M159">
        <v>13</v>
      </c>
    </row>
    <row r="160" spans="1:13" ht="12.75">
      <c r="A160" t="s">
        <v>94</v>
      </c>
      <c r="D160">
        <v>5</v>
      </c>
      <c r="H160" t="s">
        <v>94</v>
      </c>
      <c r="M160">
        <v>3</v>
      </c>
    </row>
    <row r="161" spans="1:13" ht="12.75">
      <c r="A161" t="s">
        <v>95</v>
      </c>
      <c r="D161">
        <f>D160/D159*100</f>
        <v>35.714285714285715</v>
      </c>
      <c r="H161" t="s">
        <v>95</v>
      </c>
      <c r="M161">
        <f>+M160/M159*100</f>
        <v>23.076923076923077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161"/>
  <sheetViews>
    <sheetView zoomScalePageLayoutView="0" workbookViewId="0" topLeftCell="A4">
      <selection activeCell="W102" sqref="W102:W106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109</v>
      </c>
      <c r="E1" s="2" t="s">
        <v>96</v>
      </c>
      <c r="F1" s="2" t="s">
        <v>97</v>
      </c>
    </row>
    <row r="2" ht="12.75">
      <c r="E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14</v>
      </c>
      <c r="H6" s="1" t="s">
        <v>29</v>
      </c>
      <c r="M6" s="2">
        <f>M7+M8+M9</f>
        <v>12</v>
      </c>
    </row>
    <row r="7" spans="1:13" ht="12.75">
      <c r="A7" s="1" t="s">
        <v>103</v>
      </c>
      <c r="D7" s="2">
        <v>4</v>
      </c>
      <c r="H7" s="1" t="s">
        <v>103</v>
      </c>
      <c r="M7" s="2">
        <v>6</v>
      </c>
    </row>
    <row r="8" spans="1:13" ht="12.75">
      <c r="A8" s="1" t="s">
        <v>105</v>
      </c>
      <c r="D8" s="2">
        <v>9</v>
      </c>
      <c r="H8" s="1" t="s">
        <v>105</v>
      </c>
      <c r="M8" s="2">
        <v>5</v>
      </c>
    </row>
    <row r="9" spans="1:13" ht="12.75">
      <c r="A9" s="1" t="s">
        <v>104</v>
      </c>
      <c r="D9" s="2">
        <v>1</v>
      </c>
      <c r="H9" s="1" t="s">
        <v>104</v>
      </c>
      <c r="M9" s="2">
        <v>1</v>
      </c>
    </row>
    <row r="11" spans="1:23" ht="12.75">
      <c r="A11" t="s">
        <v>1</v>
      </c>
      <c r="D11" s="2">
        <v>32</v>
      </c>
      <c r="H11" t="s">
        <v>1</v>
      </c>
      <c r="M11" s="2">
        <v>28</v>
      </c>
      <c r="V11">
        <f>+D11</f>
        <v>32</v>
      </c>
      <c r="W11">
        <f>+M11</f>
        <v>28</v>
      </c>
    </row>
    <row r="12" spans="1:23" ht="12.75">
      <c r="A12" t="s">
        <v>2</v>
      </c>
      <c r="D12" s="2">
        <v>72</v>
      </c>
      <c r="H12" t="s">
        <v>2</v>
      </c>
      <c r="M12" s="2">
        <v>121</v>
      </c>
      <c r="P12" s="13"/>
      <c r="U12" s="13"/>
      <c r="V12">
        <f>+D16</f>
        <v>13</v>
      </c>
      <c r="W12">
        <f>+M16</f>
        <v>16</v>
      </c>
    </row>
    <row r="13" spans="1:23" ht="12.75">
      <c r="A13" s="1" t="s">
        <v>3</v>
      </c>
      <c r="D13" s="8">
        <f>+D12/D11</f>
        <v>2.25</v>
      </c>
      <c r="H13" s="1" t="s">
        <v>3</v>
      </c>
      <c r="M13" s="8">
        <f>+M12/M11</f>
        <v>4.321428571428571</v>
      </c>
      <c r="V13">
        <f>+(D15-D16)/2</f>
        <v>4</v>
      </c>
      <c r="W13">
        <f>+(M15-M16)/2</f>
        <v>5.5</v>
      </c>
    </row>
    <row r="14" spans="22:23" ht="12.75">
      <c r="V14">
        <f>+D38/2</f>
        <v>3.5</v>
      </c>
      <c r="W14">
        <f>+M38/2</f>
        <v>3</v>
      </c>
    </row>
    <row r="15" spans="1:23" ht="12.75">
      <c r="A15" t="s">
        <v>4</v>
      </c>
      <c r="D15" s="2">
        <v>21</v>
      </c>
      <c r="H15" t="s">
        <v>4</v>
      </c>
      <c r="M15" s="2">
        <v>27</v>
      </c>
      <c r="V15">
        <f>+D42/2</f>
        <v>2.5</v>
      </c>
      <c r="W15">
        <f>+M42/2</f>
        <v>2</v>
      </c>
    </row>
    <row r="16" spans="1:23" ht="12.75">
      <c r="A16" t="s">
        <v>5</v>
      </c>
      <c r="D16" s="2">
        <v>13</v>
      </c>
      <c r="H16" t="s">
        <v>5</v>
      </c>
      <c r="M16" s="2">
        <v>16</v>
      </c>
      <c r="V16">
        <f>+D48/2</f>
        <v>1</v>
      </c>
      <c r="W16">
        <f>+M48/2</f>
        <v>1.5</v>
      </c>
    </row>
    <row r="17" spans="1:13" ht="12.75">
      <c r="A17" t="s">
        <v>6</v>
      </c>
      <c r="D17" s="8">
        <f>+D16/D15*100</f>
        <v>61.904761904761905</v>
      </c>
      <c r="H17" t="s">
        <v>6</v>
      </c>
      <c r="M17" s="8">
        <f>+M16/M15*100</f>
        <v>59.25925925925925</v>
      </c>
    </row>
    <row r="18" spans="1:24" ht="12.75">
      <c r="A18" t="s">
        <v>7</v>
      </c>
      <c r="D18" s="2">
        <v>192</v>
      </c>
      <c r="H18" t="s">
        <v>7</v>
      </c>
      <c r="M18" s="2">
        <v>152</v>
      </c>
      <c r="V18">
        <f>SUM(V11:V16)</f>
        <v>56</v>
      </c>
      <c r="W18">
        <f>SUM(W11:W16)</f>
        <v>56</v>
      </c>
      <c r="X18">
        <f>+W18+V18</f>
        <v>112</v>
      </c>
    </row>
    <row r="19" spans="1:23" ht="12.75">
      <c r="A19" t="s">
        <v>8</v>
      </c>
      <c r="D19" s="2">
        <v>6</v>
      </c>
      <c r="H19" t="s">
        <v>8</v>
      </c>
      <c r="M19" s="2">
        <v>4</v>
      </c>
      <c r="V19">
        <f>+V18/X18</f>
        <v>0.5</v>
      </c>
      <c r="W19">
        <f>+W18/X18</f>
        <v>0.5</v>
      </c>
    </row>
    <row r="20" spans="1:23" ht="12.75">
      <c r="A20" t="s">
        <v>9</v>
      </c>
      <c r="D20" s="2">
        <v>35</v>
      </c>
      <c r="H20" t="s">
        <v>9</v>
      </c>
      <c r="M20" s="2">
        <v>31</v>
      </c>
      <c r="V20">
        <f>+V19*60</f>
        <v>30</v>
      </c>
      <c r="W20">
        <f>+W19*60</f>
        <v>30</v>
      </c>
    </row>
    <row r="21" spans="1:23" ht="12.75">
      <c r="A21" t="s">
        <v>10</v>
      </c>
      <c r="D21">
        <f>+D18-D20</f>
        <v>157</v>
      </c>
      <c r="H21" t="s">
        <v>10</v>
      </c>
      <c r="M21">
        <f>+M18-M20</f>
        <v>121</v>
      </c>
      <c r="V21">
        <f>+V20-INT(V20)</f>
        <v>0</v>
      </c>
      <c r="W21">
        <f>+W20-INT(W20)</f>
        <v>0</v>
      </c>
    </row>
    <row r="22" spans="1:23" ht="12.75">
      <c r="A22" t="s">
        <v>11</v>
      </c>
      <c r="D22" s="7">
        <f>+D21/(D15+D19)</f>
        <v>5.814814814814815</v>
      </c>
      <c r="H22" t="s">
        <v>11</v>
      </c>
      <c r="M22" s="7">
        <f>+M21/(M15+M19)</f>
        <v>3.903225806451613</v>
      </c>
      <c r="V22">
        <f>+V21*60</f>
        <v>0</v>
      </c>
      <c r="W22">
        <f>+W21*60</f>
        <v>0</v>
      </c>
    </row>
    <row r="23" spans="1:23" ht="12.75">
      <c r="A23" t="s">
        <v>12</v>
      </c>
      <c r="D23" s="7">
        <f>+D18/D16</f>
        <v>14.76923076923077</v>
      </c>
      <c r="H23" t="s">
        <v>12</v>
      </c>
      <c r="M23" s="7">
        <f>+M18/M16</f>
        <v>9.5</v>
      </c>
      <c r="Q23" s="11"/>
      <c r="U23">
        <v>0</v>
      </c>
      <c r="V23" s="11">
        <f>ROUND(V22,0)</f>
        <v>0</v>
      </c>
      <c r="W23">
        <f>ROUND(W22,0)</f>
        <v>0</v>
      </c>
    </row>
    <row r="24" spans="22:23" ht="12.75">
      <c r="V24">
        <f>INT(V20)</f>
        <v>30</v>
      </c>
      <c r="W24">
        <f>INT(W20)</f>
        <v>30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229</v>
      </c>
      <c r="H26" t="s">
        <v>14</v>
      </c>
      <c r="M26">
        <f>+M21+M12</f>
        <v>242</v>
      </c>
      <c r="Q26" s="14"/>
      <c r="R26" s="9"/>
      <c r="V26" s="14" t="str">
        <f>+V24&amp;V25&amp;V23</f>
        <v>30:0</v>
      </c>
      <c r="W26" s="9" t="str">
        <f>+W24&amp;W25&amp;W23</f>
        <v>30:0</v>
      </c>
    </row>
    <row r="27" spans="1:23" ht="12.75">
      <c r="A27" t="s">
        <v>15</v>
      </c>
      <c r="D27" s="7">
        <f>+D12/D26*100</f>
        <v>31.4410480349345</v>
      </c>
      <c r="H27" t="s">
        <v>15</v>
      </c>
      <c r="M27" s="7">
        <f>+M12/M26*100</f>
        <v>50</v>
      </c>
      <c r="Q27" s="9"/>
      <c r="R27" s="9"/>
      <c r="V27" s="9" t="str">
        <f>IF(V23&lt;10,+V24&amp;V25&amp;$U$23&amp;V23,+V24&amp;V25&amp;V23)</f>
        <v>30:00</v>
      </c>
      <c r="W27" s="9" t="str">
        <f>IF(W23&lt;10,+W24&amp;W25&amp;$U$23&amp;W23,+W24&amp;W25&amp;W23)</f>
        <v>30:00</v>
      </c>
    </row>
    <row r="28" spans="1:16" ht="12.75">
      <c r="A28" s="1" t="s">
        <v>86</v>
      </c>
      <c r="D28" s="7">
        <f>+D21/D26*100</f>
        <v>68.5589519650655</v>
      </c>
      <c r="H28" s="1" t="s">
        <v>86</v>
      </c>
      <c r="M28" s="7">
        <f>+M21/M26*100</f>
        <v>50</v>
      </c>
      <c r="P28" s="13"/>
    </row>
    <row r="30" spans="1:13" ht="12.75">
      <c r="A30" t="s">
        <v>16</v>
      </c>
      <c r="D30">
        <f>+D11+D15+D19</f>
        <v>59</v>
      </c>
      <c r="H30" t="s">
        <v>16</v>
      </c>
      <c r="M30">
        <f>M11+M15+M19</f>
        <v>59</v>
      </c>
    </row>
    <row r="31" spans="1:13" ht="12.75">
      <c r="A31" t="s">
        <v>17</v>
      </c>
      <c r="D31" s="8">
        <f>+D26/D30</f>
        <v>3.8813559322033897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4.101694915254237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0</v>
      </c>
      <c r="H34" t="s">
        <v>19</v>
      </c>
      <c r="M34" s="2">
        <v>2</v>
      </c>
    </row>
    <row r="35" spans="1:13" ht="12.75">
      <c r="A35" t="s">
        <v>20</v>
      </c>
      <c r="D35" s="2">
        <v>0</v>
      </c>
      <c r="H35" t="s">
        <v>20</v>
      </c>
      <c r="M35" s="2">
        <v>11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7</v>
      </c>
      <c r="H38" t="s">
        <v>22</v>
      </c>
      <c r="M38" s="2">
        <v>6</v>
      </c>
    </row>
    <row r="39" spans="1:13" ht="12.75">
      <c r="A39" t="s">
        <v>23</v>
      </c>
      <c r="D39" s="2">
        <v>295</v>
      </c>
      <c r="H39" t="s">
        <v>23</v>
      </c>
      <c r="M39" s="2">
        <v>257</v>
      </c>
    </row>
    <row r="40" spans="1:13" ht="12.75">
      <c r="A40" t="s">
        <v>24</v>
      </c>
      <c r="D40" s="8">
        <f>+D39/D38</f>
        <v>42.142857142857146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42.833333333333336</v>
      </c>
    </row>
    <row r="42" spans="1:13" ht="12.75">
      <c r="A42" t="s">
        <v>25</v>
      </c>
      <c r="D42" s="2">
        <v>5</v>
      </c>
      <c r="H42" t="s">
        <v>25</v>
      </c>
      <c r="M42" s="2">
        <v>4</v>
      </c>
    </row>
    <row r="43" spans="1:13" ht="12.75">
      <c r="A43" t="s">
        <v>26</v>
      </c>
      <c r="D43" s="2">
        <v>50</v>
      </c>
      <c r="H43" t="s">
        <v>26</v>
      </c>
      <c r="M43" s="2">
        <v>18</v>
      </c>
    </row>
    <row r="44" spans="1:13" ht="12.75">
      <c r="A44" t="s">
        <v>27</v>
      </c>
      <c r="D44" s="8">
        <f>+D43/D42</f>
        <v>10</v>
      </c>
      <c r="H44" t="s">
        <v>27</v>
      </c>
      <c r="M44" s="8">
        <f>+M43/M42</f>
        <v>4.5</v>
      </c>
    </row>
    <row r="45" spans="1:13" ht="12.75">
      <c r="A45" t="s">
        <v>106</v>
      </c>
      <c r="D45" s="2">
        <v>1</v>
      </c>
      <c r="H45" t="s">
        <v>106</v>
      </c>
      <c r="M45" s="2">
        <v>1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2</v>
      </c>
      <c r="H48" t="s">
        <v>30</v>
      </c>
      <c r="M48" s="2">
        <v>3</v>
      </c>
    </row>
    <row r="49" spans="1:13" ht="12.75">
      <c r="A49" t="s">
        <v>26</v>
      </c>
      <c r="D49" s="2">
        <v>60</v>
      </c>
      <c r="H49" t="s">
        <v>26</v>
      </c>
      <c r="M49" s="2">
        <v>60</v>
      </c>
    </row>
    <row r="50" spans="1:13" ht="12.75">
      <c r="A50" t="s">
        <v>27</v>
      </c>
      <c r="D50" s="8">
        <f>+D49/D48</f>
        <v>30</v>
      </c>
      <c r="H50" t="s">
        <v>27</v>
      </c>
      <c r="M50" s="8">
        <f>+M49/M48</f>
        <v>20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2</v>
      </c>
      <c r="H53" t="s">
        <v>31</v>
      </c>
      <c r="M53" s="2">
        <v>4</v>
      </c>
    </row>
    <row r="54" spans="1:13" ht="12.75">
      <c r="A54" t="s">
        <v>32</v>
      </c>
      <c r="D54" s="2">
        <v>15</v>
      </c>
      <c r="H54" t="s">
        <v>32</v>
      </c>
      <c r="M54" s="2">
        <v>40</v>
      </c>
    </row>
    <row r="56" spans="1:13" ht="12.75">
      <c r="A56" t="s">
        <v>33</v>
      </c>
      <c r="D56" s="2">
        <v>2</v>
      </c>
      <c r="H56" t="s">
        <v>33</v>
      </c>
      <c r="M56" s="2">
        <v>0</v>
      </c>
    </row>
    <row r="57" spans="1:13" ht="12.75">
      <c r="A57" t="s">
        <v>101</v>
      </c>
      <c r="D57" s="2">
        <v>1</v>
      </c>
      <c r="H57" t="s">
        <v>101</v>
      </c>
      <c r="M57" s="2">
        <v>0</v>
      </c>
    </row>
    <row r="59" spans="1:13" ht="12.75">
      <c r="A59" t="s">
        <v>34</v>
      </c>
      <c r="D59" s="2">
        <v>16</v>
      </c>
      <c r="H59" t="s">
        <v>34</v>
      </c>
      <c r="M59" s="2">
        <v>6</v>
      </c>
    </row>
    <row r="60" spans="1:13" ht="12.75">
      <c r="A60" t="s">
        <v>35</v>
      </c>
      <c r="D60" s="2">
        <v>1</v>
      </c>
      <c r="H60" t="s">
        <v>35</v>
      </c>
      <c r="M60" s="2">
        <v>0</v>
      </c>
    </row>
    <row r="61" spans="1:13" ht="12.75">
      <c r="A61" t="s">
        <v>36</v>
      </c>
      <c r="D61" s="2">
        <v>0</v>
      </c>
      <c r="H61" t="s">
        <v>36</v>
      </c>
      <c r="M61" s="2">
        <v>0</v>
      </c>
    </row>
    <row r="62" spans="1:13" ht="12.75">
      <c r="A62" t="s">
        <v>37</v>
      </c>
      <c r="D62" s="2">
        <v>1</v>
      </c>
      <c r="H62" t="s">
        <v>37</v>
      </c>
      <c r="M62" s="2">
        <v>0</v>
      </c>
    </row>
    <row r="63" spans="1:13" ht="12.75">
      <c r="A63" t="s">
        <v>38</v>
      </c>
      <c r="D63" s="2">
        <v>0</v>
      </c>
      <c r="H63" t="s">
        <v>38</v>
      </c>
      <c r="M63" s="2">
        <v>0</v>
      </c>
    </row>
    <row r="64" spans="1:13" ht="12.75">
      <c r="A64" t="s">
        <v>39</v>
      </c>
      <c r="D64" s="2">
        <v>1</v>
      </c>
      <c r="H64" t="s">
        <v>39</v>
      </c>
      <c r="M64" s="2">
        <v>0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3</v>
      </c>
      <c r="H66" t="s">
        <v>41</v>
      </c>
      <c r="M66" s="2">
        <v>2</v>
      </c>
    </row>
    <row r="67" spans="1:13" ht="12.75">
      <c r="A67" t="s">
        <v>42</v>
      </c>
      <c r="D67" s="2">
        <v>3</v>
      </c>
      <c r="H67" t="s">
        <v>42</v>
      </c>
      <c r="M67" s="2">
        <v>3</v>
      </c>
    </row>
    <row r="68" spans="1:13" ht="12.75">
      <c r="A68" t="s">
        <v>43</v>
      </c>
      <c r="D68" s="8">
        <f>+D66/D67*100</f>
        <v>100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66.66666666666666</v>
      </c>
    </row>
    <row r="69" spans="1:13" ht="12.75">
      <c r="A69" t="s">
        <v>89</v>
      </c>
      <c r="D69" s="10" t="str">
        <f>IF(V23&lt;10,V27,V26)</f>
        <v>30:00</v>
      </c>
      <c r="E69" s="8"/>
      <c r="F69" s="8"/>
      <c r="H69" t="s">
        <v>89</v>
      </c>
      <c r="M69" s="10" t="str">
        <f>IF(W23&lt;10,W27,W26)</f>
        <v>30:00</v>
      </c>
    </row>
    <row r="70" spans="1:13" ht="12.75">
      <c r="A70" t="s">
        <v>102</v>
      </c>
      <c r="D70" s="23">
        <f>D161</f>
        <v>35.714285714285715</v>
      </c>
      <c r="E70" s="8"/>
      <c r="F70" s="8"/>
      <c r="H70" t="s">
        <v>102</v>
      </c>
      <c r="M70" s="23">
        <f>M161</f>
        <v>23.076923076923077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2" t="s">
        <v>80</v>
      </c>
    </row>
    <row r="74" spans="1:8" ht="12.75">
      <c r="A74" t="s">
        <v>110</v>
      </c>
      <c r="C74">
        <v>17</v>
      </c>
      <c r="D74">
        <v>62</v>
      </c>
      <c r="E74" s="12">
        <f aca="true" t="shared" si="0" ref="E74:E84">+D74/C74</f>
        <v>3.6470588235294117</v>
      </c>
      <c r="F74">
        <v>11</v>
      </c>
      <c r="G74">
        <v>0</v>
      </c>
      <c r="H74">
        <v>0</v>
      </c>
    </row>
    <row r="75" spans="1:8" ht="12.75">
      <c r="A75" t="s">
        <v>111</v>
      </c>
      <c r="C75">
        <v>11</v>
      </c>
      <c r="D75">
        <v>13</v>
      </c>
      <c r="E75" s="12">
        <f t="shared" si="0"/>
        <v>1.1818181818181819</v>
      </c>
      <c r="F75">
        <v>8</v>
      </c>
      <c r="G75">
        <v>0</v>
      </c>
      <c r="H75">
        <v>0</v>
      </c>
    </row>
    <row r="76" spans="1:5" ht="12.75">
      <c r="A76" t="s">
        <v>112</v>
      </c>
      <c r="E76" s="12" t="e">
        <f t="shared" si="0"/>
        <v>#DIV/0!</v>
      </c>
    </row>
    <row r="77" spans="1:8" ht="12.75">
      <c r="A77" t="s">
        <v>113</v>
      </c>
      <c r="C77">
        <v>1</v>
      </c>
      <c r="D77">
        <v>0</v>
      </c>
      <c r="E77" s="12">
        <f t="shared" si="0"/>
        <v>0</v>
      </c>
      <c r="F77">
        <v>0</v>
      </c>
      <c r="G77">
        <v>0</v>
      </c>
      <c r="H77">
        <v>0</v>
      </c>
    </row>
    <row r="78" spans="1:8" ht="12.75">
      <c r="A78" t="s">
        <v>108</v>
      </c>
      <c r="C78">
        <v>1</v>
      </c>
      <c r="D78">
        <v>-1</v>
      </c>
      <c r="E78" s="12">
        <f t="shared" si="0"/>
        <v>-1</v>
      </c>
      <c r="F78">
        <v>-1</v>
      </c>
      <c r="G78">
        <v>0</v>
      </c>
      <c r="H78">
        <v>1</v>
      </c>
    </row>
    <row r="79" spans="1:8" ht="12.75">
      <c r="A79" t="s">
        <v>114</v>
      </c>
      <c r="C79">
        <v>2</v>
      </c>
      <c r="D79">
        <v>-2</v>
      </c>
      <c r="E79" s="12">
        <f t="shared" si="0"/>
        <v>-1</v>
      </c>
      <c r="F79">
        <v>0</v>
      </c>
      <c r="G79">
        <v>0</v>
      </c>
      <c r="H79">
        <v>0</v>
      </c>
    </row>
    <row r="80" spans="1:5" ht="12.75">
      <c r="A80" t="s">
        <v>115</v>
      </c>
      <c r="E80" s="12" t="e">
        <f t="shared" si="0"/>
        <v>#DIV/0!</v>
      </c>
    </row>
    <row r="81" spans="1:5" ht="12.75">
      <c r="A81" t="s">
        <v>116</v>
      </c>
      <c r="E81" s="12" t="e">
        <f t="shared" si="0"/>
        <v>#DIV/0!</v>
      </c>
    </row>
    <row r="82" spans="1:5" ht="12.75">
      <c r="A82" t="s">
        <v>117</v>
      </c>
      <c r="E82" s="12" t="e">
        <f t="shared" si="0"/>
        <v>#DIV/0!</v>
      </c>
    </row>
    <row r="83" spans="1:5" ht="12.75">
      <c r="A83" t="s">
        <v>118</v>
      </c>
      <c r="E83" s="12" t="e">
        <f t="shared" si="0"/>
        <v>#DIV/0!</v>
      </c>
    </row>
    <row r="84" spans="1:5" ht="12.75">
      <c r="A84" t="s">
        <v>107</v>
      </c>
      <c r="E84" s="12" t="e">
        <f t="shared" si="0"/>
        <v>#DIV/0!</v>
      </c>
    </row>
    <row r="85" ht="12.75">
      <c r="E85" s="8"/>
    </row>
    <row r="86" spans="1:8" ht="12.75">
      <c r="A86" s="2" t="s">
        <v>52</v>
      </c>
      <c r="C86" s="3" t="s">
        <v>53</v>
      </c>
      <c r="D86" s="3" t="s">
        <v>48</v>
      </c>
      <c r="E86" s="15" t="s">
        <v>49</v>
      </c>
      <c r="F86" s="3" t="s">
        <v>50</v>
      </c>
      <c r="G86" s="3" t="s">
        <v>51</v>
      </c>
      <c r="H86" s="3" t="s">
        <v>80</v>
      </c>
    </row>
    <row r="87" spans="1:8" ht="12.75">
      <c r="A87" t="s">
        <v>107</v>
      </c>
      <c r="C87">
        <v>2</v>
      </c>
      <c r="D87">
        <v>45</v>
      </c>
      <c r="E87" s="12">
        <f aca="true" t="shared" si="1" ref="E87:E98">+D87/C87</f>
        <v>22.5</v>
      </c>
      <c r="F87">
        <v>26</v>
      </c>
      <c r="G87">
        <v>1</v>
      </c>
      <c r="H87">
        <v>0</v>
      </c>
    </row>
    <row r="88" spans="1:8" ht="12.75">
      <c r="A88" t="s">
        <v>119</v>
      </c>
      <c r="C88">
        <v>3</v>
      </c>
      <c r="D88">
        <v>31</v>
      </c>
      <c r="E88" s="12">
        <f t="shared" si="1"/>
        <v>10.333333333333334</v>
      </c>
      <c r="F88">
        <v>17</v>
      </c>
      <c r="G88">
        <v>0</v>
      </c>
      <c r="H88">
        <v>0</v>
      </c>
    </row>
    <row r="89" spans="1:8" ht="12.75">
      <c r="A89" t="s">
        <v>120</v>
      </c>
      <c r="C89">
        <v>2</v>
      </c>
      <c r="D89">
        <v>27</v>
      </c>
      <c r="E89" s="12">
        <f t="shared" si="1"/>
        <v>13.5</v>
      </c>
      <c r="F89">
        <v>20</v>
      </c>
      <c r="G89">
        <v>0</v>
      </c>
      <c r="H89">
        <v>0</v>
      </c>
    </row>
    <row r="90" spans="1:8" ht="12.75">
      <c r="A90" t="s">
        <v>110</v>
      </c>
      <c r="C90">
        <v>1</v>
      </c>
      <c r="D90">
        <v>33</v>
      </c>
      <c r="E90" s="12">
        <f t="shared" si="1"/>
        <v>33</v>
      </c>
      <c r="F90">
        <v>33</v>
      </c>
      <c r="G90">
        <v>0</v>
      </c>
      <c r="H90">
        <v>0</v>
      </c>
    </row>
    <row r="91" spans="1:8" ht="12.75">
      <c r="A91" t="s">
        <v>111</v>
      </c>
      <c r="C91">
        <v>1</v>
      </c>
      <c r="D91">
        <v>8</v>
      </c>
      <c r="E91" s="12">
        <f t="shared" si="1"/>
        <v>8</v>
      </c>
      <c r="F91">
        <v>8</v>
      </c>
      <c r="G91">
        <v>0</v>
      </c>
      <c r="H91">
        <v>0</v>
      </c>
    </row>
    <row r="92" spans="1:8" ht="12.75">
      <c r="A92" t="s">
        <v>116</v>
      </c>
      <c r="C92">
        <v>2</v>
      </c>
      <c r="D92">
        <v>39</v>
      </c>
      <c r="E92" s="12">
        <f t="shared" si="1"/>
        <v>19.5</v>
      </c>
      <c r="F92">
        <v>35</v>
      </c>
      <c r="G92">
        <v>0</v>
      </c>
      <c r="H92">
        <v>0</v>
      </c>
    </row>
    <row r="93" spans="1:8" ht="12.75">
      <c r="A93" t="s">
        <v>121</v>
      </c>
      <c r="C93">
        <v>1</v>
      </c>
      <c r="D93">
        <v>10</v>
      </c>
      <c r="E93" s="12">
        <f t="shared" si="1"/>
        <v>10</v>
      </c>
      <c r="F93">
        <v>10</v>
      </c>
      <c r="G93">
        <v>0</v>
      </c>
      <c r="H93">
        <v>0</v>
      </c>
    </row>
    <row r="94" spans="1:5" ht="12.75">
      <c r="A94" t="s">
        <v>122</v>
      </c>
      <c r="E94" s="12" t="e">
        <f t="shared" si="1"/>
        <v>#DIV/0!</v>
      </c>
    </row>
    <row r="95" spans="1:8" ht="12.75">
      <c r="A95" t="s">
        <v>115</v>
      </c>
      <c r="C95">
        <v>1</v>
      </c>
      <c r="D95">
        <v>-1</v>
      </c>
      <c r="E95" s="12">
        <f t="shared" si="1"/>
        <v>-1</v>
      </c>
      <c r="F95">
        <v>-1</v>
      </c>
      <c r="G95">
        <v>0</v>
      </c>
      <c r="H95">
        <v>0</v>
      </c>
    </row>
    <row r="96" spans="1:5" ht="12.75">
      <c r="A96" t="s">
        <v>123</v>
      </c>
      <c r="E96" s="12" t="e">
        <f t="shared" si="1"/>
        <v>#DIV/0!</v>
      </c>
    </row>
    <row r="97" spans="1:5" ht="12.75">
      <c r="A97" t="s">
        <v>113</v>
      </c>
      <c r="E97" s="12" t="e">
        <f t="shared" si="1"/>
        <v>#DIV/0!</v>
      </c>
    </row>
    <row r="98" spans="1:5" ht="12.75">
      <c r="A98" t="s">
        <v>114</v>
      </c>
      <c r="E98" s="12" t="e">
        <f t="shared" si="1"/>
        <v>#DIV/0!</v>
      </c>
    </row>
    <row r="99" ht="12.75">
      <c r="E99" s="8"/>
    </row>
    <row r="100" spans="1:13" ht="12.75">
      <c r="A100" s="2"/>
      <c r="B100" s="2"/>
      <c r="C100" s="3"/>
      <c r="D100" s="3"/>
      <c r="E100" s="15" t="s">
        <v>57</v>
      </c>
      <c r="F100" s="3" t="s">
        <v>58</v>
      </c>
      <c r="G100" s="3"/>
      <c r="H100" s="3"/>
      <c r="I100" s="3" t="s">
        <v>61</v>
      </c>
      <c r="J100" s="3" t="s">
        <v>63</v>
      </c>
      <c r="K100" s="3" t="s">
        <v>57</v>
      </c>
      <c r="L100" s="3" t="s">
        <v>49</v>
      </c>
      <c r="M100" s="3"/>
    </row>
    <row r="101" spans="1:14" ht="12.75">
      <c r="A101" s="2" t="s">
        <v>54</v>
      </c>
      <c r="B101" s="2"/>
      <c r="C101" s="3" t="s">
        <v>55</v>
      </c>
      <c r="D101" s="3" t="s">
        <v>56</v>
      </c>
      <c r="E101" s="15" t="s">
        <v>56</v>
      </c>
      <c r="F101" s="3" t="s">
        <v>59</v>
      </c>
      <c r="G101" s="3" t="s">
        <v>51</v>
      </c>
      <c r="H101" s="3" t="s">
        <v>60</v>
      </c>
      <c r="I101" s="5" t="s">
        <v>62</v>
      </c>
      <c r="J101" s="3" t="s">
        <v>51</v>
      </c>
      <c r="K101" s="3" t="s">
        <v>64</v>
      </c>
      <c r="L101" s="3" t="s">
        <v>65</v>
      </c>
      <c r="M101" s="3" t="s">
        <v>66</v>
      </c>
      <c r="N101" s="3" t="s">
        <v>80</v>
      </c>
    </row>
    <row r="102" spans="1:25" ht="12.75">
      <c r="A102" t="s">
        <v>113</v>
      </c>
      <c r="C102">
        <v>21</v>
      </c>
      <c r="D102">
        <v>13</v>
      </c>
      <c r="E102" s="12">
        <f>+D102/C102*100</f>
        <v>61.904761904761905</v>
      </c>
      <c r="F102">
        <v>192</v>
      </c>
      <c r="G102">
        <v>1</v>
      </c>
      <c r="H102">
        <v>35</v>
      </c>
      <c r="I102">
        <v>0</v>
      </c>
      <c r="J102" s="8">
        <f>+G102/C102*100</f>
        <v>4.761904761904762</v>
      </c>
      <c r="K102" s="12">
        <f>+I102/C102*100</f>
        <v>0</v>
      </c>
      <c r="L102" s="12">
        <f>+F102/C102</f>
        <v>9.142857142857142</v>
      </c>
      <c r="M102" s="12">
        <f>100*(S102+U102+W102+Y102)/6</f>
        <v>107.63888888888887</v>
      </c>
      <c r="N102">
        <v>1</v>
      </c>
      <c r="R102">
        <f>+(E102-30)/20</f>
        <v>1.5952380952380953</v>
      </c>
      <c r="S102" s="2">
        <f>IF(R102&lt;0,0,IF(R102&gt;2.375,2.375,R102))</f>
        <v>1.5952380952380953</v>
      </c>
      <c r="T102" s="6">
        <f>+(L102-3)/4</f>
        <v>1.5357142857142856</v>
      </c>
      <c r="U102" s="2">
        <f>IF(T102&lt;0,0,IF(T102&gt;2.375,2.375,T102))</f>
        <v>1.5357142857142856</v>
      </c>
      <c r="V102">
        <f>+J102/5</f>
        <v>0.9523809523809523</v>
      </c>
      <c r="W102" s="2">
        <f>IF(V102&lt;0,0,IF(V102&gt;2.375,2.375,V102))</f>
        <v>0.9523809523809523</v>
      </c>
      <c r="X102">
        <f>(9.5-K102)/4</f>
        <v>2.375</v>
      </c>
      <c r="Y102" s="2">
        <f>IF(X102&lt;0,0,X102)</f>
        <v>2.375</v>
      </c>
    </row>
    <row r="103" spans="1:25" ht="12.75">
      <c r="A103" t="s">
        <v>112</v>
      </c>
      <c r="E103" s="12" t="e">
        <f>+D103/C103*100</f>
        <v>#DIV/0!</v>
      </c>
      <c r="J103" s="8" t="e">
        <f>+G103/C103*100</f>
        <v>#DIV/0!</v>
      </c>
      <c r="K103" s="12" t="e">
        <f>+I103/C103*100</f>
        <v>#DIV/0!</v>
      </c>
      <c r="L103" s="12" t="e">
        <f>+F103/C103</f>
        <v>#DIV/0!</v>
      </c>
      <c r="M103" s="12" t="e">
        <f>100*(S103+U103+W103+Y103)/6</f>
        <v>#DIV/0!</v>
      </c>
      <c r="R103" t="e">
        <f>+(E103-30)/20</f>
        <v>#DIV/0!</v>
      </c>
      <c r="S103" s="2" t="e">
        <f>IF(R103&lt;0,0,IF(R103&gt;2.375,2.375,R103))</f>
        <v>#DIV/0!</v>
      </c>
      <c r="T103" s="6" t="e">
        <f>+(L103-3)/4</f>
        <v>#DIV/0!</v>
      </c>
      <c r="U103" s="2" t="e">
        <f>IF(T103&lt;0,0,IF(T103&gt;2.375,2.375,T103))</f>
        <v>#DIV/0!</v>
      </c>
      <c r="V103" t="e">
        <f>+J103/5</f>
        <v>#DIV/0!</v>
      </c>
      <c r="W103" s="2" t="e">
        <f>IF(V103&lt;0,0,IF(V103&gt;2.375,2.375,V103))</f>
        <v>#DIV/0!</v>
      </c>
      <c r="X103" t="e">
        <f>(9.5-K103)/4</f>
        <v>#DIV/0!</v>
      </c>
      <c r="Y103" s="2" t="e">
        <f>IF(X103&lt;0,0,X103)</f>
        <v>#DIV/0!</v>
      </c>
    </row>
    <row r="104" spans="1:25" ht="12.75">
      <c r="A104" t="s">
        <v>118</v>
      </c>
      <c r="E104" s="12" t="e">
        <f>+D104/C104*100</f>
        <v>#DIV/0!</v>
      </c>
      <c r="J104" s="8" t="e">
        <f>+G104/C104*100</f>
        <v>#DIV/0!</v>
      </c>
      <c r="K104" s="12" t="e">
        <f>+I104/C104*100</f>
        <v>#DIV/0!</v>
      </c>
      <c r="L104" s="12" t="e">
        <f>+F104/C104</f>
        <v>#DIV/0!</v>
      </c>
      <c r="M104" s="12" t="e">
        <f>100*(S104+U104+W104+Y104)/6</f>
        <v>#DIV/0!</v>
      </c>
      <c r="R104" t="e">
        <f>+(E104-30)/20</f>
        <v>#DIV/0!</v>
      </c>
      <c r="S104" s="2" t="e">
        <f>IF(R104&lt;0,0,IF(R104&gt;2.375,2.375,R104))</f>
        <v>#DIV/0!</v>
      </c>
      <c r="T104" s="6" t="e">
        <f>+(L104-3)/4</f>
        <v>#DIV/0!</v>
      </c>
      <c r="U104" s="2" t="e">
        <f>IF(T104&lt;0,0,IF(T104&gt;2.375,2.375,T104))</f>
        <v>#DIV/0!</v>
      </c>
      <c r="V104" t="e">
        <f>+J104/5</f>
        <v>#DIV/0!</v>
      </c>
      <c r="W104" s="2" t="e">
        <f>IF(V104&lt;0,0,IF(V104&gt;2.375,2.375,V104))</f>
        <v>#DIV/0!</v>
      </c>
      <c r="X104" t="e">
        <f>(9.5-K104)/4</f>
        <v>#DIV/0!</v>
      </c>
      <c r="Y104" s="2" t="e">
        <f>IF(X104&lt;0,0,X104)</f>
        <v>#DIV/0!</v>
      </c>
    </row>
    <row r="105" spans="1:25" ht="12.75">
      <c r="A105" t="s">
        <v>116</v>
      </c>
      <c r="E105" s="12" t="e">
        <f>+D105/C105*100</f>
        <v>#DIV/0!</v>
      </c>
      <c r="J105" s="8" t="e">
        <f>+G105/C105*100</f>
        <v>#DIV/0!</v>
      </c>
      <c r="K105" s="12" t="e">
        <f>+I105/C105*100</f>
        <v>#DIV/0!</v>
      </c>
      <c r="L105" s="12" t="e">
        <f>+F105/C105</f>
        <v>#DIV/0!</v>
      </c>
      <c r="M105" s="12" t="e">
        <f>100*(S105+U105+W105+Y105)/6</f>
        <v>#DIV/0!</v>
      </c>
      <c r="R105" t="e">
        <f>+(E105-30)/20</f>
        <v>#DIV/0!</v>
      </c>
      <c r="S105" s="2" t="e">
        <f>IF(R105&lt;0,0,IF(R105&gt;2.375,2.375,R105))</f>
        <v>#DIV/0!</v>
      </c>
      <c r="T105" s="6" t="e">
        <f>+(L105-3)/4</f>
        <v>#DIV/0!</v>
      </c>
      <c r="U105" s="2" t="e">
        <f>IF(T105&lt;0,0,IF(T105&gt;2.375,2.375,T105))</f>
        <v>#DIV/0!</v>
      </c>
      <c r="V105" t="e">
        <f>+J105/5</f>
        <v>#DIV/0!</v>
      </c>
      <c r="W105" s="2" t="e">
        <f>IF(V105&lt;0,0,IF(V105&gt;2.375,2.375,V105))</f>
        <v>#DIV/0!</v>
      </c>
      <c r="X105" t="e">
        <f>(9.5-K105)/4</f>
        <v>#DIV/0!</v>
      </c>
      <c r="Y105" s="2" t="e">
        <f>IF(X105&lt;0,0,X105)</f>
        <v>#DIV/0!</v>
      </c>
    </row>
    <row r="106" spans="1:25" ht="12.75">
      <c r="A106" t="s">
        <v>107</v>
      </c>
      <c r="E106" s="12" t="e">
        <f>+D106/C106*100</f>
        <v>#DIV/0!</v>
      </c>
      <c r="J106" s="8" t="e">
        <f>+G106/C106*100</f>
        <v>#DIV/0!</v>
      </c>
      <c r="K106" s="12" t="e">
        <f>+I106/C106*100</f>
        <v>#DIV/0!</v>
      </c>
      <c r="L106" s="12" t="e">
        <f>+F106/C106</f>
        <v>#DIV/0!</v>
      </c>
      <c r="M106" s="12" t="e">
        <f>100*(S106+U106+W106+Y106)/6</f>
        <v>#DIV/0!</v>
      </c>
      <c r="R106" t="e">
        <f>+(E106-30)/20</f>
        <v>#DIV/0!</v>
      </c>
      <c r="S106" s="2" t="e">
        <f>IF(R106&lt;0,0,IF(R106&gt;2.375,2.375,R106))</f>
        <v>#DIV/0!</v>
      </c>
      <c r="T106" s="6" t="e">
        <f>+(L106-3)/4</f>
        <v>#DIV/0!</v>
      </c>
      <c r="U106" s="2" t="e">
        <f>IF(T106&lt;0,0,IF(T106&gt;2.375,2.375,T106))</f>
        <v>#DIV/0!</v>
      </c>
      <c r="V106" t="e">
        <f>+J106/5</f>
        <v>#DIV/0!</v>
      </c>
      <c r="W106" s="2" t="e">
        <f>IF(V106&lt;0,0,IF(V106&gt;2.375,2.375,V106))</f>
        <v>#DIV/0!</v>
      </c>
      <c r="X106" t="e">
        <f>(9.5-K106)/4</f>
        <v>#DIV/0!</v>
      </c>
      <c r="Y106" s="2" t="e">
        <f>IF(X106&lt;0,0,X106)</f>
        <v>#DIV/0!</v>
      </c>
    </row>
    <row r="109" spans="1:9" ht="12.75">
      <c r="A109" s="2" t="s">
        <v>67</v>
      </c>
      <c r="C109" s="3" t="s">
        <v>68</v>
      </c>
      <c r="D109" s="3" t="s">
        <v>69</v>
      </c>
      <c r="E109" s="3" t="s">
        <v>70</v>
      </c>
      <c r="F109" s="3" t="s">
        <v>49</v>
      </c>
      <c r="G109" s="3" t="s">
        <v>60</v>
      </c>
      <c r="H109" s="3" t="s">
        <v>51</v>
      </c>
      <c r="I109" s="3" t="s">
        <v>80</v>
      </c>
    </row>
    <row r="110" spans="1:6" ht="12.75">
      <c r="A110" t="s">
        <v>124</v>
      </c>
      <c r="F110" s="12" t="e">
        <f>+E110/C110</f>
        <v>#DIV/0!</v>
      </c>
    </row>
    <row r="111" spans="1:9" ht="12.75">
      <c r="A111" t="s">
        <v>123</v>
      </c>
      <c r="C111">
        <v>5</v>
      </c>
      <c r="D111">
        <v>1</v>
      </c>
      <c r="E111">
        <v>50</v>
      </c>
      <c r="F111" s="12">
        <f>+E111/C111</f>
        <v>10</v>
      </c>
      <c r="G111">
        <v>26</v>
      </c>
      <c r="H111">
        <v>0</v>
      </c>
      <c r="I111">
        <v>0</v>
      </c>
    </row>
    <row r="112" spans="1:6" ht="12.75">
      <c r="A112" t="s">
        <v>117</v>
      </c>
      <c r="F112" s="12" t="e">
        <f>+E112/C112</f>
        <v>#DIV/0!</v>
      </c>
    </row>
    <row r="114" spans="1:8" ht="12.75">
      <c r="A114" s="2" t="s">
        <v>30</v>
      </c>
      <c r="C114" s="3" t="s">
        <v>68</v>
      </c>
      <c r="D114" s="3" t="s">
        <v>70</v>
      </c>
      <c r="E114" s="3" t="s">
        <v>49</v>
      </c>
      <c r="F114" s="3" t="s">
        <v>60</v>
      </c>
      <c r="G114" s="3" t="s">
        <v>51</v>
      </c>
      <c r="H114" s="3" t="s">
        <v>80</v>
      </c>
    </row>
    <row r="115" spans="1:8" ht="12.75">
      <c r="A115" t="s">
        <v>114</v>
      </c>
      <c r="C115">
        <v>2</v>
      </c>
      <c r="D115">
        <v>60</v>
      </c>
      <c r="E115" s="12">
        <f aca="true" t="shared" si="2" ref="E115:E120">+D115/C115</f>
        <v>30</v>
      </c>
      <c r="F115">
        <v>40</v>
      </c>
      <c r="G115">
        <v>0</v>
      </c>
      <c r="H115">
        <v>0</v>
      </c>
    </row>
    <row r="116" spans="1:5" ht="12.75">
      <c r="A116" t="s">
        <v>125</v>
      </c>
      <c r="E116" s="12" t="e">
        <f t="shared" si="2"/>
        <v>#DIV/0!</v>
      </c>
    </row>
    <row r="117" spans="1:5" ht="12.75">
      <c r="A117" t="s">
        <v>116</v>
      </c>
      <c r="E117" s="12" t="e">
        <f t="shared" si="2"/>
        <v>#DIV/0!</v>
      </c>
    </row>
    <row r="118" spans="1:5" ht="12.75">
      <c r="A118" t="s">
        <v>108</v>
      </c>
      <c r="E118" s="12" t="e">
        <f t="shared" si="2"/>
        <v>#DIV/0!</v>
      </c>
    </row>
    <row r="119" spans="1:5" ht="12.75">
      <c r="A119" t="s">
        <v>115</v>
      </c>
      <c r="E119" s="12" t="e">
        <f t="shared" si="2"/>
        <v>#DIV/0!</v>
      </c>
    </row>
    <row r="120" spans="1:5" ht="12.75">
      <c r="A120" t="s">
        <v>121</v>
      </c>
      <c r="E120" s="12" t="e">
        <f t="shared" si="2"/>
        <v>#DIV/0!</v>
      </c>
    </row>
    <row r="122" spans="1:7" ht="12.75">
      <c r="A122" s="2" t="s">
        <v>71</v>
      </c>
      <c r="C122" s="3" t="s">
        <v>68</v>
      </c>
      <c r="D122" s="3" t="s">
        <v>70</v>
      </c>
      <c r="E122" s="3" t="s">
        <v>49</v>
      </c>
      <c r="F122" s="3" t="s">
        <v>60</v>
      </c>
      <c r="G122" s="3" t="s">
        <v>72</v>
      </c>
    </row>
    <row r="123" spans="1:7" ht="12.75">
      <c r="A123" t="s">
        <v>126</v>
      </c>
      <c r="C123">
        <v>7</v>
      </c>
      <c r="D123">
        <v>295</v>
      </c>
      <c r="E123" s="12">
        <f>+D123/C123</f>
        <v>42.142857142857146</v>
      </c>
      <c r="F123">
        <v>60</v>
      </c>
      <c r="G123">
        <v>0</v>
      </c>
    </row>
    <row r="124" spans="1:5" ht="12.75">
      <c r="A124" t="s">
        <v>113</v>
      </c>
      <c r="E124" s="12" t="e">
        <f>+D124/C124</f>
        <v>#DIV/0!</v>
      </c>
    </row>
    <row r="125" ht="12.75">
      <c r="I125" s="5" t="s">
        <v>63</v>
      </c>
    </row>
    <row r="126" spans="1:10" ht="12.75">
      <c r="A126" s="4" t="s">
        <v>79</v>
      </c>
      <c r="C126" s="3" t="s">
        <v>73</v>
      </c>
      <c r="D126" s="3" t="s">
        <v>74</v>
      </c>
      <c r="E126" s="3" t="s">
        <v>75</v>
      </c>
      <c r="F126" s="3" t="s">
        <v>76</v>
      </c>
      <c r="G126" s="3" t="s">
        <v>77</v>
      </c>
      <c r="H126" s="3" t="s">
        <v>78</v>
      </c>
      <c r="I126" s="3" t="s">
        <v>82</v>
      </c>
      <c r="J126" s="3" t="s">
        <v>60</v>
      </c>
    </row>
    <row r="127" spans="1:10" ht="12.75">
      <c r="A127" t="s">
        <v>127</v>
      </c>
      <c r="C127">
        <v>4</v>
      </c>
      <c r="D127">
        <v>0</v>
      </c>
      <c r="E127">
        <v>1</v>
      </c>
      <c r="F127">
        <v>1</v>
      </c>
      <c r="G127">
        <v>3</v>
      </c>
      <c r="H127">
        <v>3</v>
      </c>
      <c r="I127" s="12">
        <f>+H127/G127*100</f>
        <v>100</v>
      </c>
      <c r="J127">
        <v>52</v>
      </c>
    </row>
    <row r="129" spans="1:8" ht="12.75">
      <c r="A129" s="2" t="s">
        <v>81</v>
      </c>
      <c r="C129" s="3" t="s">
        <v>68</v>
      </c>
      <c r="D129" s="3" t="s">
        <v>70</v>
      </c>
      <c r="E129" s="3" t="s">
        <v>49</v>
      </c>
      <c r="F129" s="3" t="s">
        <v>60</v>
      </c>
      <c r="G129" s="3" t="s">
        <v>51</v>
      </c>
      <c r="H129" s="3" t="s">
        <v>80</v>
      </c>
    </row>
    <row r="130" spans="1:8" ht="12.75">
      <c r="A130" t="s">
        <v>128</v>
      </c>
      <c r="C130">
        <v>1</v>
      </c>
      <c r="D130">
        <v>0</v>
      </c>
      <c r="E130" s="12">
        <f>+D130/C130</f>
        <v>0</v>
      </c>
      <c r="F130">
        <v>0</v>
      </c>
      <c r="G130">
        <v>0</v>
      </c>
      <c r="H130">
        <v>0</v>
      </c>
    </row>
    <row r="131" spans="1:5" ht="12.75">
      <c r="A131" t="s">
        <v>129</v>
      </c>
      <c r="E131" s="12" t="e">
        <f aca="true" t="shared" si="3" ref="E131:E138">+D131/C131</f>
        <v>#DIV/0!</v>
      </c>
    </row>
    <row r="132" spans="1:5" ht="12.75">
      <c r="A132" t="s">
        <v>130</v>
      </c>
      <c r="E132" s="12" t="e">
        <f t="shared" si="3"/>
        <v>#DIV/0!</v>
      </c>
    </row>
    <row r="133" spans="1:5" ht="12.75">
      <c r="A133" t="s">
        <v>124</v>
      </c>
      <c r="E133" s="12" t="e">
        <f t="shared" si="3"/>
        <v>#DIV/0!</v>
      </c>
    </row>
    <row r="134" spans="1:8" ht="12.75">
      <c r="A134" t="s">
        <v>131</v>
      </c>
      <c r="C134">
        <v>1</v>
      </c>
      <c r="D134">
        <v>11</v>
      </c>
      <c r="E134" s="12">
        <f t="shared" si="3"/>
        <v>11</v>
      </c>
      <c r="F134">
        <v>11</v>
      </c>
      <c r="G134">
        <v>0</v>
      </c>
      <c r="H134">
        <v>0</v>
      </c>
    </row>
    <row r="135" spans="1:5" ht="12.75">
      <c r="A135" t="s">
        <v>132</v>
      </c>
      <c r="E135" s="12" t="e">
        <f t="shared" si="3"/>
        <v>#DIV/0!</v>
      </c>
    </row>
    <row r="136" spans="1:5" ht="12.75">
      <c r="A136" t="s">
        <v>133</v>
      </c>
      <c r="E136" s="12" t="e">
        <f t="shared" si="3"/>
        <v>#DIV/0!</v>
      </c>
    </row>
    <row r="137" spans="1:5" ht="12.75">
      <c r="A137" t="s">
        <v>134</v>
      </c>
      <c r="E137" s="12" t="e">
        <f t="shared" si="3"/>
        <v>#DIV/0!</v>
      </c>
    </row>
    <row r="138" spans="1:5" ht="12.75">
      <c r="A138" t="s">
        <v>135</v>
      </c>
      <c r="E138" s="12" t="e">
        <f t="shared" si="3"/>
        <v>#DIV/0!</v>
      </c>
    </row>
    <row r="139" ht="12.75">
      <c r="A139" t="s">
        <v>136</v>
      </c>
    </row>
    <row r="141" spans="1:4" ht="12.75">
      <c r="A141" s="2" t="s">
        <v>90</v>
      </c>
      <c r="C141" s="2" t="s">
        <v>68</v>
      </c>
      <c r="D141" s="2"/>
    </row>
    <row r="142" spans="1:3" ht="12.75">
      <c r="A142" t="s">
        <v>137</v>
      </c>
      <c r="C142">
        <v>1.5</v>
      </c>
    </row>
    <row r="143" spans="1:3" ht="12.75">
      <c r="A143" t="s">
        <v>134</v>
      </c>
      <c r="C143">
        <v>0.5</v>
      </c>
    </row>
    <row r="144" spans="1:3" ht="12.75">
      <c r="A144" t="s">
        <v>138</v>
      </c>
      <c r="C144">
        <v>1</v>
      </c>
    </row>
    <row r="145" ht="12.75">
      <c r="A145" t="s">
        <v>136</v>
      </c>
    </row>
    <row r="146" ht="12.75">
      <c r="A146" t="s">
        <v>139</v>
      </c>
    </row>
    <row r="147" ht="12.75">
      <c r="A147" t="s">
        <v>135</v>
      </c>
    </row>
    <row r="148" ht="12.75">
      <c r="A148" t="s">
        <v>133</v>
      </c>
    </row>
    <row r="149" spans="1:3" ht="12.75">
      <c r="A149" t="s">
        <v>140</v>
      </c>
      <c r="C149">
        <v>1</v>
      </c>
    </row>
    <row r="150" ht="12.75">
      <c r="A150" t="s">
        <v>141</v>
      </c>
    </row>
    <row r="151" ht="12.75">
      <c r="A151" t="s">
        <v>142</v>
      </c>
    </row>
    <row r="152" ht="12.75">
      <c r="A152" t="s">
        <v>143</v>
      </c>
    </row>
    <row r="153" ht="12.75">
      <c r="A153" t="s">
        <v>124</v>
      </c>
    </row>
    <row r="154" ht="12.75">
      <c r="A154" t="s">
        <v>129</v>
      </c>
    </row>
    <row r="155" ht="12.75">
      <c r="A155" t="s">
        <v>132</v>
      </c>
    </row>
    <row r="156" ht="12.75">
      <c r="A156" t="s">
        <v>144</v>
      </c>
    </row>
    <row r="158" spans="4:14" ht="12.75">
      <c r="D158" s="2" t="s">
        <v>84</v>
      </c>
      <c r="E158" s="2" t="s">
        <v>85</v>
      </c>
      <c r="M158" s="2" t="s">
        <v>84</v>
      </c>
      <c r="N158" s="2" t="s">
        <v>85</v>
      </c>
    </row>
    <row r="159" spans="1:13" ht="12.75">
      <c r="A159" t="s">
        <v>93</v>
      </c>
      <c r="D159">
        <v>14</v>
      </c>
      <c r="H159" t="s">
        <v>93</v>
      </c>
      <c r="M159">
        <v>13</v>
      </c>
    </row>
    <row r="160" spans="1:13" ht="12.75">
      <c r="A160" t="s">
        <v>94</v>
      </c>
      <c r="D160">
        <v>5</v>
      </c>
      <c r="H160" t="s">
        <v>94</v>
      </c>
      <c r="M160">
        <v>3</v>
      </c>
    </row>
    <row r="161" spans="1:13" ht="12.75">
      <c r="A161" t="s">
        <v>95</v>
      </c>
      <c r="D161">
        <f>D160/D159*100</f>
        <v>35.714285714285715</v>
      </c>
      <c r="H161" t="s">
        <v>95</v>
      </c>
      <c r="M161">
        <f>+M160/M159*100</f>
        <v>23.076923076923077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Y161"/>
  <sheetViews>
    <sheetView zoomScalePageLayoutView="0" workbookViewId="0" topLeftCell="A1">
      <selection activeCell="W102" sqref="W102:W106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109</v>
      </c>
      <c r="E1" s="2" t="s">
        <v>96</v>
      </c>
      <c r="F1" s="2" t="s">
        <v>97</v>
      </c>
    </row>
    <row r="2" ht="12.75">
      <c r="E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20</v>
      </c>
      <c r="H6" s="1" t="s">
        <v>29</v>
      </c>
      <c r="M6" s="2">
        <f>M7+M8+M9</f>
        <v>17</v>
      </c>
    </row>
    <row r="7" spans="1:13" ht="12.75">
      <c r="A7" s="1" t="s">
        <v>103</v>
      </c>
      <c r="D7" s="2">
        <v>5</v>
      </c>
      <c r="H7" s="1" t="s">
        <v>103</v>
      </c>
      <c r="M7" s="2">
        <v>2</v>
      </c>
    </row>
    <row r="8" spans="1:13" ht="12.75">
      <c r="A8" s="1" t="s">
        <v>105</v>
      </c>
      <c r="D8" s="2">
        <v>13</v>
      </c>
      <c r="H8" s="1" t="s">
        <v>105</v>
      </c>
      <c r="M8" s="2">
        <v>11</v>
      </c>
    </row>
    <row r="9" spans="1:13" ht="12.75">
      <c r="A9" s="1" t="s">
        <v>104</v>
      </c>
      <c r="D9" s="2">
        <v>2</v>
      </c>
      <c r="H9" s="1" t="s">
        <v>104</v>
      </c>
      <c r="M9" s="2">
        <v>4</v>
      </c>
    </row>
    <row r="11" spans="1:23" ht="12.75">
      <c r="A11" t="s">
        <v>1</v>
      </c>
      <c r="D11" s="2">
        <v>28</v>
      </c>
      <c r="H11" t="s">
        <v>1</v>
      </c>
      <c r="M11" s="2">
        <v>22</v>
      </c>
      <c r="V11">
        <f>+D11</f>
        <v>28</v>
      </c>
      <c r="W11">
        <f>+M11</f>
        <v>22</v>
      </c>
    </row>
    <row r="12" spans="1:23" ht="12.75">
      <c r="A12" t="s">
        <v>2</v>
      </c>
      <c r="D12" s="2">
        <v>93</v>
      </c>
      <c r="H12" t="s">
        <v>2</v>
      </c>
      <c r="M12" s="2">
        <v>38</v>
      </c>
      <c r="U12" s="13"/>
      <c r="V12">
        <f>+D16</f>
        <v>20</v>
      </c>
      <c r="W12">
        <f>+M16</f>
        <v>18</v>
      </c>
    </row>
    <row r="13" spans="1:23" ht="12.75">
      <c r="A13" s="1" t="s">
        <v>3</v>
      </c>
      <c r="D13" s="8">
        <f>+D12/D11</f>
        <v>3.3214285714285716</v>
      </c>
      <c r="H13" s="1" t="s">
        <v>3</v>
      </c>
      <c r="M13" s="8">
        <f>+M12/M11</f>
        <v>1.7272727272727273</v>
      </c>
      <c r="V13">
        <f>+(D15-D16)/2</f>
        <v>6.5</v>
      </c>
      <c r="W13">
        <f>+(M15-M16)/2</f>
        <v>6</v>
      </c>
    </row>
    <row r="14" spans="22:23" ht="12.75">
      <c r="V14">
        <f>+D38/2</f>
        <v>3</v>
      </c>
      <c r="W14">
        <f>+M38/2</f>
        <v>3.5</v>
      </c>
    </row>
    <row r="15" spans="1:23" ht="12.75">
      <c r="A15" t="s">
        <v>4</v>
      </c>
      <c r="D15" s="2">
        <v>33</v>
      </c>
      <c r="H15" t="s">
        <v>4</v>
      </c>
      <c r="M15" s="2">
        <v>30</v>
      </c>
      <c r="V15">
        <f>+D42/2</f>
        <v>1</v>
      </c>
      <c r="W15">
        <f>+M42/2</f>
        <v>2</v>
      </c>
    </row>
    <row r="16" spans="1:23" ht="12.75">
      <c r="A16" t="s">
        <v>5</v>
      </c>
      <c r="D16" s="2">
        <v>20</v>
      </c>
      <c r="H16" t="s">
        <v>5</v>
      </c>
      <c r="M16" s="2">
        <v>18</v>
      </c>
      <c r="V16">
        <f>+D48/2</f>
        <v>1.5</v>
      </c>
      <c r="W16">
        <f>+M48/2</f>
        <v>3</v>
      </c>
    </row>
    <row r="17" spans="1:13" ht="12.75">
      <c r="A17" t="s">
        <v>6</v>
      </c>
      <c r="D17" s="8">
        <f>+D16/D15*100</f>
        <v>60.60606060606061</v>
      </c>
      <c r="H17" t="s">
        <v>6</v>
      </c>
      <c r="M17" s="8">
        <f>+M16/M15*100</f>
        <v>60</v>
      </c>
    </row>
    <row r="18" spans="1:24" ht="12.75">
      <c r="A18" t="s">
        <v>7</v>
      </c>
      <c r="D18" s="2">
        <v>227</v>
      </c>
      <c r="H18" t="s">
        <v>7</v>
      </c>
      <c r="M18" s="2">
        <v>242</v>
      </c>
      <c r="V18">
        <f>SUM(V11:V16)</f>
        <v>60</v>
      </c>
      <c r="W18">
        <f>SUM(W11:W16)</f>
        <v>54.5</v>
      </c>
      <c r="X18">
        <f>+W18+V18</f>
        <v>114.5</v>
      </c>
    </row>
    <row r="19" spans="1:23" ht="12.75">
      <c r="A19" t="s">
        <v>8</v>
      </c>
      <c r="D19" s="2">
        <v>8</v>
      </c>
      <c r="H19" t="s">
        <v>8</v>
      </c>
      <c r="M19" s="2">
        <v>4</v>
      </c>
      <c r="V19">
        <f>+V18/X18</f>
        <v>0.5240174672489083</v>
      </c>
      <c r="W19">
        <f>+W18/X18</f>
        <v>0.4759825327510917</v>
      </c>
    </row>
    <row r="20" spans="1:23" ht="12.75">
      <c r="A20" t="s">
        <v>9</v>
      </c>
      <c r="D20" s="2">
        <v>49</v>
      </c>
      <c r="H20" t="s">
        <v>9</v>
      </c>
      <c r="M20" s="2">
        <v>24</v>
      </c>
      <c r="V20">
        <f>+V19*60</f>
        <v>31.441048034934497</v>
      </c>
      <c r="W20">
        <f>+W19*60</f>
        <v>28.558951965065503</v>
      </c>
    </row>
    <row r="21" spans="1:23" ht="12.75">
      <c r="A21" t="s">
        <v>10</v>
      </c>
      <c r="D21">
        <f>+D18-D20</f>
        <v>178</v>
      </c>
      <c r="H21" t="s">
        <v>10</v>
      </c>
      <c r="M21">
        <f>+M18-M20</f>
        <v>218</v>
      </c>
      <c r="V21">
        <f>+V20-INT(V20)</f>
        <v>0.4410480349344965</v>
      </c>
      <c r="W21">
        <f>+W20-INT(W20)</f>
        <v>0.5589519650655035</v>
      </c>
    </row>
    <row r="22" spans="1:23" ht="12.75">
      <c r="A22" t="s">
        <v>11</v>
      </c>
      <c r="D22" s="7">
        <f>+D21/(D15+D19)</f>
        <v>4.341463414634147</v>
      </c>
      <c r="H22" t="s">
        <v>11</v>
      </c>
      <c r="M22" s="7">
        <f>+M21/(M15+M19)</f>
        <v>6.411764705882353</v>
      </c>
      <c r="V22">
        <f>+V21*60</f>
        <v>26.46288209606979</v>
      </c>
      <c r="W22">
        <f>+W21*60</f>
        <v>33.53711790393021</v>
      </c>
    </row>
    <row r="23" spans="1:23" ht="12.75">
      <c r="A23" t="s">
        <v>12</v>
      </c>
      <c r="D23" s="7">
        <f>+D18/D16</f>
        <v>11.35</v>
      </c>
      <c r="H23" t="s">
        <v>12</v>
      </c>
      <c r="M23" s="7">
        <f>+M18/M16</f>
        <v>13.444444444444445</v>
      </c>
      <c r="U23">
        <v>0</v>
      </c>
      <c r="V23" s="11">
        <f>ROUND(V22,0)</f>
        <v>26</v>
      </c>
      <c r="W23">
        <f>ROUND(W22,0)</f>
        <v>34</v>
      </c>
    </row>
    <row r="24" spans="22:23" ht="12.75">
      <c r="V24">
        <f>INT(V20)</f>
        <v>31</v>
      </c>
      <c r="W24">
        <f>INT(W20)</f>
        <v>28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271</v>
      </c>
      <c r="H26" t="s">
        <v>14</v>
      </c>
      <c r="M26">
        <f>+M21+M12</f>
        <v>256</v>
      </c>
      <c r="Q26" s="9"/>
      <c r="R26" s="9"/>
      <c r="V26" s="14" t="str">
        <f>+V24&amp;V25&amp;V23</f>
        <v>31:26</v>
      </c>
      <c r="W26" s="9" t="str">
        <f>+W24&amp;W25&amp;W23</f>
        <v>28:34</v>
      </c>
    </row>
    <row r="27" spans="1:23" ht="12.75">
      <c r="A27" t="s">
        <v>15</v>
      </c>
      <c r="D27" s="7">
        <f>+D12/D26*100</f>
        <v>34.31734317343174</v>
      </c>
      <c r="H27" t="s">
        <v>15</v>
      </c>
      <c r="M27" s="7">
        <f>+M12/M26*100</f>
        <v>14.84375</v>
      </c>
      <c r="V27" s="9" t="str">
        <f>IF(V23&lt;10,+V24&amp;V25&amp;$U$23&amp;V23,+V24&amp;V25&amp;V23)</f>
        <v>31:26</v>
      </c>
      <c r="W27" s="9" t="str">
        <f>IF(W23&lt;10,+W24&amp;W25&amp;$U$23&amp;W23,+W24&amp;W25&amp;W23)</f>
        <v>28:34</v>
      </c>
    </row>
    <row r="28" spans="1:13" ht="12.75">
      <c r="A28" s="1" t="s">
        <v>86</v>
      </c>
      <c r="D28" s="7">
        <f>+D21/D26*100</f>
        <v>65.68265682656826</v>
      </c>
      <c r="H28" s="1" t="s">
        <v>86</v>
      </c>
      <c r="M28" s="7">
        <f>+M21/M26*100</f>
        <v>85.15625</v>
      </c>
    </row>
    <row r="30" spans="1:13" ht="12.75">
      <c r="A30" t="s">
        <v>16</v>
      </c>
      <c r="D30">
        <f>+D11+D15+D19</f>
        <v>69</v>
      </c>
      <c r="H30" t="s">
        <v>16</v>
      </c>
      <c r="M30">
        <f>+M15+M11+M19</f>
        <v>56</v>
      </c>
    </row>
    <row r="31" spans="1:13" ht="12.75">
      <c r="A31" t="s">
        <v>17</v>
      </c>
      <c r="D31" s="8">
        <f>+D26/D30</f>
        <v>3.927536231884058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4.571428571428571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0</v>
      </c>
      <c r="H34" t="s">
        <v>19</v>
      </c>
      <c r="M34" s="2">
        <v>1</v>
      </c>
    </row>
    <row r="35" spans="1:13" ht="12.75">
      <c r="A35" t="s">
        <v>20</v>
      </c>
      <c r="D35" s="2">
        <v>0</v>
      </c>
      <c r="H35" t="s">
        <v>20</v>
      </c>
      <c r="M35" s="2">
        <v>23</v>
      </c>
    </row>
    <row r="36" spans="1:13" ht="12.75">
      <c r="A36" t="s">
        <v>21</v>
      </c>
      <c r="D36" s="2">
        <v>0</v>
      </c>
      <c r="H36" t="s">
        <v>21</v>
      </c>
      <c r="M36" s="2">
        <v>1</v>
      </c>
    </row>
    <row r="38" spans="1:13" ht="12.75">
      <c r="A38" t="s">
        <v>22</v>
      </c>
      <c r="D38" s="2">
        <v>6</v>
      </c>
      <c r="H38" t="s">
        <v>22</v>
      </c>
      <c r="M38" s="2">
        <v>7</v>
      </c>
    </row>
    <row r="39" spans="1:13" ht="12.75">
      <c r="A39" t="s">
        <v>23</v>
      </c>
      <c r="D39" s="2">
        <v>270</v>
      </c>
      <c r="H39" t="s">
        <v>23</v>
      </c>
      <c r="M39" s="2">
        <v>276</v>
      </c>
    </row>
    <row r="40" spans="1:13" ht="12.75">
      <c r="A40" t="s">
        <v>24</v>
      </c>
      <c r="D40" s="8">
        <f>+D39/D38</f>
        <v>45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39.42857142857143</v>
      </c>
    </row>
    <row r="42" spans="1:13" ht="12.75">
      <c r="A42" t="s">
        <v>25</v>
      </c>
      <c r="D42" s="2">
        <v>2</v>
      </c>
      <c r="H42" t="s">
        <v>25</v>
      </c>
      <c r="M42" s="2">
        <v>4</v>
      </c>
    </row>
    <row r="43" spans="1:13" ht="12.75">
      <c r="A43" t="s">
        <v>26</v>
      </c>
      <c r="D43" s="2">
        <v>19</v>
      </c>
      <c r="H43" t="s">
        <v>26</v>
      </c>
      <c r="M43" s="2">
        <v>24</v>
      </c>
    </row>
    <row r="44" spans="1:13" ht="12.75">
      <c r="A44" t="s">
        <v>27</v>
      </c>
      <c r="D44" s="8">
        <f>+D43/D42</f>
        <v>9.5</v>
      </c>
      <c r="H44" t="s">
        <v>27</v>
      </c>
      <c r="M44" s="8">
        <f>+M43/M42</f>
        <v>6</v>
      </c>
    </row>
    <row r="45" spans="1:13" ht="12.75">
      <c r="A45" t="s">
        <v>106</v>
      </c>
      <c r="D45" s="2">
        <v>0</v>
      </c>
      <c r="H45" t="s">
        <v>106</v>
      </c>
      <c r="M45" s="2">
        <v>1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3</v>
      </c>
      <c r="H48" t="s">
        <v>30</v>
      </c>
      <c r="M48" s="2">
        <v>6</v>
      </c>
    </row>
    <row r="49" spans="1:13" ht="12.75">
      <c r="A49" t="s">
        <v>26</v>
      </c>
      <c r="D49" s="2">
        <v>31</v>
      </c>
      <c r="H49" t="s">
        <v>26</v>
      </c>
      <c r="M49" s="2">
        <v>156</v>
      </c>
    </row>
    <row r="50" spans="1:13" ht="12.75">
      <c r="A50" t="s">
        <v>27</v>
      </c>
      <c r="D50" s="8">
        <f>+D49/D48</f>
        <v>10.333333333333334</v>
      </c>
      <c r="H50" t="s">
        <v>27</v>
      </c>
      <c r="M50" s="8">
        <f>+M49/M48</f>
        <v>26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7</v>
      </c>
      <c r="H53" t="s">
        <v>31</v>
      </c>
      <c r="M53" s="2">
        <v>6</v>
      </c>
    </row>
    <row r="54" spans="1:13" ht="12.75">
      <c r="A54" t="s">
        <v>32</v>
      </c>
      <c r="D54" s="2">
        <v>59</v>
      </c>
      <c r="H54" t="s">
        <v>32</v>
      </c>
      <c r="M54" s="2">
        <v>69</v>
      </c>
    </row>
    <row r="56" spans="1:13" ht="12.75">
      <c r="A56" t="s">
        <v>33</v>
      </c>
      <c r="D56" s="2">
        <v>3</v>
      </c>
      <c r="H56" t="s">
        <v>33</v>
      </c>
      <c r="M56" s="2">
        <v>1</v>
      </c>
    </row>
    <row r="57" spans="1:13" ht="12.75">
      <c r="A57" t="s">
        <v>101</v>
      </c>
      <c r="D57" s="2">
        <v>1</v>
      </c>
      <c r="H57" t="s">
        <v>101</v>
      </c>
      <c r="M57" s="2">
        <v>1</v>
      </c>
    </row>
    <row r="59" spans="1:13" ht="12.75">
      <c r="A59" t="s">
        <v>34</v>
      </c>
      <c r="D59" s="2">
        <v>23</v>
      </c>
      <c r="H59" t="s">
        <v>34</v>
      </c>
      <c r="M59" s="2">
        <v>15</v>
      </c>
    </row>
    <row r="60" spans="1:13" ht="12.75">
      <c r="A60" t="s">
        <v>35</v>
      </c>
      <c r="D60" s="2">
        <v>2</v>
      </c>
      <c r="H60" t="s">
        <v>35</v>
      </c>
      <c r="M60" s="2">
        <v>1</v>
      </c>
    </row>
    <row r="61" spans="1:13" ht="12.75">
      <c r="A61" t="s">
        <v>36</v>
      </c>
      <c r="D61" s="2">
        <v>1</v>
      </c>
      <c r="H61" t="s">
        <v>36</v>
      </c>
      <c r="M61" s="2">
        <v>0</v>
      </c>
    </row>
    <row r="62" spans="1:13" ht="12.75">
      <c r="A62" t="s">
        <v>37</v>
      </c>
      <c r="D62" s="2">
        <v>0</v>
      </c>
      <c r="H62" t="s">
        <v>37</v>
      </c>
      <c r="M62" s="2">
        <v>1</v>
      </c>
    </row>
    <row r="63" spans="1:13" ht="12.75">
      <c r="A63" t="s">
        <v>38</v>
      </c>
      <c r="D63" s="2">
        <v>1</v>
      </c>
      <c r="H63" t="s">
        <v>38</v>
      </c>
      <c r="M63" s="2">
        <v>0</v>
      </c>
    </row>
    <row r="64" spans="1:13" ht="12.75">
      <c r="A64" t="s">
        <v>39</v>
      </c>
      <c r="D64" s="2">
        <v>2</v>
      </c>
      <c r="H64" t="s">
        <v>39</v>
      </c>
      <c r="M64" s="2">
        <v>1</v>
      </c>
    </row>
    <row r="65" spans="1:13" ht="12.75">
      <c r="A65" t="s">
        <v>40</v>
      </c>
      <c r="D65" s="2">
        <v>0</v>
      </c>
      <c r="H65" t="s">
        <v>40</v>
      </c>
      <c r="M65" s="2">
        <v>1</v>
      </c>
    </row>
    <row r="66" spans="1:13" ht="12.75">
      <c r="A66" t="s">
        <v>41</v>
      </c>
      <c r="D66" s="2">
        <v>3</v>
      </c>
      <c r="H66" t="s">
        <v>41</v>
      </c>
      <c r="M66" s="2">
        <v>2</v>
      </c>
    </row>
    <row r="67" spans="1:13" ht="12.75">
      <c r="A67" t="s">
        <v>42</v>
      </c>
      <c r="D67" s="2">
        <v>3</v>
      </c>
      <c r="H67" t="s">
        <v>42</v>
      </c>
      <c r="M67" s="2">
        <v>2</v>
      </c>
    </row>
    <row r="68" spans="1:13" ht="12.75">
      <c r="A68" t="s">
        <v>43</v>
      </c>
      <c r="D68" s="8">
        <f>+D66/D67*100</f>
        <v>100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100</v>
      </c>
    </row>
    <row r="69" spans="1:13" ht="12.75">
      <c r="A69" t="s">
        <v>92</v>
      </c>
      <c r="D69" s="10" t="str">
        <f>IF(V23&lt;10,V27,V26)</f>
        <v>31:26</v>
      </c>
      <c r="E69" s="8"/>
      <c r="F69" s="8"/>
      <c r="H69" t="s">
        <v>92</v>
      </c>
      <c r="M69" s="10" t="str">
        <f>IF(W23&lt;10,W27,W26)</f>
        <v>28:34</v>
      </c>
    </row>
    <row r="70" spans="1:13" ht="12.75">
      <c r="A70" t="s">
        <v>102</v>
      </c>
      <c r="D70" s="23">
        <f>D161</f>
        <v>28.57142857142857</v>
      </c>
      <c r="E70" s="8"/>
      <c r="F70" s="8"/>
      <c r="H70" t="s">
        <v>102</v>
      </c>
      <c r="M70" s="23">
        <f>M161</f>
        <v>42.857142857142854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2" t="s">
        <v>80</v>
      </c>
    </row>
    <row r="74" spans="1:8" ht="12.75">
      <c r="A74" t="s">
        <v>110</v>
      </c>
      <c r="C74">
        <v>13</v>
      </c>
      <c r="D74">
        <v>59</v>
      </c>
      <c r="E74" s="12">
        <f aca="true" t="shared" si="0" ref="E74:E84">+D74/C74</f>
        <v>4.538461538461538</v>
      </c>
      <c r="F74">
        <v>14</v>
      </c>
      <c r="G74">
        <v>1</v>
      </c>
      <c r="H74">
        <v>0</v>
      </c>
    </row>
    <row r="75" spans="1:8" ht="12.75">
      <c r="A75" t="s">
        <v>111</v>
      </c>
      <c r="C75">
        <v>10</v>
      </c>
      <c r="D75">
        <v>21</v>
      </c>
      <c r="E75" s="12">
        <f t="shared" si="0"/>
        <v>2.1</v>
      </c>
      <c r="F75">
        <v>6</v>
      </c>
      <c r="G75">
        <v>0</v>
      </c>
      <c r="H75">
        <v>0</v>
      </c>
    </row>
    <row r="76" spans="1:8" ht="12.75">
      <c r="A76" t="s">
        <v>112</v>
      </c>
      <c r="C76">
        <v>1</v>
      </c>
      <c r="D76">
        <v>-2</v>
      </c>
      <c r="E76" s="12">
        <f t="shared" si="0"/>
        <v>-2</v>
      </c>
      <c r="F76">
        <v>-2</v>
      </c>
      <c r="G76">
        <v>0</v>
      </c>
      <c r="H76">
        <v>0</v>
      </c>
    </row>
    <row r="77" spans="1:8" ht="12.75">
      <c r="A77" t="s">
        <v>113</v>
      </c>
      <c r="C77">
        <v>3</v>
      </c>
      <c r="D77">
        <v>8</v>
      </c>
      <c r="E77" s="12">
        <f t="shared" si="0"/>
        <v>2.6666666666666665</v>
      </c>
      <c r="F77">
        <v>3</v>
      </c>
      <c r="G77">
        <v>0</v>
      </c>
      <c r="H77">
        <v>0</v>
      </c>
    </row>
    <row r="78" spans="1:5" ht="12.75">
      <c r="A78" t="s">
        <v>108</v>
      </c>
      <c r="E78" s="12" t="e">
        <f t="shared" si="0"/>
        <v>#DIV/0!</v>
      </c>
    </row>
    <row r="79" spans="1:8" ht="12.75">
      <c r="A79" t="s">
        <v>114</v>
      </c>
      <c r="C79">
        <v>1</v>
      </c>
      <c r="D79">
        <v>7</v>
      </c>
      <c r="E79" s="12">
        <f t="shared" si="0"/>
        <v>7</v>
      </c>
      <c r="F79">
        <v>7</v>
      </c>
      <c r="G79">
        <v>0</v>
      </c>
      <c r="H79">
        <v>0</v>
      </c>
    </row>
    <row r="80" spans="1:5" ht="12.75">
      <c r="A80" t="s">
        <v>115</v>
      </c>
      <c r="E80" s="12" t="e">
        <f t="shared" si="0"/>
        <v>#DIV/0!</v>
      </c>
    </row>
    <row r="81" spans="1:5" ht="12.75">
      <c r="A81" t="s">
        <v>116</v>
      </c>
      <c r="E81" s="12" t="e">
        <f t="shared" si="0"/>
        <v>#DIV/0!</v>
      </c>
    </row>
    <row r="82" spans="1:5" ht="12.75">
      <c r="A82" t="s">
        <v>117</v>
      </c>
      <c r="E82" s="12" t="e">
        <f t="shared" si="0"/>
        <v>#DIV/0!</v>
      </c>
    </row>
    <row r="83" spans="1:5" ht="12.75">
      <c r="A83" t="s">
        <v>118</v>
      </c>
      <c r="E83" s="12" t="e">
        <f t="shared" si="0"/>
        <v>#DIV/0!</v>
      </c>
    </row>
    <row r="84" spans="1:5" ht="12.75">
      <c r="A84" t="s">
        <v>107</v>
      </c>
      <c r="E84" s="12" t="e">
        <f t="shared" si="0"/>
        <v>#DIV/0!</v>
      </c>
    </row>
    <row r="85" ht="12.75">
      <c r="E85" s="8"/>
    </row>
    <row r="86" spans="1:8" ht="12.75">
      <c r="A86" s="2" t="s">
        <v>52</v>
      </c>
      <c r="C86" s="3" t="s">
        <v>53</v>
      </c>
      <c r="D86" s="3" t="s">
        <v>48</v>
      </c>
      <c r="E86" s="15" t="s">
        <v>49</v>
      </c>
      <c r="F86" s="3" t="s">
        <v>50</v>
      </c>
      <c r="G86" s="3" t="s">
        <v>51</v>
      </c>
      <c r="H86" s="3" t="s">
        <v>80</v>
      </c>
    </row>
    <row r="87" spans="1:8" ht="12.75">
      <c r="A87" t="s">
        <v>107</v>
      </c>
      <c r="C87">
        <v>4</v>
      </c>
      <c r="D87">
        <v>43</v>
      </c>
      <c r="E87" s="12">
        <f aca="true" t="shared" si="1" ref="E87:E98">+D87/C87</f>
        <v>10.75</v>
      </c>
      <c r="F87">
        <v>16</v>
      </c>
      <c r="G87">
        <v>0</v>
      </c>
      <c r="H87">
        <v>0</v>
      </c>
    </row>
    <row r="88" spans="1:8" ht="12.75">
      <c r="A88" t="s">
        <v>119</v>
      </c>
      <c r="C88">
        <v>1</v>
      </c>
      <c r="D88">
        <v>15</v>
      </c>
      <c r="E88" s="12">
        <f t="shared" si="1"/>
        <v>15</v>
      </c>
      <c r="F88">
        <v>15</v>
      </c>
      <c r="G88">
        <v>0</v>
      </c>
      <c r="H88">
        <v>0</v>
      </c>
    </row>
    <row r="89" spans="1:8" ht="12.75">
      <c r="A89" t="s">
        <v>120</v>
      </c>
      <c r="C89">
        <v>5</v>
      </c>
      <c r="D89">
        <v>70</v>
      </c>
      <c r="E89" s="12">
        <f t="shared" si="1"/>
        <v>14</v>
      </c>
      <c r="F89">
        <v>21</v>
      </c>
      <c r="G89">
        <v>0</v>
      </c>
      <c r="H89">
        <v>0</v>
      </c>
    </row>
    <row r="90" spans="1:8" ht="12.75">
      <c r="A90" t="s">
        <v>110</v>
      </c>
      <c r="C90">
        <v>5</v>
      </c>
      <c r="D90">
        <v>44</v>
      </c>
      <c r="E90" s="12">
        <f t="shared" si="1"/>
        <v>8.8</v>
      </c>
      <c r="F90">
        <v>18</v>
      </c>
      <c r="G90">
        <v>0</v>
      </c>
      <c r="H90">
        <v>0</v>
      </c>
    </row>
    <row r="91" spans="1:8" ht="12.75">
      <c r="A91" t="s">
        <v>111</v>
      </c>
      <c r="C91">
        <v>3</v>
      </c>
      <c r="D91">
        <v>11</v>
      </c>
      <c r="E91" s="12">
        <f t="shared" si="1"/>
        <v>3.6666666666666665</v>
      </c>
      <c r="F91">
        <v>9</v>
      </c>
      <c r="G91">
        <v>0</v>
      </c>
      <c r="H91">
        <v>0</v>
      </c>
    </row>
    <row r="92" spans="1:5" ht="12.75">
      <c r="A92" t="s">
        <v>116</v>
      </c>
      <c r="E92" s="12" t="e">
        <f t="shared" si="1"/>
        <v>#DIV/0!</v>
      </c>
    </row>
    <row r="93" spans="1:8" ht="12.75">
      <c r="A93" t="s">
        <v>121</v>
      </c>
      <c r="C93">
        <v>2</v>
      </c>
      <c r="D93">
        <v>44</v>
      </c>
      <c r="E93" s="12">
        <f t="shared" si="1"/>
        <v>22</v>
      </c>
      <c r="F93">
        <v>28</v>
      </c>
      <c r="G93">
        <v>0</v>
      </c>
      <c r="H93">
        <v>0</v>
      </c>
    </row>
    <row r="94" spans="1:5" ht="12.75">
      <c r="A94" t="s">
        <v>122</v>
      </c>
      <c r="E94" s="12" t="e">
        <f t="shared" si="1"/>
        <v>#DIV/0!</v>
      </c>
    </row>
    <row r="95" spans="1:5" ht="12.75">
      <c r="A95" t="s">
        <v>115</v>
      </c>
      <c r="E95" s="12" t="e">
        <f t="shared" si="1"/>
        <v>#DIV/0!</v>
      </c>
    </row>
    <row r="96" spans="1:5" ht="12.75">
      <c r="A96" t="s">
        <v>123</v>
      </c>
      <c r="E96" s="12" t="e">
        <f t="shared" si="1"/>
        <v>#DIV/0!</v>
      </c>
    </row>
    <row r="97" spans="1:5" ht="12.75">
      <c r="A97" t="s">
        <v>113</v>
      </c>
      <c r="E97" s="12" t="e">
        <f t="shared" si="1"/>
        <v>#DIV/0!</v>
      </c>
    </row>
    <row r="98" spans="1:5" ht="12.75">
      <c r="A98" t="s">
        <v>114</v>
      </c>
      <c r="E98" s="12" t="e">
        <f t="shared" si="1"/>
        <v>#DIV/0!</v>
      </c>
    </row>
    <row r="99" ht="12.75">
      <c r="E99" s="8"/>
    </row>
    <row r="100" spans="1:13" ht="12.75">
      <c r="A100" s="2"/>
      <c r="B100" s="2"/>
      <c r="C100" s="3"/>
      <c r="D100" s="3"/>
      <c r="E100" s="15" t="s">
        <v>57</v>
      </c>
      <c r="F100" s="3" t="s">
        <v>58</v>
      </c>
      <c r="G100" s="3"/>
      <c r="H100" s="3"/>
      <c r="I100" s="3" t="s">
        <v>61</v>
      </c>
      <c r="J100" s="3" t="s">
        <v>63</v>
      </c>
      <c r="K100" s="3" t="s">
        <v>57</v>
      </c>
      <c r="L100" s="3" t="s">
        <v>49</v>
      </c>
      <c r="M100" s="3"/>
    </row>
    <row r="101" spans="1:14" ht="12.75">
      <c r="A101" s="2" t="s">
        <v>54</v>
      </c>
      <c r="B101" s="2"/>
      <c r="C101" s="3" t="s">
        <v>55</v>
      </c>
      <c r="D101" s="3" t="s">
        <v>56</v>
      </c>
      <c r="E101" s="15" t="s">
        <v>56</v>
      </c>
      <c r="F101" s="3" t="s">
        <v>59</v>
      </c>
      <c r="G101" s="3" t="s">
        <v>51</v>
      </c>
      <c r="H101" s="3" t="s">
        <v>60</v>
      </c>
      <c r="I101" s="5" t="s">
        <v>62</v>
      </c>
      <c r="J101" s="3" t="s">
        <v>51</v>
      </c>
      <c r="K101" s="3" t="s">
        <v>64</v>
      </c>
      <c r="L101" s="3" t="s">
        <v>65</v>
      </c>
      <c r="M101" s="3" t="s">
        <v>66</v>
      </c>
      <c r="N101" s="3" t="s">
        <v>80</v>
      </c>
    </row>
    <row r="102" spans="1:25" ht="12.75">
      <c r="A102" t="s">
        <v>113</v>
      </c>
      <c r="C102">
        <v>26</v>
      </c>
      <c r="D102">
        <v>15</v>
      </c>
      <c r="E102" s="12">
        <f>+D102/C102*100</f>
        <v>57.692307692307686</v>
      </c>
      <c r="F102">
        <v>166</v>
      </c>
      <c r="G102">
        <v>0</v>
      </c>
      <c r="H102">
        <v>28</v>
      </c>
      <c r="I102">
        <v>0</v>
      </c>
      <c r="J102" s="8">
        <f>+G102/C102*100</f>
        <v>0</v>
      </c>
      <c r="K102" s="12">
        <f>+I102/C102*100</f>
        <v>0</v>
      </c>
      <c r="L102" s="12">
        <f>+F102/C102</f>
        <v>6.384615384615385</v>
      </c>
      <c r="M102" s="12">
        <f>100*(S102+U102+W102+Y102)/6</f>
        <v>76.76282051282051</v>
      </c>
      <c r="N102">
        <v>2</v>
      </c>
      <c r="R102">
        <f>+(E102-30)/20</f>
        <v>1.3846153846153844</v>
      </c>
      <c r="S102" s="2">
        <f>IF(R102&lt;0,0,IF(R102&gt;2.375,2.375,R102))</f>
        <v>1.3846153846153844</v>
      </c>
      <c r="T102" s="6">
        <f>+(L102-3)/4</f>
        <v>0.8461538461538463</v>
      </c>
      <c r="U102" s="2">
        <f>IF(T102&lt;0,0,IF(T102&gt;2.375,2.375,T102))</f>
        <v>0.8461538461538463</v>
      </c>
      <c r="V102">
        <f>+J102/5</f>
        <v>0</v>
      </c>
      <c r="W102" s="2">
        <f>IF(V102&lt;0,0,IF(V102&gt;2.375,2.375,V102))</f>
        <v>0</v>
      </c>
      <c r="X102">
        <f>(9.5-K102)/4</f>
        <v>2.375</v>
      </c>
      <c r="Y102" s="2">
        <f>IF(X102&lt;0,0,X102)</f>
        <v>2.375</v>
      </c>
    </row>
    <row r="103" spans="1:25" ht="12.75">
      <c r="A103" t="s">
        <v>112</v>
      </c>
      <c r="C103">
        <v>7</v>
      </c>
      <c r="D103">
        <v>5</v>
      </c>
      <c r="E103" s="12">
        <f>+D103/C103*100</f>
        <v>71.42857142857143</v>
      </c>
      <c r="F103">
        <v>61</v>
      </c>
      <c r="G103">
        <v>0</v>
      </c>
      <c r="H103">
        <v>18</v>
      </c>
      <c r="I103">
        <v>0</v>
      </c>
      <c r="J103" s="8">
        <f>+G103/C103*100</f>
        <v>0</v>
      </c>
      <c r="K103" s="12">
        <f>+I103/C103*100</f>
        <v>0</v>
      </c>
      <c r="L103" s="12">
        <f>+F103/C103</f>
        <v>8.714285714285714</v>
      </c>
      <c r="M103" s="12">
        <f>100*(S103+U103+W103+Y103)/6</f>
        <v>97.91666666666667</v>
      </c>
      <c r="R103">
        <f>+(E103-30)/20</f>
        <v>2.0714285714285716</v>
      </c>
      <c r="S103" s="2">
        <f>IF(R103&lt;0,0,IF(R103&gt;2.375,2.375,R103))</f>
        <v>2.0714285714285716</v>
      </c>
      <c r="T103" s="6">
        <f>+(L103-3)/4</f>
        <v>1.4285714285714284</v>
      </c>
      <c r="U103" s="2">
        <f>IF(T103&lt;0,0,IF(T103&gt;2.375,2.375,T103))</f>
        <v>1.4285714285714284</v>
      </c>
      <c r="V103">
        <f>+J103/5</f>
        <v>0</v>
      </c>
      <c r="W103" s="2">
        <f>IF(V103&lt;0,0,IF(V103&gt;2.375,2.375,V103))</f>
        <v>0</v>
      </c>
      <c r="X103">
        <f>(9.5-K103)/4</f>
        <v>2.375</v>
      </c>
      <c r="Y103" s="2">
        <f>IF(X103&lt;0,0,X103)</f>
        <v>2.375</v>
      </c>
    </row>
    <row r="104" spans="1:25" ht="12.75">
      <c r="A104" t="s">
        <v>118</v>
      </c>
      <c r="E104" s="12" t="e">
        <f>+D104/C104*100</f>
        <v>#DIV/0!</v>
      </c>
      <c r="J104" s="8" t="e">
        <f>+G104/C104*100</f>
        <v>#DIV/0!</v>
      </c>
      <c r="K104" s="12" t="e">
        <f>+I104/C104*100</f>
        <v>#DIV/0!</v>
      </c>
      <c r="L104" s="12" t="e">
        <f>+F104/C104</f>
        <v>#DIV/0!</v>
      </c>
      <c r="M104" s="12" t="e">
        <f>100*(S104+U104+W104+Y104)/6</f>
        <v>#DIV/0!</v>
      </c>
      <c r="R104" t="e">
        <f>+(E104-30)/20</f>
        <v>#DIV/0!</v>
      </c>
      <c r="S104" s="2" t="e">
        <f>IF(R104&lt;0,0,IF(R104&gt;2.375,2.375,R104))</f>
        <v>#DIV/0!</v>
      </c>
      <c r="T104" s="6" t="e">
        <f>+(L104-3)/4</f>
        <v>#DIV/0!</v>
      </c>
      <c r="U104" s="2" t="e">
        <f>IF(T104&lt;0,0,IF(T104&gt;2.375,2.375,T104))</f>
        <v>#DIV/0!</v>
      </c>
      <c r="V104" t="e">
        <f>+J104/5</f>
        <v>#DIV/0!</v>
      </c>
      <c r="W104" s="2" t="e">
        <f>IF(V104&lt;0,0,IF(V104&gt;2.375,2.375,V104))</f>
        <v>#DIV/0!</v>
      </c>
      <c r="X104" t="e">
        <f>(9.5-K104)/4</f>
        <v>#DIV/0!</v>
      </c>
      <c r="Y104" s="2" t="e">
        <f>IF(X104&lt;0,0,X104)</f>
        <v>#DIV/0!</v>
      </c>
    </row>
    <row r="105" spans="1:25" ht="12.75">
      <c r="A105" t="s">
        <v>116</v>
      </c>
      <c r="E105" s="12" t="e">
        <f>+D105/C105*100</f>
        <v>#DIV/0!</v>
      </c>
      <c r="J105" s="8" t="e">
        <f>+G105/C105*100</f>
        <v>#DIV/0!</v>
      </c>
      <c r="K105" s="12" t="e">
        <f>+I105/C105*100</f>
        <v>#DIV/0!</v>
      </c>
      <c r="L105" s="12" t="e">
        <f>+F105/C105</f>
        <v>#DIV/0!</v>
      </c>
      <c r="M105" s="12" t="e">
        <f>100*(S105+U105+W105+Y105)/6</f>
        <v>#DIV/0!</v>
      </c>
      <c r="R105" t="e">
        <f>+(E105-30)/20</f>
        <v>#DIV/0!</v>
      </c>
      <c r="S105" s="2" t="e">
        <f>IF(R105&lt;0,0,IF(R105&gt;2.375,2.375,R105))</f>
        <v>#DIV/0!</v>
      </c>
      <c r="T105" s="6" t="e">
        <f>+(L105-3)/4</f>
        <v>#DIV/0!</v>
      </c>
      <c r="U105" s="2" t="e">
        <f>IF(T105&lt;0,0,IF(T105&gt;2.375,2.375,T105))</f>
        <v>#DIV/0!</v>
      </c>
      <c r="V105" t="e">
        <f>+J105/5</f>
        <v>#DIV/0!</v>
      </c>
      <c r="W105" s="2" t="e">
        <f>IF(V105&lt;0,0,IF(V105&gt;2.375,2.375,V105))</f>
        <v>#DIV/0!</v>
      </c>
      <c r="X105" t="e">
        <f>(9.5-K105)/4</f>
        <v>#DIV/0!</v>
      </c>
      <c r="Y105" s="2" t="e">
        <f>IF(X105&lt;0,0,X105)</f>
        <v>#DIV/0!</v>
      </c>
    </row>
    <row r="106" spans="1:25" ht="12.75">
      <c r="A106" t="s">
        <v>107</v>
      </c>
      <c r="E106" s="12" t="e">
        <f>+D106/C106*100</f>
        <v>#DIV/0!</v>
      </c>
      <c r="J106" s="8" t="e">
        <f>+G106/C106*100</f>
        <v>#DIV/0!</v>
      </c>
      <c r="K106" s="12" t="e">
        <f>+I106/C106*100</f>
        <v>#DIV/0!</v>
      </c>
      <c r="L106" s="12" t="e">
        <f>+F106/C106</f>
        <v>#DIV/0!</v>
      </c>
      <c r="M106" s="12" t="e">
        <f>100*(S106+U106+W106+Y106)/6</f>
        <v>#DIV/0!</v>
      </c>
      <c r="R106" t="e">
        <f>+(E106-30)/20</f>
        <v>#DIV/0!</v>
      </c>
      <c r="S106" s="2" t="e">
        <f>IF(R106&lt;0,0,IF(R106&gt;2.375,2.375,R106))</f>
        <v>#DIV/0!</v>
      </c>
      <c r="T106" s="6" t="e">
        <f>+(L106-3)/4</f>
        <v>#DIV/0!</v>
      </c>
      <c r="U106" s="2" t="e">
        <f>IF(T106&lt;0,0,IF(T106&gt;2.375,2.375,T106))</f>
        <v>#DIV/0!</v>
      </c>
      <c r="V106" t="e">
        <f>+J106/5</f>
        <v>#DIV/0!</v>
      </c>
      <c r="W106" s="2" t="e">
        <f>IF(V106&lt;0,0,IF(V106&gt;2.375,2.375,V106))</f>
        <v>#DIV/0!</v>
      </c>
      <c r="X106" t="e">
        <f>(9.5-K106)/4</f>
        <v>#DIV/0!</v>
      </c>
      <c r="Y106" s="2" t="e">
        <f>IF(X106&lt;0,0,X106)</f>
        <v>#DIV/0!</v>
      </c>
    </row>
    <row r="109" spans="1:9" ht="12.75">
      <c r="A109" s="2" t="s">
        <v>67</v>
      </c>
      <c r="C109" s="3" t="s">
        <v>68</v>
      </c>
      <c r="D109" s="3" t="s">
        <v>69</v>
      </c>
      <c r="E109" s="3" t="s">
        <v>70</v>
      </c>
      <c r="F109" s="3" t="s">
        <v>49</v>
      </c>
      <c r="G109" s="3" t="s">
        <v>60</v>
      </c>
      <c r="H109" s="3" t="s">
        <v>51</v>
      </c>
      <c r="I109" s="3" t="s">
        <v>80</v>
      </c>
    </row>
    <row r="110" spans="1:6" ht="12.75">
      <c r="A110" t="s">
        <v>124</v>
      </c>
      <c r="F110" s="12" t="e">
        <f>+E110/C110</f>
        <v>#DIV/0!</v>
      </c>
    </row>
    <row r="111" spans="1:9" ht="12.75">
      <c r="A111" t="s">
        <v>123</v>
      </c>
      <c r="C111">
        <v>2</v>
      </c>
      <c r="D111">
        <v>0</v>
      </c>
      <c r="E111">
        <v>19</v>
      </c>
      <c r="F111" s="12">
        <f>+E111/C111</f>
        <v>9.5</v>
      </c>
      <c r="G111">
        <v>18</v>
      </c>
      <c r="H111">
        <v>0</v>
      </c>
      <c r="I111">
        <v>0</v>
      </c>
    </row>
    <row r="112" spans="1:6" ht="12.75">
      <c r="A112" t="s">
        <v>117</v>
      </c>
      <c r="F112" s="12" t="e">
        <f>+E112/C112</f>
        <v>#DIV/0!</v>
      </c>
    </row>
    <row r="114" spans="1:8" ht="12.75">
      <c r="A114" s="2" t="s">
        <v>30</v>
      </c>
      <c r="C114" s="3" t="s">
        <v>68</v>
      </c>
      <c r="D114" s="3" t="s">
        <v>70</v>
      </c>
      <c r="E114" s="3" t="s">
        <v>49</v>
      </c>
      <c r="F114" s="3" t="s">
        <v>60</v>
      </c>
      <c r="G114" s="3" t="s">
        <v>51</v>
      </c>
      <c r="H114" s="3" t="s">
        <v>80</v>
      </c>
    </row>
    <row r="115" spans="1:8" ht="12.75">
      <c r="A115" t="s">
        <v>114</v>
      </c>
      <c r="C115">
        <v>2</v>
      </c>
      <c r="D115">
        <v>31</v>
      </c>
      <c r="E115" s="12">
        <f aca="true" t="shared" si="2" ref="E115:E120">+D115/C115</f>
        <v>15.5</v>
      </c>
      <c r="F115">
        <v>16</v>
      </c>
      <c r="G115">
        <v>0</v>
      </c>
      <c r="H115">
        <v>0</v>
      </c>
    </row>
    <row r="116" spans="1:5" ht="12.75">
      <c r="A116" t="s">
        <v>125</v>
      </c>
      <c r="E116" s="12" t="e">
        <f t="shared" si="2"/>
        <v>#DIV/0!</v>
      </c>
    </row>
    <row r="117" spans="1:5" ht="12.75">
      <c r="A117" t="s">
        <v>116</v>
      </c>
      <c r="E117" s="12" t="e">
        <f t="shared" si="2"/>
        <v>#DIV/0!</v>
      </c>
    </row>
    <row r="118" spans="1:5" ht="12.75">
      <c r="A118" t="s">
        <v>108</v>
      </c>
      <c r="E118" s="12" t="e">
        <f t="shared" si="2"/>
        <v>#DIV/0!</v>
      </c>
    </row>
    <row r="119" spans="1:5" ht="12.75">
      <c r="A119" t="s">
        <v>115</v>
      </c>
      <c r="E119" s="12" t="e">
        <f t="shared" si="2"/>
        <v>#DIV/0!</v>
      </c>
    </row>
    <row r="120" spans="1:8" ht="12.75">
      <c r="A120" t="s">
        <v>121</v>
      </c>
      <c r="C120">
        <v>1</v>
      </c>
      <c r="D120">
        <v>0</v>
      </c>
      <c r="E120" s="12">
        <f t="shared" si="2"/>
        <v>0</v>
      </c>
      <c r="F120">
        <v>0</v>
      </c>
      <c r="G120">
        <v>0</v>
      </c>
      <c r="H120">
        <v>0</v>
      </c>
    </row>
    <row r="122" spans="1:7" ht="12.75">
      <c r="A122" s="2" t="s">
        <v>71</v>
      </c>
      <c r="C122" s="3" t="s">
        <v>68</v>
      </c>
      <c r="D122" s="3" t="s">
        <v>70</v>
      </c>
      <c r="E122" s="3" t="s">
        <v>49</v>
      </c>
      <c r="F122" s="3" t="s">
        <v>60</v>
      </c>
      <c r="G122" s="3" t="s">
        <v>72</v>
      </c>
    </row>
    <row r="123" spans="1:7" ht="12.75">
      <c r="A123" t="s">
        <v>126</v>
      </c>
      <c r="C123">
        <v>6</v>
      </c>
      <c r="D123">
        <v>270</v>
      </c>
      <c r="E123" s="12">
        <f>+D123/C123</f>
        <v>45</v>
      </c>
      <c r="F123">
        <v>55</v>
      </c>
      <c r="G123">
        <v>0</v>
      </c>
    </row>
    <row r="124" spans="1:5" ht="12.75">
      <c r="A124" t="s">
        <v>113</v>
      </c>
      <c r="E124" s="12" t="e">
        <f>+D124/C124</f>
        <v>#DIV/0!</v>
      </c>
    </row>
    <row r="125" ht="12.75">
      <c r="I125" s="5" t="s">
        <v>63</v>
      </c>
    </row>
    <row r="126" spans="1:10" ht="12.75">
      <c r="A126" s="4" t="s">
        <v>79</v>
      </c>
      <c r="C126" s="3" t="s">
        <v>73</v>
      </c>
      <c r="D126" s="3" t="s">
        <v>74</v>
      </c>
      <c r="E126" s="3" t="s">
        <v>75</v>
      </c>
      <c r="F126" s="3" t="s">
        <v>76</v>
      </c>
      <c r="G126" s="3" t="s">
        <v>77</v>
      </c>
      <c r="H126" s="3" t="s">
        <v>78</v>
      </c>
      <c r="I126" s="3" t="s">
        <v>82</v>
      </c>
      <c r="J126" s="3" t="s">
        <v>60</v>
      </c>
    </row>
    <row r="127" spans="1:10" ht="12.75">
      <c r="A127" t="s">
        <v>127</v>
      </c>
      <c r="C127">
        <v>7</v>
      </c>
      <c r="D127">
        <v>0</v>
      </c>
      <c r="E127">
        <v>1</v>
      </c>
      <c r="F127">
        <v>1</v>
      </c>
      <c r="G127">
        <v>3</v>
      </c>
      <c r="H127">
        <v>3</v>
      </c>
      <c r="I127" s="12">
        <f>+H127/G127*100</f>
        <v>100</v>
      </c>
      <c r="J127">
        <v>32</v>
      </c>
    </row>
    <row r="129" spans="1:8" ht="12.75">
      <c r="A129" s="2" t="s">
        <v>81</v>
      </c>
      <c r="C129" s="3" t="s">
        <v>68</v>
      </c>
      <c r="D129" s="3" t="s">
        <v>70</v>
      </c>
      <c r="E129" s="3" t="s">
        <v>49</v>
      </c>
      <c r="F129" s="3" t="s">
        <v>60</v>
      </c>
      <c r="G129" s="3" t="s">
        <v>51</v>
      </c>
      <c r="H129" s="3" t="s">
        <v>80</v>
      </c>
    </row>
    <row r="130" spans="1:5" ht="12.75">
      <c r="A130" t="s">
        <v>128</v>
      </c>
      <c r="E130" s="12" t="e">
        <f>+D130/C130</f>
        <v>#DIV/0!</v>
      </c>
    </row>
    <row r="131" spans="1:5" ht="12.75">
      <c r="A131" t="s">
        <v>129</v>
      </c>
      <c r="E131" s="12" t="e">
        <f aca="true" t="shared" si="3" ref="E131:E138">+D131/C131</f>
        <v>#DIV/0!</v>
      </c>
    </row>
    <row r="132" spans="1:5" ht="12.75">
      <c r="A132" t="s">
        <v>130</v>
      </c>
      <c r="E132" s="12" t="e">
        <f t="shared" si="3"/>
        <v>#DIV/0!</v>
      </c>
    </row>
    <row r="133" spans="1:5" ht="12.75">
      <c r="A133" t="s">
        <v>124</v>
      </c>
      <c r="E133" s="12" t="e">
        <f t="shared" si="3"/>
        <v>#DIV/0!</v>
      </c>
    </row>
    <row r="134" spans="1:5" ht="12.75">
      <c r="A134" t="s">
        <v>131</v>
      </c>
      <c r="E134" s="12" t="e">
        <f t="shared" si="3"/>
        <v>#DIV/0!</v>
      </c>
    </row>
    <row r="135" spans="1:5" ht="12.75">
      <c r="A135" t="s">
        <v>132</v>
      </c>
      <c r="E135" s="12" t="e">
        <f t="shared" si="3"/>
        <v>#DIV/0!</v>
      </c>
    </row>
    <row r="136" spans="1:5" ht="12.75">
      <c r="A136" t="s">
        <v>133</v>
      </c>
      <c r="E136" s="12" t="e">
        <f t="shared" si="3"/>
        <v>#DIV/0!</v>
      </c>
    </row>
    <row r="137" spans="1:8" ht="12.75">
      <c r="A137" t="s">
        <v>134</v>
      </c>
      <c r="C137">
        <v>1</v>
      </c>
      <c r="D137">
        <v>23</v>
      </c>
      <c r="E137" s="12">
        <f t="shared" si="3"/>
        <v>23</v>
      </c>
      <c r="F137">
        <v>23</v>
      </c>
      <c r="G137">
        <v>1</v>
      </c>
      <c r="H137">
        <v>0</v>
      </c>
    </row>
    <row r="138" spans="1:5" ht="12.75">
      <c r="A138" t="s">
        <v>135</v>
      </c>
      <c r="E138" s="12" t="e">
        <f t="shared" si="3"/>
        <v>#DIV/0!</v>
      </c>
    </row>
    <row r="139" ht="12.75">
      <c r="A139" t="s">
        <v>136</v>
      </c>
    </row>
    <row r="141" spans="1:4" ht="12.75">
      <c r="A141" s="2" t="s">
        <v>90</v>
      </c>
      <c r="C141" s="2" t="s">
        <v>68</v>
      </c>
      <c r="D141" s="2"/>
    </row>
    <row r="142" ht="12.75">
      <c r="A142" t="s">
        <v>137</v>
      </c>
    </row>
    <row r="143" spans="1:3" ht="12.75">
      <c r="A143" t="s">
        <v>134</v>
      </c>
      <c r="C143">
        <v>1</v>
      </c>
    </row>
    <row r="144" ht="12.75">
      <c r="A144" t="s">
        <v>138</v>
      </c>
    </row>
    <row r="145" ht="12.75">
      <c r="A145" t="s">
        <v>136</v>
      </c>
    </row>
    <row r="146" ht="12.75">
      <c r="A146" t="s">
        <v>139</v>
      </c>
    </row>
    <row r="147" ht="12.75">
      <c r="A147" t="s">
        <v>135</v>
      </c>
    </row>
    <row r="148" ht="12.75">
      <c r="A148" t="s">
        <v>133</v>
      </c>
    </row>
    <row r="149" ht="12.75">
      <c r="A149" t="s">
        <v>140</v>
      </c>
    </row>
    <row r="150" ht="12.75">
      <c r="A150" t="s">
        <v>141</v>
      </c>
    </row>
    <row r="151" spans="1:3" ht="12.75">
      <c r="A151" t="s">
        <v>142</v>
      </c>
      <c r="C151">
        <v>1</v>
      </c>
    </row>
    <row r="152" spans="1:3" ht="12.75">
      <c r="A152" t="s">
        <v>143</v>
      </c>
      <c r="C152">
        <v>1</v>
      </c>
    </row>
    <row r="153" ht="12.75">
      <c r="A153" t="s">
        <v>124</v>
      </c>
    </row>
    <row r="154" ht="12.75">
      <c r="A154" t="s">
        <v>129</v>
      </c>
    </row>
    <row r="155" ht="12.75">
      <c r="A155" t="s">
        <v>132</v>
      </c>
    </row>
    <row r="156" ht="12.75">
      <c r="A156" t="s">
        <v>144</v>
      </c>
    </row>
    <row r="158" spans="4:14" ht="12.75">
      <c r="D158" s="2" t="s">
        <v>84</v>
      </c>
      <c r="E158" s="2" t="s">
        <v>85</v>
      </c>
      <c r="M158" s="2" t="s">
        <v>84</v>
      </c>
      <c r="N158" s="2" t="s">
        <v>85</v>
      </c>
    </row>
    <row r="159" spans="1:13" ht="12.75">
      <c r="A159" t="s">
        <v>93</v>
      </c>
      <c r="D159">
        <v>14</v>
      </c>
      <c r="H159" t="s">
        <v>93</v>
      </c>
      <c r="M159">
        <v>14</v>
      </c>
    </row>
    <row r="160" spans="1:13" ht="12.75">
      <c r="A160" t="s">
        <v>94</v>
      </c>
      <c r="D160">
        <v>4</v>
      </c>
      <c r="H160" t="s">
        <v>94</v>
      </c>
      <c r="M160">
        <v>6</v>
      </c>
    </row>
    <row r="161" spans="1:13" ht="12.75">
      <c r="A161" t="s">
        <v>95</v>
      </c>
      <c r="D161">
        <f>D160/D159*100</f>
        <v>28.57142857142857</v>
      </c>
      <c r="H161" t="s">
        <v>95</v>
      </c>
      <c r="M161">
        <f>+M160/M159*100</f>
        <v>42.857142857142854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</sheetPr>
  <dimension ref="A1:Y161"/>
  <sheetViews>
    <sheetView zoomScalePageLayoutView="0" workbookViewId="0" topLeftCell="A2">
      <selection activeCell="W102" sqref="W102:W106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109</v>
      </c>
      <c r="E1" s="2" t="s">
        <v>96</v>
      </c>
      <c r="F1" s="2" t="s">
        <v>97</v>
      </c>
    </row>
    <row r="2" ht="12.75">
      <c r="F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13</v>
      </c>
      <c r="H6" s="1" t="s">
        <v>29</v>
      </c>
      <c r="M6" s="2">
        <f>M7+M8+M9</f>
        <v>27</v>
      </c>
    </row>
    <row r="7" spans="1:13" ht="12.75">
      <c r="A7" s="1" t="s">
        <v>103</v>
      </c>
      <c r="D7" s="2">
        <v>4</v>
      </c>
      <c r="H7" s="1" t="s">
        <v>103</v>
      </c>
      <c r="M7" s="2">
        <v>9</v>
      </c>
    </row>
    <row r="8" spans="1:13" ht="12.75">
      <c r="A8" s="1" t="s">
        <v>105</v>
      </c>
      <c r="D8" s="2">
        <v>8</v>
      </c>
      <c r="H8" s="1" t="s">
        <v>105</v>
      </c>
      <c r="M8" s="2">
        <v>14</v>
      </c>
    </row>
    <row r="9" spans="1:13" ht="12.75">
      <c r="A9" s="1" t="s">
        <v>104</v>
      </c>
      <c r="D9" s="2">
        <v>1</v>
      </c>
      <c r="H9" s="1" t="s">
        <v>104</v>
      </c>
      <c r="M9" s="2">
        <v>4</v>
      </c>
    </row>
    <row r="11" spans="1:23" ht="12.75">
      <c r="A11" t="s">
        <v>1</v>
      </c>
      <c r="D11" s="2">
        <v>29</v>
      </c>
      <c r="H11" t="s">
        <v>1</v>
      </c>
      <c r="M11" s="2">
        <v>35</v>
      </c>
      <c r="V11">
        <f>+D11</f>
        <v>29</v>
      </c>
      <c r="W11">
        <f>+M11</f>
        <v>35</v>
      </c>
    </row>
    <row r="12" spans="1:23" ht="12.75">
      <c r="A12" t="s">
        <v>2</v>
      </c>
      <c r="D12" s="2">
        <v>62</v>
      </c>
      <c r="H12" t="s">
        <v>2</v>
      </c>
      <c r="M12" s="2">
        <v>109</v>
      </c>
      <c r="U12" s="13"/>
      <c r="V12">
        <f>+D16</f>
        <v>13</v>
      </c>
      <c r="W12">
        <f>+M16</f>
        <v>22</v>
      </c>
    </row>
    <row r="13" spans="1:23" ht="12.75">
      <c r="A13" s="1" t="s">
        <v>3</v>
      </c>
      <c r="D13" s="8">
        <f>+D12/D11</f>
        <v>2.1379310344827585</v>
      </c>
      <c r="H13" s="1" t="s">
        <v>3</v>
      </c>
      <c r="M13" s="8">
        <f>M12/M11</f>
        <v>3.1142857142857143</v>
      </c>
      <c r="V13">
        <f>+(D15-D16)/2</f>
        <v>6</v>
      </c>
      <c r="W13">
        <f>+(M15-M16)/2</f>
        <v>5.5</v>
      </c>
    </row>
    <row r="14" spans="22:23" ht="12.75">
      <c r="V14">
        <f>+D38/2</f>
        <v>4.5</v>
      </c>
      <c r="W14">
        <f>+M38/2</f>
        <v>2</v>
      </c>
    </row>
    <row r="15" spans="1:23" ht="12.75">
      <c r="A15" t="s">
        <v>4</v>
      </c>
      <c r="D15" s="2">
        <v>25</v>
      </c>
      <c r="H15" t="s">
        <v>4</v>
      </c>
      <c r="M15" s="2">
        <v>33</v>
      </c>
      <c r="V15">
        <f>+D42/2</f>
        <v>1.5</v>
      </c>
      <c r="W15">
        <f>+M42/2</f>
        <v>3.5</v>
      </c>
    </row>
    <row r="16" spans="1:23" ht="12.75">
      <c r="A16" t="s">
        <v>5</v>
      </c>
      <c r="D16" s="2">
        <v>13</v>
      </c>
      <c r="H16" t="s">
        <v>5</v>
      </c>
      <c r="M16" s="2">
        <v>22</v>
      </c>
      <c r="V16">
        <f>+D48/2</f>
        <v>1.5</v>
      </c>
      <c r="W16">
        <f>+M48/2</f>
        <v>0.5</v>
      </c>
    </row>
    <row r="17" spans="1:13" ht="12.75">
      <c r="A17" t="s">
        <v>6</v>
      </c>
      <c r="D17" s="8">
        <f>+D16/D15*100</f>
        <v>52</v>
      </c>
      <c r="H17" t="s">
        <v>6</v>
      </c>
      <c r="M17" s="8">
        <f>+M16/M15*100</f>
        <v>66.66666666666666</v>
      </c>
    </row>
    <row r="18" spans="1:24" ht="12.75">
      <c r="A18" t="s">
        <v>7</v>
      </c>
      <c r="D18" s="2">
        <v>148</v>
      </c>
      <c r="H18" t="s">
        <v>7</v>
      </c>
      <c r="M18" s="2">
        <v>236</v>
      </c>
      <c r="V18">
        <f>SUM(V11:V16)</f>
        <v>55.5</v>
      </c>
      <c r="W18">
        <f>SUM(W11:W16)</f>
        <v>68.5</v>
      </c>
      <c r="X18">
        <f>+W18+V18</f>
        <v>124</v>
      </c>
    </row>
    <row r="19" spans="1:23" ht="12.75">
      <c r="A19" t="s">
        <v>8</v>
      </c>
      <c r="D19" s="2">
        <v>5</v>
      </c>
      <c r="H19" t="s">
        <v>8</v>
      </c>
      <c r="M19" s="2">
        <v>3</v>
      </c>
      <c r="V19">
        <f>+V18/X18</f>
        <v>0.4475806451612903</v>
      </c>
      <c r="W19">
        <f>+W18/X18</f>
        <v>0.5524193548387096</v>
      </c>
    </row>
    <row r="20" spans="1:23" ht="12.75">
      <c r="A20" t="s">
        <v>9</v>
      </c>
      <c r="D20" s="2">
        <v>42</v>
      </c>
      <c r="H20" t="s">
        <v>9</v>
      </c>
      <c r="M20" s="2">
        <v>23</v>
      </c>
      <c r="V20">
        <f>+V19*60</f>
        <v>26.85483870967742</v>
      </c>
      <c r="W20">
        <f>+W19*60</f>
        <v>33.14516129032258</v>
      </c>
    </row>
    <row r="21" spans="1:23" ht="12.75">
      <c r="A21" t="s">
        <v>10</v>
      </c>
      <c r="D21">
        <f>+D18-D20</f>
        <v>106</v>
      </c>
      <c r="H21" t="s">
        <v>10</v>
      </c>
      <c r="M21">
        <f>+M18-M20</f>
        <v>213</v>
      </c>
      <c r="V21">
        <f>+V20-INT(V20)</f>
        <v>0.8548387096774199</v>
      </c>
      <c r="W21">
        <f>+W20-INT(W20)</f>
        <v>0.14516129032257652</v>
      </c>
    </row>
    <row r="22" spans="1:23" ht="12.75">
      <c r="A22" t="s">
        <v>11</v>
      </c>
      <c r="D22" s="7">
        <f>+D21/(D15+D19)</f>
        <v>3.533333333333333</v>
      </c>
      <c r="H22" t="s">
        <v>11</v>
      </c>
      <c r="M22" s="7">
        <f>+M21/(M15+M19)</f>
        <v>5.916666666666667</v>
      </c>
      <c r="V22">
        <f>+V21*60</f>
        <v>51.290322580645196</v>
      </c>
      <c r="W22">
        <f>+W21*60</f>
        <v>8.709677419354591</v>
      </c>
    </row>
    <row r="23" spans="1:23" ht="12.75">
      <c r="A23" t="s">
        <v>12</v>
      </c>
      <c r="D23" s="7">
        <f>+D18/D16</f>
        <v>11.384615384615385</v>
      </c>
      <c r="H23" t="s">
        <v>12</v>
      </c>
      <c r="M23" s="7">
        <f>+M18/M16</f>
        <v>10.727272727272727</v>
      </c>
      <c r="U23">
        <v>0</v>
      </c>
      <c r="V23" s="11">
        <f>ROUND(V22,0)</f>
        <v>51</v>
      </c>
      <c r="W23">
        <f>ROUND(W22,0)</f>
        <v>9</v>
      </c>
    </row>
    <row r="24" spans="22:23" ht="12.75">
      <c r="V24">
        <f>INT(V20)</f>
        <v>26</v>
      </c>
      <c r="W24">
        <f>INT(W20)</f>
        <v>33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168</v>
      </c>
      <c r="H26" t="s">
        <v>14</v>
      </c>
      <c r="M26">
        <f>+M21+M12</f>
        <v>322</v>
      </c>
      <c r="Q26" s="9"/>
      <c r="R26" s="9"/>
      <c r="V26" s="14" t="str">
        <f>+V24&amp;V25&amp;V23</f>
        <v>26:51</v>
      </c>
      <c r="W26" s="9" t="str">
        <f>+W24&amp;W25&amp;W23</f>
        <v>33:9</v>
      </c>
    </row>
    <row r="27" spans="1:23" ht="12.75">
      <c r="A27" t="s">
        <v>15</v>
      </c>
      <c r="D27" s="7">
        <f>+D12/D26*100</f>
        <v>36.904761904761905</v>
      </c>
      <c r="H27" t="s">
        <v>15</v>
      </c>
      <c r="M27" s="7">
        <f>+M12/M26*100</f>
        <v>33.85093167701863</v>
      </c>
      <c r="V27" s="9" t="str">
        <f>IF(V23&lt;10,+V24&amp;V25&amp;$U$23&amp;V23,+V24&amp;V25&amp;V23)</f>
        <v>26:51</v>
      </c>
      <c r="W27" s="9" t="str">
        <f>IF(W23&lt;10,+W24&amp;W25&amp;$U$23&amp;W23,+W24&amp;W25&amp;W23)</f>
        <v>33:09</v>
      </c>
    </row>
    <row r="28" spans="1:13" ht="12.75">
      <c r="A28" s="1" t="s">
        <v>86</v>
      </c>
      <c r="D28" s="7">
        <f>+D21/D26*100</f>
        <v>63.095238095238095</v>
      </c>
      <c r="H28" s="1" t="s">
        <v>86</v>
      </c>
      <c r="M28" s="7">
        <f>+M21/M26*100</f>
        <v>66.14906832298136</v>
      </c>
    </row>
    <row r="30" spans="1:13" ht="12.75">
      <c r="A30" t="s">
        <v>16</v>
      </c>
      <c r="D30">
        <f>+D11+D15+D19</f>
        <v>59</v>
      </c>
      <c r="H30" t="s">
        <v>16</v>
      </c>
      <c r="M30">
        <f>+M11+M15+M19</f>
        <v>71</v>
      </c>
    </row>
    <row r="31" spans="1:13" ht="12.75">
      <c r="A31" t="s">
        <v>17</v>
      </c>
      <c r="D31" s="8">
        <f>+D26/D30</f>
        <v>2.847457627118644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4.535211267605634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0</v>
      </c>
      <c r="H34" t="s">
        <v>19</v>
      </c>
      <c r="M34" s="2">
        <v>2</v>
      </c>
    </row>
    <row r="35" spans="1:13" ht="12.75">
      <c r="A35" t="s">
        <v>20</v>
      </c>
      <c r="D35" s="2">
        <v>0</v>
      </c>
      <c r="H35" t="s">
        <v>20</v>
      </c>
      <c r="M35" s="2">
        <v>0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9</v>
      </c>
      <c r="H38" t="s">
        <v>22</v>
      </c>
      <c r="M38" s="2">
        <v>4</v>
      </c>
    </row>
    <row r="39" spans="1:13" ht="12.75">
      <c r="A39" t="s">
        <v>23</v>
      </c>
      <c r="D39" s="2">
        <v>428</v>
      </c>
      <c r="H39" t="s">
        <v>23</v>
      </c>
      <c r="M39" s="2">
        <v>150</v>
      </c>
    </row>
    <row r="40" spans="1:13" ht="12.75">
      <c r="A40" t="s">
        <v>24</v>
      </c>
      <c r="D40" s="8">
        <f>+D39/D38</f>
        <v>47.55555555555556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37.5</v>
      </c>
    </row>
    <row r="42" spans="1:13" ht="12.75">
      <c r="A42" t="s">
        <v>25</v>
      </c>
      <c r="D42" s="2">
        <v>3</v>
      </c>
      <c r="H42" t="s">
        <v>25</v>
      </c>
      <c r="M42" s="2">
        <v>7</v>
      </c>
    </row>
    <row r="43" spans="1:13" ht="12.75">
      <c r="A43" t="s">
        <v>26</v>
      </c>
      <c r="D43" s="2">
        <v>30</v>
      </c>
      <c r="H43" t="s">
        <v>26</v>
      </c>
      <c r="M43" s="2">
        <v>56</v>
      </c>
    </row>
    <row r="44" spans="1:13" ht="12.75">
      <c r="A44" t="s">
        <v>27</v>
      </c>
      <c r="D44" s="8">
        <f>+D43/D42</f>
        <v>10</v>
      </c>
      <c r="H44" t="s">
        <v>27</v>
      </c>
      <c r="M44" s="8">
        <f>+M43/M42</f>
        <v>8</v>
      </c>
    </row>
    <row r="45" spans="1:13" ht="12.75">
      <c r="A45" t="s">
        <v>106</v>
      </c>
      <c r="D45" s="2">
        <v>0</v>
      </c>
      <c r="H45" t="s">
        <v>106</v>
      </c>
      <c r="M45" s="2">
        <v>1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3</v>
      </c>
      <c r="H48" t="s">
        <v>30</v>
      </c>
      <c r="M48" s="2">
        <v>1</v>
      </c>
    </row>
    <row r="49" spans="1:13" ht="12.75">
      <c r="A49" t="s">
        <v>26</v>
      </c>
      <c r="D49" s="2">
        <v>71</v>
      </c>
      <c r="H49" t="s">
        <v>26</v>
      </c>
      <c r="M49" s="2">
        <v>17</v>
      </c>
    </row>
    <row r="50" spans="1:13" ht="12.75">
      <c r="A50" t="s">
        <v>27</v>
      </c>
      <c r="D50" s="8">
        <f>+D49/D48</f>
        <v>23.666666666666668</v>
      </c>
      <c r="H50" t="s">
        <v>27</v>
      </c>
      <c r="M50" s="8">
        <f>+M49/M48</f>
        <v>17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2" ht="12.75">
      <c r="D52" s="2"/>
    </row>
    <row r="53" spans="1:13" ht="12.75">
      <c r="A53" t="s">
        <v>31</v>
      </c>
      <c r="D53" s="2">
        <v>8</v>
      </c>
      <c r="H53" t="s">
        <v>31</v>
      </c>
      <c r="M53" s="2">
        <v>6</v>
      </c>
    </row>
    <row r="54" spans="1:13" ht="12.75">
      <c r="A54" t="s">
        <v>32</v>
      </c>
      <c r="D54" s="2">
        <v>80</v>
      </c>
      <c r="H54" t="s">
        <v>32</v>
      </c>
      <c r="M54" s="2">
        <v>54</v>
      </c>
    </row>
    <row r="55" ht="12.75">
      <c r="D55" s="2"/>
    </row>
    <row r="56" spans="1:13" ht="12.75">
      <c r="A56" t="s">
        <v>33</v>
      </c>
      <c r="D56" s="2">
        <v>0</v>
      </c>
      <c r="H56" t="s">
        <v>33</v>
      </c>
      <c r="M56" s="2">
        <v>1</v>
      </c>
    </row>
    <row r="57" spans="1:13" ht="12.75">
      <c r="A57" t="s">
        <v>101</v>
      </c>
      <c r="D57" s="2">
        <v>0</v>
      </c>
      <c r="H57" t="s">
        <v>101</v>
      </c>
      <c r="M57" s="2">
        <v>0</v>
      </c>
    </row>
    <row r="59" spans="1:13" ht="12.75">
      <c r="A59" t="s">
        <v>34</v>
      </c>
      <c r="D59" s="2">
        <v>7</v>
      </c>
      <c r="H59" t="s">
        <v>34</v>
      </c>
      <c r="M59" s="2">
        <v>27</v>
      </c>
    </row>
    <row r="60" spans="1:13" ht="12.75">
      <c r="A60" t="s">
        <v>35</v>
      </c>
      <c r="D60" s="2">
        <v>1</v>
      </c>
      <c r="H60" t="s">
        <v>35</v>
      </c>
      <c r="M60" s="2">
        <v>3</v>
      </c>
    </row>
    <row r="61" spans="1:13" ht="12.75">
      <c r="A61" t="s">
        <v>36</v>
      </c>
      <c r="D61" s="2">
        <v>0</v>
      </c>
      <c r="H61" t="s">
        <v>36</v>
      </c>
      <c r="M61" s="2">
        <v>2</v>
      </c>
    </row>
    <row r="62" spans="1:13" ht="12.75">
      <c r="A62" t="s">
        <v>37</v>
      </c>
      <c r="D62" s="2">
        <v>1</v>
      </c>
      <c r="H62" t="s">
        <v>37</v>
      </c>
      <c r="M62" s="2">
        <v>1</v>
      </c>
    </row>
    <row r="63" spans="1:13" ht="12.75">
      <c r="A63" t="s">
        <v>38</v>
      </c>
      <c r="D63" s="2">
        <v>0</v>
      </c>
      <c r="H63" t="s">
        <v>38</v>
      </c>
      <c r="M63" s="2">
        <v>0</v>
      </c>
    </row>
    <row r="64" spans="1:13" ht="12.75">
      <c r="A64" t="s">
        <v>39</v>
      </c>
      <c r="D64" s="2">
        <v>1</v>
      </c>
      <c r="H64" t="s">
        <v>39</v>
      </c>
      <c r="M64" s="2">
        <v>3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0</v>
      </c>
      <c r="H66" t="s">
        <v>41</v>
      </c>
      <c r="M66" s="2">
        <v>2</v>
      </c>
    </row>
    <row r="67" spans="1:13" ht="12.75">
      <c r="A67" t="s">
        <v>42</v>
      </c>
      <c r="D67" s="2">
        <v>1</v>
      </c>
      <c r="H67" t="s">
        <v>42</v>
      </c>
      <c r="M67" s="2">
        <v>2</v>
      </c>
    </row>
    <row r="68" spans="1:13" ht="12.75">
      <c r="A68" t="s">
        <v>43</v>
      </c>
      <c r="D68" s="7">
        <f>+D66/D67*100</f>
        <v>0</v>
      </c>
      <c r="E68" s="7"/>
      <c r="F68" s="7"/>
      <c r="G68" s="7"/>
      <c r="H68" s="7" t="s">
        <v>43</v>
      </c>
      <c r="I68" s="7"/>
      <c r="J68" s="7"/>
      <c r="K68" s="7"/>
      <c r="L68" s="7"/>
      <c r="M68" s="8">
        <f>+M66/M67*100</f>
        <v>100</v>
      </c>
    </row>
    <row r="69" spans="1:13" ht="12.75">
      <c r="A69" t="s">
        <v>89</v>
      </c>
      <c r="D69" s="10" t="str">
        <f>IF(V23&lt;10,V27,V26)</f>
        <v>26:51</v>
      </c>
      <c r="E69" s="8"/>
      <c r="F69" s="8"/>
      <c r="H69" t="s">
        <v>89</v>
      </c>
      <c r="M69" s="10" t="str">
        <f>IF(W23&lt;10,W27,W26)</f>
        <v>33:09</v>
      </c>
    </row>
    <row r="70" spans="1:13" ht="12.75">
      <c r="A70" t="s">
        <v>102</v>
      </c>
      <c r="D70" s="23">
        <f>D161</f>
        <v>21.428571428571427</v>
      </c>
      <c r="E70" s="8"/>
      <c r="F70" s="8"/>
      <c r="H70" t="s">
        <v>102</v>
      </c>
      <c r="M70" s="23">
        <f>M161</f>
        <v>35.714285714285715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2" t="s">
        <v>80</v>
      </c>
    </row>
    <row r="74" spans="1:8" ht="12.75">
      <c r="A74" t="s">
        <v>110</v>
      </c>
      <c r="C74">
        <v>15</v>
      </c>
      <c r="D74">
        <v>45</v>
      </c>
      <c r="E74" s="12">
        <f aca="true" t="shared" si="0" ref="E74:E84">+D74/C74</f>
        <v>3</v>
      </c>
      <c r="F74">
        <v>10</v>
      </c>
      <c r="G74">
        <v>0</v>
      </c>
      <c r="H74">
        <v>0</v>
      </c>
    </row>
    <row r="75" spans="1:8" ht="12.75">
      <c r="A75" t="s">
        <v>111</v>
      </c>
      <c r="C75">
        <v>10</v>
      </c>
      <c r="D75">
        <v>15</v>
      </c>
      <c r="E75" s="12">
        <f t="shared" si="0"/>
        <v>1.5</v>
      </c>
      <c r="F75">
        <v>6</v>
      </c>
      <c r="G75">
        <v>0</v>
      </c>
      <c r="H75">
        <v>0</v>
      </c>
    </row>
    <row r="76" spans="1:5" ht="12.75">
      <c r="A76" t="s">
        <v>112</v>
      </c>
      <c r="E76" s="12" t="e">
        <f t="shared" si="0"/>
        <v>#DIV/0!</v>
      </c>
    </row>
    <row r="77" spans="1:8" ht="12.75">
      <c r="A77" t="s">
        <v>113</v>
      </c>
      <c r="C77">
        <v>1</v>
      </c>
      <c r="D77">
        <v>1</v>
      </c>
      <c r="E77" s="12">
        <f t="shared" si="0"/>
        <v>1</v>
      </c>
      <c r="F77">
        <v>1</v>
      </c>
      <c r="G77">
        <v>0</v>
      </c>
      <c r="H77">
        <v>0</v>
      </c>
    </row>
    <row r="78" spans="1:5" ht="12.75">
      <c r="A78" t="s">
        <v>108</v>
      </c>
      <c r="E78" s="12" t="e">
        <f t="shared" si="0"/>
        <v>#DIV/0!</v>
      </c>
    </row>
    <row r="79" spans="1:8" ht="12.75">
      <c r="A79" t="s">
        <v>114</v>
      </c>
      <c r="C79">
        <v>3</v>
      </c>
      <c r="D79">
        <v>1</v>
      </c>
      <c r="E79" s="12">
        <f t="shared" si="0"/>
        <v>0.3333333333333333</v>
      </c>
      <c r="F79">
        <v>1</v>
      </c>
      <c r="G79">
        <v>0</v>
      </c>
      <c r="H79">
        <v>0</v>
      </c>
    </row>
    <row r="80" spans="1:5" ht="12.75">
      <c r="A80" t="s">
        <v>115</v>
      </c>
      <c r="E80" s="12" t="e">
        <f t="shared" si="0"/>
        <v>#DIV/0!</v>
      </c>
    </row>
    <row r="81" spans="1:5" ht="12.75">
      <c r="A81" t="s">
        <v>116</v>
      </c>
      <c r="E81" s="12" t="e">
        <f t="shared" si="0"/>
        <v>#DIV/0!</v>
      </c>
    </row>
    <row r="82" spans="1:5" ht="12.75">
      <c r="A82" t="s">
        <v>117</v>
      </c>
      <c r="E82" s="12" t="e">
        <f t="shared" si="0"/>
        <v>#DIV/0!</v>
      </c>
    </row>
    <row r="83" spans="1:5" ht="12.75">
      <c r="A83" t="s">
        <v>118</v>
      </c>
      <c r="E83" s="12" t="e">
        <f t="shared" si="0"/>
        <v>#DIV/0!</v>
      </c>
    </row>
    <row r="84" spans="1:5" ht="12.75">
      <c r="A84" t="s">
        <v>107</v>
      </c>
      <c r="E84" s="12" t="e">
        <f t="shared" si="0"/>
        <v>#DIV/0!</v>
      </c>
    </row>
    <row r="85" ht="12.75">
      <c r="E85" s="8"/>
    </row>
    <row r="86" spans="1:8" ht="12.75">
      <c r="A86" s="2" t="s">
        <v>52</v>
      </c>
      <c r="C86" s="3" t="s">
        <v>53</v>
      </c>
      <c r="D86" s="3" t="s">
        <v>48</v>
      </c>
      <c r="E86" s="15" t="s">
        <v>49</v>
      </c>
      <c r="F86" s="3" t="s">
        <v>50</v>
      </c>
      <c r="G86" s="3" t="s">
        <v>51</v>
      </c>
      <c r="H86" s="3" t="s">
        <v>80</v>
      </c>
    </row>
    <row r="87" spans="1:5" ht="12.75">
      <c r="A87" t="s">
        <v>107</v>
      </c>
      <c r="E87" s="12" t="e">
        <f aca="true" t="shared" si="1" ref="E87:E97">+D87/C87</f>
        <v>#DIV/0!</v>
      </c>
    </row>
    <row r="88" spans="1:8" ht="12.75">
      <c r="A88" t="s">
        <v>119</v>
      </c>
      <c r="C88">
        <v>6</v>
      </c>
      <c r="D88">
        <v>47</v>
      </c>
      <c r="E88" s="12">
        <f t="shared" si="1"/>
        <v>7.833333333333333</v>
      </c>
      <c r="F88">
        <v>17</v>
      </c>
      <c r="G88">
        <v>0</v>
      </c>
      <c r="H88">
        <v>0</v>
      </c>
    </row>
    <row r="89" spans="1:8" ht="12.75">
      <c r="A89" t="s">
        <v>120</v>
      </c>
      <c r="C89">
        <v>2</v>
      </c>
      <c r="D89">
        <v>43</v>
      </c>
      <c r="E89" s="12">
        <f t="shared" si="1"/>
        <v>21.5</v>
      </c>
      <c r="F89">
        <v>37</v>
      </c>
      <c r="G89">
        <v>1</v>
      </c>
      <c r="H89">
        <v>0</v>
      </c>
    </row>
    <row r="90" spans="1:8" ht="12.75">
      <c r="A90" t="s">
        <v>110</v>
      </c>
      <c r="C90">
        <v>3</v>
      </c>
      <c r="D90">
        <v>31</v>
      </c>
      <c r="E90" s="12">
        <f t="shared" si="1"/>
        <v>10.333333333333334</v>
      </c>
      <c r="F90">
        <v>19</v>
      </c>
      <c r="G90">
        <v>0</v>
      </c>
      <c r="H90">
        <v>0</v>
      </c>
    </row>
    <row r="91" spans="1:5" ht="12.75">
      <c r="A91" t="s">
        <v>111</v>
      </c>
      <c r="E91" s="12" t="e">
        <f t="shared" si="1"/>
        <v>#DIV/0!</v>
      </c>
    </row>
    <row r="92" spans="1:5" ht="12.75">
      <c r="A92" t="s">
        <v>116</v>
      </c>
      <c r="E92" s="12" t="e">
        <f t="shared" si="1"/>
        <v>#DIV/0!</v>
      </c>
    </row>
    <row r="93" spans="1:8" ht="12.75">
      <c r="A93" t="s">
        <v>121</v>
      </c>
      <c r="C93">
        <v>2</v>
      </c>
      <c r="D93">
        <v>27</v>
      </c>
      <c r="E93" s="12">
        <f t="shared" si="1"/>
        <v>13.5</v>
      </c>
      <c r="F93">
        <v>21</v>
      </c>
      <c r="G93">
        <v>0</v>
      </c>
      <c r="H93">
        <v>0</v>
      </c>
    </row>
    <row r="94" spans="1:5" ht="12.75">
      <c r="A94" t="s">
        <v>122</v>
      </c>
      <c r="E94" s="12" t="e">
        <f t="shared" si="1"/>
        <v>#DIV/0!</v>
      </c>
    </row>
    <row r="95" spans="1:5" ht="12.75">
      <c r="A95" t="s">
        <v>115</v>
      </c>
      <c r="E95" s="12" t="e">
        <f t="shared" si="1"/>
        <v>#DIV/0!</v>
      </c>
    </row>
    <row r="96" spans="1:5" ht="12.75">
      <c r="A96" t="s">
        <v>123</v>
      </c>
      <c r="E96" s="12" t="e">
        <f t="shared" si="1"/>
        <v>#DIV/0!</v>
      </c>
    </row>
    <row r="97" spans="1:5" ht="12.75">
      <c r="A97" t="s">
        <v>113</v>
      </c>
      <c r="E97" s="12" t="e">
        <f t="shared" si="1"/>
        <v>#DIV/0!</v>
      </c>
    </row>
    <row r="98" spans="1:5" ht="12.75">
      <c r="A98" t="s">
        <v>114</v>
      </c>
      <c r="E98" s="12"/>
    </row>
    <row r="99" ht="12.75">
      <c r="E99" s="8"/>
    </row>
    <row r="100" spans="1:13" ht="12.75">
      <c r="A100" s="2"/>
      <c r="B100" s="2"/>
      <c r="C100" s="3"/>
      <c r="D100" s="3"/>
      <c r="E100" s="15" t="s">
        <v>57</v>
      </c>
      <c r="F100" s="3" t="s">
        <v>58</v>
      </c>
      <c r="G100" s="3"/>
      <c r="H100" s="3"/>
      <c r="I100" s="3" t="s">
        <v>61</v>
      </c>
      <c r="J100" s="3" t="s">
        <v>63</v>
      </c>
      <c r="K100" s="3" t="s">
        <v>57</v>
      </c>
      <c r="L100" s="3" t="s">
        <v>49</v>
      </c>
      <c r="M100" s="3"/>
    </row>
    <row r="101" spans="1:14" ht="12.75">
      <c r="A101" s="2" t="s">
        <v>54</v>
      </c>
      <c r="B101" s="2"/>
      <c r="C101" s="3" t="s">
        <v>55</v>
      </c>
      <c r="D101" s="3" t="s">
        <v>56</v>
      </c>
      <c r="E101" s="15" t="s">
        <v>56</v>
      </c>
      <c r="F101" s="3" t="s">
        <v>59</v>
      </c>
      <c r="G101" s="3" t="s">
        <v>51</v>
      </c>
      <c r="H101" s="3" t="s">
        <v>60</v>
      </c>
      <c r="I101" s="5" t="s">
        <v>62</v>
      </c>
      <c r="J101" s="3" t="s">
        <v>51</v>
      </c>
      <c r="K101" s="3" t="s">
        <v>64</v>
      </c>
      <c r="L101" s="3" t="s">
        <v>65</v>
      </c>
      <c r="M101" s="3" t="s">
        <v>66</v>
      </c>
      <c r="N101" s="3" t="s">
        <v>80</v>
      </c>
    </row>
    <row r="102" spans="1:25" ht="12.75">
      <c r="A102" t="s">
        <v>113</v>
      </c>
      <c r="C102">
        <v>25</v>
      </c>
      <c r="D102">
        <v>13</v>
      </c>
      <c r="E102" s="12">
        <f>+D102/C102*100</f>
        <v>52</v>
      </c>
      <c r="F102">
        <v>148</v>
      </c>
      <c r="G102">
        <v>1</v>
      </c>
      <c r="H102">
        <v>37</v>
      </c>
      <c r="I102">
        <v>0</v>
      </c>
      <c r="J102" s="8">
        <f>+G102/C102*100</f>
        <v>4</v>
      </c>
      <c r="K102" s="12">
        <f>+I102/C102*100</f>
        <v>0</v>
      </c>
      <c r="L102" s="12">
        <f>+F102/C102</f>
        <v>5.92</v>
      </c>
      <c r="M102" s="12">
        <f>100*(S102+U102+W102+Y102)/6</f>
        <v>83.41666666666667</v>
      </c>
      <c r="R102">
        <f>+(E102-30)/20</f>
        <v>1.1</v>
      </c>
      <c r="S102" s="2">
        <f>IF(R102&lt;0,0,IF(R102&gt;2.375,2.375,R102))</f>
        <v>1.1</v>
      </c>
      <c r="T102" s="6">
        <f>+(L102-3)/4</f>
        <v>0.73</v>
      </c>
      <c r="U102" s="2">
        <f>IF(T102&lt;0,0,IF(T102&gt;2.375,2.375,T102))</f>
        <v>0.73</v>
      </c>
      <c r="V102">
        <f>+J102/5</f>
        <v>0.8</v>
      </c>
      <c r="W102" s="2">
        <f>IF(V102&lt;0,0,IF(V102&gt;2.375,2.375,V102))</f>
        <v>0.8</v>
      </c>
      <c r="X102">
        <f>(9.5-K102)/4</f>
        <v>2.375</v>
      </c>
      <c r="Y102" s="2">
        <f>IF(X102&lt;0,0,X102)</f>
        <v>2.375</v>
      </c>
    </row>
    <row r="103" spans="1:25" ht="12.75">
      <c r="A103" t="s">
        <v>112</v>
      </c>
      <c r="E103" s="12" t="e">
        <f>+D103/C103*100</f>
        <v>#DIV/0!</v>
      </c>
      <c r="J103" s="8" t="e">
        <f>+G103/C103*100</f>
        <v>#DIV/0!</v>
      </c>
      <c r="K103" s="12" t="e">
        <f>+I103/C103*100</f>
        <v>#DIV/0!</v>
      </c>
      <c r="L103" s="12" t="e">
        <f>+F103/C103</f>
        <v>#DIV/0!</v>
      </c>
      <c r="M103" s="12" t="e">
        <f>100*(S103+U103+W103+Y103)/6</f>
        <v>#DIV/0!</v>
      </c>
      <c r="R103" t="e">
        <f>+(E103-30)/20</f>
        <v>#DIV/0!</v>
      </c>
      <c r="S103" s="2" t="e">
        <f>IF(R103&lt;0,0,IF(R103&gt;2.375,2.375,R103))</f>
        <v>#DIV/0!</v>
      </c>
      <c r="T103" s="6" t="e">
        <f>+(L103-3)/4</f>
        <v>#DIV/0!</v>
      </c>
      <c r="U103" s="2" t="e">
        <f>IF(T103&lt;0,0,IF(T103&gt;2.375,2.375,T103))</f>
        <v>#DIV/0!</v>
      </c>
      <c r="V103" t="e">
        <f>+J103/5</f>
        <v>#DIV/0!</v>
      </c>
      <c r="W103" s="2" t="e">
        <f>IF(V103&lt;0,0,IF(V103&gt;2.375,2.375,V103))</f>
        <v>#DIV/0!</v>
      </c>
      <c r="X103" t="e">
        <f>(9.5-K103)/4</f>
        <v>#DIV/0!</v>
      </c>
      <c r="Y103" s="2" t="e">
        <f>IF(X103&lt;0,0,X103)</f>
        <v>#DIV/0!</v>
      </c>
    </row>
    <row r="104" spans="1:25" ht="12.75">
      <c r="A104" t="s">
        <v>118</v>
      </c>
      <c r="E104" s="12" t="e">
        <f>+D104/C104*100</f>
        <v>#DIV/0!</v>
      </c>
      <c r="J104" s="8" t="e">
        <f>+G104/C104*100</f>
        <v>#DIV/0!</v>
      </c>
      <c r="K104" s="12" t="e">
        <f>+I104/C104*100</f>
        <v>#DIV/0!</v>
      </c>
      <c r="L104" s="12" t="e">
        <f>+F104/C104</f>
        <v>#DIV/0!</v>
      </c>
      <c r="M104" s="12" t="e">
        <f>100*(S104+U104+W104+Y104)/6</f>
        <v>#DIV/0!</v>
      </c>
      <c r="R104" t="e">
        <f>+(E104-30)/20</f>
        <v>#DIV/0!</v>
      </c>
      <c r="S104" s="2" t="e">
        <f>IF(R104&lt;0,0,IF(R104&gt;2.375,2.375,R104))</f>
        <v>#DIV/0!</v>
      </c>
      <c r="T104" s="6" t="e">
        <f>+(L104-3)/4</f>
        <v>#DIV/0!</v>
      </c>
      <c r="U104" s="2" t="e">
        <f>IF(T104&lt;0,0,IF(T104&gt;2.375,2.375,T104))</f>
        <v>#DIV/0!</v>
      </c>
      <c r="V104" t="e">
        <f>+J104/5</f>
        <v>#DIV/0!</v>
      </c>
      <c r="W104" s="2" t="e">
        <f>IF(V104&lt;0,0,IF(V104&gt;2.375,2.375,V104))</f>
        <v>#DIV/0!</v>
      </c>
      <c r="X104" t="e">
        <f>(9.5-K104)/4</f>
        <v>#DIV/0!</v>
      </c>
      <c r="Y104" s="2" t="e">
        <f>IF(X104&lt;0,0,X104)</f>
        <v>#DIV/0!</v>
      </c>
    </row>
    <row r="105" spans="1:25" ht="12.75">
      <c r="A105" t="s">
        <v>116</v>
      </c>
      <c r="E105" s="12" t="e">
        <f>+D105/C105*100</f>
        <v>#DIV/0!</v>
      </c>
      <c r="J105" s="8" t="e">
        <f>+G105/C105*100</f>
        <v>#DIV/0!</v>
      </c>
      <c r="K105" s="12" t="e">
        <f>+I105/C105*100</f>
        <v>#DIV/0!</v>
      </c>
      <c r="L105" s="12" t="e">
        <f>+F105/C105</f>
        <v>#DIV/0!</v>
      </c>
      <c r="M105" s="12" t="e">
        <f>100*(S105+U105+W105+Y105)/6</f>
        <v>#DIV/0!</v>
      </c>
      <c r="R105" t="e">
        <f>+(E105-30)/20</f>
        <v>#DIV/0!</v>
      </c>
      <c r="S105" s="2" t="e">
        <f>IF(R105&lt;0,0,IF(R105&gt;2.375,2.375,R105))</f>
        <v>#DIV/0!</v>
      </c>
      <c r="T105" s="6" t="e">
        <f>+(L105-3)/4</f>
        <v>#DIV/0!</v>
      </c>
      <c r="U105" s="2" t="e">
        <f>IF(T105&lt;0,0,IF(T105&gt;2.375,2.375,T105))</f>
        <v>#DIV/0!</v>
      </c>
      <c r="V105" t="e">
        <f>+J105/5</f>
        <v>#DIV/0!</v>
      </c>
      <c r="W105" s="2" t="e">
        <f>IF(V105&lt;0,0,IF(V105&gt;2.375,2.375,V105))</f>
        <v>#DIV/0!</v>
      </c>
      <c r="X105" t="e">
        <f>(9.5-K105)/4</f>
        <v>#DIV/0!</v>
      </c>
      <c r="Y105" s="2" t="e">
        <f>IF(X105&lt;0,0,X105)</f>
        <v>#DIV/0!</v>
      </c>
    </row>
    <row r="106" spans="1:25" ht="12.75">
      <c r="A106" t="s">
        <v>107</v>
      </c>
      <c r="E106" s="12" t="e">
        <f>+D106/C106*100</f>
        <v>#DIV/0!</v>
      </c>
      <c r="J106" s="8" t="e">
        <f>+G106/C106*100</f>
        <v>#DIV/0!</v>
      </c>
      <c r="K106" s="12" t="e">
        <f>+I106/C106*100</f>
        <v>#DIV/0!</v>
      </c>
      <c r="L106" s="12" t="e">
        <f>+F106/C106</f>
        <v>#DIV/0!</v>
      </c>
      <c r="M106" s="12" t="e">
        <f>100*(S106+U106+W106+Y106)/6</f>
        <v>#DIV/0!</v>
      </c>
      <c r="R106" t="e">
        <f>+(E106-30)/20</f>
        <v>#DIV/0!</v>
      </c>
      <c r="S106" s="2" t="e">
        <f>IF(R106&lt;0,0,IF(R106&gt;2.375,2.375,R106))</f>
        <v>#DIV/0!</v>
      </c>
      <c r="T106" s="6" t="e">
        <f>+(L106-3)/4</f>
        <v>#DIV/0!</v>
      </c>
      <c r="U106" s="2" t="e">
        <f>IF(T106&lt;0,0,IF(T106&gt;2.375,2.375,T106))</f>
        <v>#DIV/0!</v>
      </c>
      <c r="V106" t="e">
        <f>+J106/5</f>
        <v>#DIV/0!</v>
      </c>
      <c r="W106" s="2" t="e">
        <f>IF(V106&lt;0,0,IF(V106&gt;2.375,2.375,V106))</f>
        <v>#DIV/0!</v>
      </c>
      <c r="X106" t="e">
        <f>(9.5-K106)/4</f>
        <v>#DIV/0!</v>
      </c>
      <c r="Y106" s="2" t="e">
        <f>IF(X106&lt;0,0,X106)</f>
        <v>#DIV/0!</v>
      </c>
    </row>
    <row r="109" spans="1:9" ht="12.75">
      <c r="A109" s="2" t="s">
        <v>67</v>
      </c>
      <c r="C109" s="3" t="s">
        <v>68</v>
      </c>
      <c r="D109" s="3" t="s">
        <v>69</v>
      </c>
      <c r="E109" s="3" t="s">
        <v>70</v>
      </c>
      <c r="F109" s="3" t="s">
        <v>49</v>
      </c>
      <c r="G109" s="3" t="s">
        <v>60</v>
      </c>
      <c r="H109" s="3" t="s">
        <v>51</v>
      </c>
      <c r="I109" s="3" t="s">
        <v>80</v>
      </c>
    </row>
    <row r="110" spans="1:9" ht="12.75">
      <c r="A110" t="s">
        <v>124</v>
      </c>
      <c r="C110">
        <v>2</v>
      </c>
      <c r="D110">
        <v>0</v>
      </c>
      <c r="E110">
        <v>20</v>
      </c>
      <c r="F110" s="12">
        <f>+E110/C110</f>
        <v>10</v>
      </c>
      <c r="G110">
        <v>10</v>
      </c>
      <c r="H110">
        <v>0</v>
      </c>
      <c r="I110">
        <v>0</v>
      </c>
    </row>
    <row r="111" spans="1:9" ht="12.75">
      <c r="A111" t="s">
        <v>123</v>
      </c>
      <c r="C111">
        <v>1</v>
      </c>
      <c r="D111">
        <v>0</v>
      </c>
      <c r="E111">
        <v>10</v>
      </c>
      <c r="F111" s="12">
        <f>+E111/C111</f>
        <v>10</v>
      </c>
      <c r="G111">
        <v>10</v>
      </c>
      <c r="H111">
        <v>0</v>
      </c>
      <c r="I111">
        <v>0</v>
      </c>
    </row>
    <row r="112" spans="1:6" ht="12.75">
      <c r="A112" t="s">
        <v>117</v>
      </c>
      <c r="F112" s="12" t="e">
        <f>+E112/C112</f>
        <v>#DIV/0!</v>
      </c>
    </row>
    <row r="114" spans="1:8" ht="12.75">
      <c r="A114" s="2" t="s">
        <v>30</v>
      </c>
      <c r="C114" s="3" t="s">
        <v>68</v>
      </c>
      <c r="D114" s="3" t="s">
        <v>70</v>
      </c>
      <c r="E114" s="3" t="s">
        <v>49</v>
      </c>
      <c r="F114" s="3" t="s">
        <v>60</v>
      </c>
      <c r="G114" s="3" t="s">
        <v>51</v>
      </c>
      <c r="H114" s="3" t="s">
        <v>80</v>
      </c>
    </row>
    <row r="115" spans="1:8" ht="12.75">
      <c r="A115" t="s">
        <v>114</v>
      </c>
      <c r="C115">
        <v>3</v>
      </c>
      <c r="D115">
        <v>71</v>
      </c>
      <c r="E115" s="12">
        <f aca="true" t="shared" si="2" ref="E115:E120">+D115/C115</f>
        <v>23.666666666666668</v>
      </c>
      <c r="F115">
        <v>35</v>
      </c>
      <c r="G115">
        <v>0</v>
      </c>
      <c r="H115">
        <v>0</v>
      </c>
    </row>
    <row r="116" spans="1:5" ht="12.75">
      <c r="A116" t="s">
        <v>125</v>
      </c>
      <c r="E116" s="12" t="e">
        <f t="shared" si="2"/>
        <v>#DIV/0!</v>
      </c>
    </row>
    <row r="117" spans="1:5" ht="12.75">
      <c r="A117" t="s">
        <v>116</v>
      </c>
      <c r="E117" s="12" t="e">
        <f t="shared" si="2"/>
        <v>#DIV/0!</v>
      </c>
    </row>
    <row r="118" spans="1:5" ht="12.75">
      <c r="A118" t="s">
        <v>108</v>
      </c>
      <c r="E118" s="12" t="e">
        <f t="shared" si="2"/>
        <v>#DIV/0!</v>
      </c>
    </row>
    <row r="119" spans="1:5" ht="12.75">
      <c r="A119" t="s">
        <v>115</v>
      </c>
      <c r="E119" s="12" t="e">
        <f t="shared" si="2"/>
        <v>#DIV/0!</v>
      </c>
    </row>
    <row r="120" spans="1:5" ht="12.75">
      <c r="A120" t="s">
        <v>121</v>
      </c>
      <c r="E120" s="12" t="e">
        <f t="shared" si="2"/>
        <v>#DIV/0!</v>
      </c>
    </row>
    <row r="122" spans="1:7" ht="12.75">
      <c r="A122" s="2" t="s">
        <v>71</v>
      </c>
      <c r="C122" s="3" t="s">
        <v>68</v>
      </c>
      <c r="D122" s="3" t="s">
        <v>70</v>
      </c>
      <c r="E122" s="3" t="s">
        <v>49</v>
      </c>
      <c r="F122" s="3" t="s">
        <v>60</v>
      </c>
      <c r="G122" s="3" t="s">
        <v>72</v>
      </c>
    </row>
    <row r="123" spans="1:7" ht="12.75">
      <c r="A123" t="s">
        <v>126</v>
      </c>
      <c r="C123">
        <v>9</v>
      </c>
      <c r="D123">
        <v>428</v>
      </c>
      <c r="E123" s="12">
        <f>+D123/C123</f>
        <v>47.55555555555556</v>
      </c>
      <c r="F123">
        <v>53</v>
      </c>
      <c r="G123">
        <v>0</v>
      </c>
    </row>
    <row r="124" spans="1:5" ht="12.75">
      <c r="A124" t="s">
        <v>113</v>
      </c>
      <c r="E124" s="12" t="e">
        <f>+D124/C124</f>
        <v>#DIV/0!</v>
      </c>
    </row>
    <row r="125" ht="12.75">
      <c r="I125" s="5" t="s">
        <v>63</v>
      </c>
    </row>
    <row r="126" spans="1:10" ht="12.75">
      <c r="A126" s="4" t="s">
        <v>79</v>
      </c>
      <c r="C126" s="3" t="s">
        <v>73</v>
      </c>
      <c r="D126" s="3" t="s">
        <v>74</v>
      </c>
      <c r="E126" s="3" t="s">
        <v>75</v>
      </c>
      <c r="F126" s="3" t="s">
        <v>76</v>
      </c>
      <c r="G126" s="3" t="s">
        <v>77</v>
      </c>
      <c r="H126" s="3" t="s">
        <v>78</v>
      </c>
      <c r="I126" s="3" t="s">
        <v>82</v>
      </c>
      <c r="J126" s="3" t="s">
        <v>60</v>
      </c>
    </row>
    <row r="127" spans="1:10" ht="12.75">
      <c r="A127" t="s">
        <v>127</v>
      </c>
      <c r="C127">
        <v>2</v>
      </c>
      <c r="D127">
        <v>0</v>
      </c>
      <c r="E127">
        <v>1</v>
      </c>
      <c r="F127">
        <v>1</v>
      </c>
      <c r="G127">
        <v>1</v>
      </c>
      <c r="H127">
        <v>0</v>
      </c>
      <c r="I127" s="12">
        <f>+H127/G127*100</f>
        <v>0</v>
      </c>
      <c r="J127">
        <v>0</v>
      </c>
    </row>
    <row r="129" spans="1:8" ht="12.75">
      <c r="A129" s="2" t="s">
        <v>81</v>
      </c>
      <c r="C129" s="3" t="s">
        <v>68</v>
      </c>
      <c r="D129" s="3" t="s">
        <v>70</v>
      </c>
      <c r="E129" s="3" t="s">
        <v>49</v>
      </c>
      <c r="F129" s="3" t="s">
        <v>60</v>
      </c>
      <c r="G129" s="3" t="s">
        <v>51</v>
      </c>
      <c r="H129" s="3" t="s">
        <v>80</v>
      </c>
    </row>
    <row r="130" spans="1:5" ht="12.75">
      <c r="A130" t="s">
        <v>128</v>
      </c>
      <c r="E130" s="12" t="e">
        <f>+D130/C130</f>
        <v>#DIV/0!</v>
      </c>
    </row>
    <row r="131" spans="1:8" ht="12.75">
      <c r="A131" t="s">
        <v>129</v>
      </c>
      <c r="C131">
        <v>1</v>
      </c>
      <c r="D131">
        <v>0</v>
      </c>
      <c r="E131" s="12">
        <f aca="true" t="shared" si="3" ref="E131:E138">+D131/C131</f>
        <v>0</v>
      </c>
      <c r="F131">
        <v>0</v>
      </c>
      <c r="G131">
        <v>0</v>
      </c>
      <c r="H131">
        <v>0</v>
      </c>
    </row>
    <row r="132" spans="1:5" ht="12.75">
      <c r="A132" t="s">
        <v>130</v>
      </c>
      <c r="E132" s="12" t="e">
        <f t="shared" si="3"/>
        <v>#DIV/0!</v>
      </c>
    </row>
    <row r="133" spans="1:5" ht="12.75">
      <c r="A133" t="s">
        <v>124</v>
      </c>
      <c r="E133" s="12" t="e">
        <f t="shared" si="3"/>
        <v>#DIV/0!</v>
      </c>
    </row>
    <row r="134" spans="1:5" ht="12.75">
      <c r="A134" t="s">
        <v>131</v>
      </c>
      <c r="E134" s="12" t="e">
        <f t="shared" si="3"/>
        <v>#DIV/0!</v>
      </c>
    </row>
    <row r="135" spans="1:8" ht="12.75">
      <c r="A135" t="s">
        <v>132</v>
      </c>
      <c r="C135">
        <v>1</v>
      </c>
      <c r="D135">
        <v>0</v>
      </c>
      <c r="E135" s="12">
        <f t="shared" si="3"/>
        <v>0</v>
      </c>
      <c r="F135">
        <v>0</v>
      </c>
      <c r="G135">
        <v>0</v>
      </c>
      <c r="H135">
        <v>0</v>
      </c>
    </row>
    <row r="136" spans="1:5" ht="12.75">
      <c r="A136" t="s">
        <v>133</v>
      </c>
      <c r="E136" s="12" t="e">
        <f t="shared" si="3"/>
        <v>#DIV/0!</v>
      </c>
    </row>
    <row r="137" spans="1:5" ht="12.75">
      <c r="A137" t="s">
        <v>134</v>
      </c>
      <c r="E137" s="12" t="e">
        <f t="shared" si="3"/>
        <v>#DIV/0!</v>
      </c>
    </row>
    <row r="138" spans="1:5" ht="12.75">
      <c r="A138" t="s">
        <v>135</v>
      </c>
      <c r="E138" s="12" t="e">
        <f t="shared" si="3"/>
        <v>#DIV/0!</v>
      </c>
    </row>
    <row r="139" ht="12.75">
      <c r="A139" t="s">
        <v>136</v>
      </c>
    </row>
    <row r="141" spans="1:4" ht="12.75">
      <c r="A141" s="2" t="s">
        <v>90</v>
      </c>
      <c r="C141" s="3" t="s">
        <v>68</v>
      </c>
      <c r="D141" s="3"/>
    </row>
    <row r="142" spans="1:3" ht="12.75">
      <c r="A142" t="s">
        <v>137</v>
      </c>
      <c r="C142">
        <v>1</v>
      </c>
    </row>
    <row r="143" spans="1:3" ht="12.75">
      <c r="A143" t="s">
        <v>134</v>
      </c>
      <c r="C143">
        <v>1</v>
      </c>
    </row>
    <row r="144" spans="1:3" ht="12.75">
      <c r="A144" t="s">
        <v>138</v>
      </c>
      <c r="C144">
        <v>1</v>
      </c>
    </row>
    <row r="145" ht="12.75">
      <c r="A145" t="s">
        <v>136</v>
      </c>
    </row>
    <row r="146" ht="12.75">
      <c r="A146" t="s">
        <v>139</v>
      </c>
    </row>
    <row r="147" ht="12.75">
      <c r="A147" t="s">
        <v>135</v>
      </c>
    </row>
    <row r="148" ht="12.75">
      <c r="A148" t="s">
        <v>133</v>
      </c>
    </row>
    <row r="149" ht="12.75">
      <c r="A149" t="s">
        <v>140</v>
      </c>
    </row>
    <row r="150" ht="12.75">
      <c r="A150" t="s">
        <v>141</v>
      </c>
    </row>
    <row r="151" ht="12.75">
      <c r="A151" t="s">
        <v>142</v>
      </c>
    </row>
    <row r="152" ht="12.75">
      <c r="A152" t="s">
        <v>143</v>
      </c>
    </row>
    <row r="153" ht="12.75">
      <c r="A153" t="s">
        <v>124</v>
      </c>
    </row>
    <row r="154" ht="12.75">
      <c r="A154" t="s">
        <v>129</v>
      </c>
    </row>
    <row r="155" ht="12.75">
      <c r="A155" t="s">
        <v>132</v>
      </c>
    </row>
    <row r="156" ht="12.75">
      <c r="A156" t="s">
        <v>144</v>
      </c>
    </row>
    <row r="158" spans="4:14" ht="12.75">
      <c r="D158" s="2" t="s">
        <v>84</v>
      </c>
      <c r="E158" s="2" t="s">
        <v>85</v>
      </c>
      <c r="M158" s="2" t="s">
        <v>84</v>
      </c>
      <c r="N158" s="2" t="s">
        <v>85</v>
      </c>
    </row>
    <row r="159" spans="1:13" ht="12.75">
      <c r="A159" t="s">
        <v>93</v>
      </c>
      <c r="D159">
        <v>14</v>
      </c>
      <c r="H159" t="s">
        <v>93</v>
      </c>
      <c r="M159">
        <v>14</v>
      </c>
    </row>
    <row r="160" spans="1:13" ht="12.75">
      <c r="A160" t="s">
        <v>94</v>
      </c>
      <c r="D160">
        <v>3</v>
      </c>
      <c r="H160" t="s">
        <v>94</v>
      </c>
      <c r="M160">
        <v>5</v>
      </c>
    </row>
    <row r="161" spans="1:13" ht="12.75">
      <c r="A161" t="s">
        <v>95</v>
      </c>
      <c r="D161">
        <f>D160/D159*100</f>
        <v>21.428571428571427</v>
      </c>
      <c r="H161" t="s">
        <v>95</v>
      </c>
      <c r="M161">
        <f>+M160/M159*100</f>
        <v>35.714285714285715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Y161"/>
  <sheetViews>
    <sheetView zoomScalePageLayoutView="0" workbookViewId="0" topLeftCell="A1">
      <selection activeCell="W102" sqref="W102:W106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109</v>
      </c>
      <c r="E1" s="2" t="s">
        <v>96</v>
      </c>
      <c r="F1" s="2" t="s">
        <v>97</v>
      </c>
    </row>
    <row r="2" ht="12.75">
      <c r="E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30</v>
      </c>
      <c r="H6" s="1" t="s">
        <v>29</v>
      </c>
      <c r="M6" s="2">
        <f>M7+M8+M9</f>
        <v>19</v>
      </c>
    </row>
    <row r="7" spans="1:13" ht="12.75">
      <c r="A7" s="1" t="s">
        <v>103</v>
      </c>
      <c r="D7" s="2">
        <v>11</v>
      </c>
      <c r="H7" s="1" t="s">
        <v>103</v>
      </c>
      <c r="M7" s="2">
        <v>3</v>
      </c>
    </row>
    <row r="8" spans="1:13" ht="12.75">
      <c r="A8" s="1" t="s">
        <v>105</v>
      </c>
      <c r="D8" s="2">
        <v>16</v>
      </c>
      <c r="H8" s="1" t="s">
        <v>105</v>
      </c>
      <c r="M8" s="2">
        <v>15</v>
      </c>
    </row>
    <row r="9" spans="1:13" ht="12.75">
      <c r="A9" s="1" t="s">
        <v>104</v>
      </c>
      <c r="D9" s="2">
        <v>3</v>
      </c>
      <c r="H9" s="1" t="s">
        <v>104</v>
      </c>
      <c r="M9" s="2">
        <v>1</v>
      </c>
    </row>
    <row r="11" spans="1:23" ht="12.75">
      <c r="A11" t="s">
        <v>1</v>
      </c>
      <c r="D11" s="2">
        <v>34</v>
      </c>
      <c r="H11" t="s">
        <v>1</v>
      </c>
      <c r="M11" s="2">
        <v>26</v>
      </c>
      <c r="V11">
        <f>+D11</f>
        <v>34</v>
      </c>
      <c r="W11">
        <f>+M11</f>
        <v>26</v>
      </c>
    </row>
    <row r="12" spans="1:23" ht="12.75">
      <c r="A12" t="s">
        <v>2</v>
      </c>
      <c r="D12" s="2">
        <v>144</v>
      </c>
      <c r="H12" t="s">
        <v>2</v>
      </c>
      <c r="M12" s="2">
        <v>39</v>
      </c>
      <c r="U12" s="13"/>
      <c r="V12">
        <f>+D16</f>
        <v>21</v>
      </c>
      <c r="W12">
        <f>+M16</f>
        <v>21</v>
      </c>
    </row>
    <row r="13" spans="1:23" ht="12.75">
      <c r="A13" s="1" t="s">
        <v>3</v>
      </c>
      <c r="D13" s="8">
        <f>+D12/D11</f>
        <v>4.235294117647059</v>
      </c>
      <c r="H13" s="1" t="s">
        <v>3</v>
      </c>
      <c r="M13" s="8">
        <f>+M12/M11</f>
        <v>1.5</v>
      </c>
      <c r="V13">
        <f>+(D15-D16)/2</f>
        <v>3.5</v>
      </c>
      <c r="W13">
        <f>+(M15-M16)/2</f>
        <v>6.5</v>
      </c>
    </row>
    <row r="14" spans="22:23" ht="12.75">
      <c r="V14">
        <f>+D38/2</f>
        <v>2</v>
      </c>
      <c r="W14">
        <f>+M38/2</f>
        <v>3</v>
      </c>
    </row>
    <row r="15" spans="1:23" ht="12.75">
      <c r="A15" t="s">
        <v>4</v>
      </c>
      <c r="D15" s="2">
        <v>28</v>
      </c>
      <c r="H15" t="s">
        <v>4</v>
      </c>
      <c r="M15" s="2">
        <v>34</v>
      </c>
      <c r="V15">
        <f>+D42/2</f>
        <v>1.5</v>
      </c>
      <c r="W15">
        <f>+M42/2</f>
        <v>0.5</v>
      </c>
    </row>
    <row r="16" spans="1:23" ht="12.75">
      <c r="A16" t="s">
        <v>5</v>
      </c>
      <c r="D16" s="2">
        <v>21</v>
      </c>
      <c r="H16" t="s">
        <v>5</v>
      </c>
      <c r="M16" s="2">
        <v>21</v>
      </c>
      <c r="V16">
        <f>+D48/2</f>
        <v>0.5</v>
      </c>
      <c r="W16">
        <f>+M48/2</f>
        <v>2.5</v>
      </c>
    </row>
    <row r="17" spans="1:13" ht="12.75">
      <c r="A17" t="s">
        <v>6</v>
      </c>
      <c r="D17" s="8">
        <f>+D16/D15*100</f>
        <v>75</v>
      </c>
      <c r="H17" t="s">
        <v>6</v>
      </c>
      <c r="M17" s="8">
        <f>+M16/M15*100</f>
        <v>61.76470588235294</v>
      </c>
    </row>
    <row r="18" spans="1:24" ht="12.75">
      <c r="A18" t="s">
        <v>7</v>
      </c>
      <c r="D18" s="2">
        <v>315</v>
      </c>
      <c r="H18" t="s">
        <v>7</v>
      </c>
      <c r="M18" s="2">
        <v>259</v>
      </c>
      <c r="V18">
        <f>SUM(V11:V16)</f>
        <v>62.5</v>
      </c>
      <c r="W18">
        <f>SUM(W11:W16)</f>
        <v>59.5</v>
      </c>
      <c r="X18">
        <f>+W18+V18</f>
        <v>122</v>
      </c>
    </row>
    <row r="19" spans="1:23" ht="12.75">
      <c r="A19" t="s">
        <v>8</v>
      </c>
      <c r="D19" s="2">
        <v>1</v>
      </c>
      <c r="H19" t="s">
        <v>8</v>
      </c>
      <c r="M19" s="2">
        <v>4</v>
      </c>
      <c r="V19">
        <f>+V18/X18</f>
        <v>0.5122950819672131</v>
      </c>
      <c r="W19">
        <f>+W18/X18</f>
        <v>0.48770491803278687</v>
      </c>
    </row>
    <row r="20" spans="1:23" ht="12.75">
      <c r="A20" t="s">
        <v>9</v>
      </c>
      <c r="D20" s="2">
        <v>7</v>
      </c>
      <c r="H20" t="s">
        <v>9</v>
      </c>
      <c r="M20" s="2">
        <v>37</v>
      </c>
      <c r="V20">
        <f>+V19*60</f>
        <v>30.737704918032783</v>
      </c>
      <c r="W20">
        <f>+W19*60</f>
        <v>29.262295081967213</v>
      </c>
    </row>
    <row r="21" spans="1:23" ht="12.75">
      <c r="A21" t="s">
        <v>10</v>
      </c>
      <c r="D21">
        <f>+D18-D20</f>
        <v>308</v>
      </c>
      <c r="H21" t="s">
        <v>10</v>
      </c>
      <c r="M21">
        <f>+M18-M20</f>
        <v>222</v>
      </c>
      <c r="V21">
        <f>+V20-INT(V20)</f>
        <v>0.737704918032783</v>
      </c>
      <c r="W21">
        <f>+W20-INT(W20)</f>
        <v>0.2622950819672134</v>
      </c>
    </row>
    <row r="22" spans="1:23" ht="12.75">
      <c r="A22" t="s">
        <v>11</v>
      </c>
      <c r="D22" s="7">
        <f>+D21/(D15+D19)</f>
        <v>10.620689655172415</v>
      </c>
      <c r="H22" t="s">
        <v>11</v>
      </c>
      <c r="M22" s="7">
        <f>+M21/(M15+M19)</f>
        <v>5.842105263157895</v>
      </c>
      <c r="V22">
        <f>+V21*60</f>
        <v>44.26229508196698</v>
      </c>
      <c r="W22">
        <f>+W21*60</f>
        <v>15.737704918032804</v>
      </c>
    </row>
    <row r="23" spans="1:23" ht="12.75">
      <c r="A23" t="s">
        <v>12</v>
      </c>
      <c r="D23" s="7">
        <f>+D18/D16</f>
        <v>15</v>
      </c>
      <c r="H23" t="s">
        <v>12</v>
      </c>
      <c r="M23" s="7">
        <f>+M18/M16</f>
        <v>12.333333333333334</v>
      </c>
      <c r="U23">
        <v>0</v>
      </c>
      <c r="V23" s="11">
        <f>ROUND(V22,0)</f>
        <v>44</v>
      </c>
      <c r="W23">
        <f>ROUND(W22,0)</f>
        <v>16</v>
      </c>
    </row>
    <row r="24" spans="22:23" ht="12.75">
      <c r="V24">
        <f>INT(V20)</f>
        <v>30</v>
      </c>
      <c r="W24">
        <f>INT(W20)</f>
        <v>29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452</v>
      </c>
      <c r="H26" t="s">
        <v>14</v>
      </c>
      <c r="M26">
        <f>+M21+M12</f>
        <v>261</v>
      </c>
      <c r="Q26" s="9"/>
      <c r="R26" s="9"/>
      <c r="V26" s="14" t="str">
        <f>+V24&amp;V25&amp;V23</f>
        <v>30:44</v>
      </c>
      <c r="W26" s="9" t="str">
        <f>+W24&amp;W25&amp;W23</f>
        <v>29:16</v>
      </c>
    </row>
    <row r="27" spans="1:23" ht="12.75">
      <c r="A27" t="s">
        <v>15</v>
      </c>
      <c r="D27" s="7">
        <f>+D12/D26*100</f>
        <v>31.858407079646017</v>
      </c>
      <c r="H27" t="s">
        <v>15</v>
      </c>
      <c r="M27" s="7">
        <f>+M12/M26*100</f>
        <v>14.942528735632186</v>
      </c>
      <c r="V27" s="9" t="str">
        <f>IF(V23&lt;10,+V24&amp;V25&amp;$U$23&amp;V23,+V24&amp;V25&amp;V23)</f>
        <v>30:44</v>
      </c>
      <c r="W27" s="9" t="str">
        <f>IF(W23&lt;10,+W24&amp;W25&amp;$U$23&amp;W23,+W24&amp;W25&amp;W23)</f>
        <v>29:16</v>
      </c>
    </row>
    <row r="28" spans="1:13" ht="12.75">
      <c r="A28" s="1" t="s">
        <v>86</v>
      </c>
      <c r="D28" s="7">
        <f>+D21/D26*100</f>
        <v>68.14159292035397</v>
      </c>
      <c r="H28" s="1" t="s">
        <v>86</v>
      </c>
      <c r="M28" s="7">
        <f>+M21/M26*100</f>
        <v>85.0574712643678</v>
      </c>
    </row>
    <row r="30" spans="1:13" ht="12.75">
      <c r="A30" t="s">
        <v>16</v>
      </c>
      <c r="D30">
        <f>+D11+D15+D19</f>
        <v>63</v>
      </c>
      <c r="H30" t="s">
        <v>16</v>
      </c>
      <c r="M30">
        <f>+M11+M15+M19</f>
        <v>64</v>
      </c>
    </row>
    <row r="31" spans="1:13" ht="12.75">
      <c r="A31" t="s">
        <v>17</v>
      </c>
      <c r="D31" s="8">
        <f>+D26/D30</f>
        <v>7.174603174603175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4.078125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0</v>
      </c>
      <c r="H34" t="s">
        <v>19</v>
      </c>
      <c r="M34" s="2">
        <v>3</v>
      </c>
    </row>
    <row r="35" spans="1:13" ht="12.75">
      <c r="A35" t="s">
        <v>20</v>
      </c>
      <c r="D35" s="2">
        <v>0</v>
      </c>
      <c r="H35" t="s">
        <v>20</v>
      </c>
      <c r="M35" s="2">
        <v>-9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4</v>
      </c>
      <c r="H38" t="s">
        <v>22</v>
      </c>
      <c r="M38" s="2">
        <v>6</v>
      </c>
    </row>
    <row r="39" spans="1:13" ht="12.75">
      <c r="A39" t="s">
        <v>23</v>
      </c>
      <c r="D39" s="2">
        <v>148</v>
      </c>
      <c r="H39" t="s">
        <v>23</v>
      </c>
      <c r="M39" s="2">
        <v>272</v>
      </c>
    </row>
    <row r="40" spans="1:13" ht="12.75">
      <c r="A40" t="s">
        <v>24</v>
      </c>
      <c r="D40" s="8">
        <f>+D39/D38</f>
        <v>37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45.333333333333336</v>
      </c>
    </row>
    <row r="42" spans="1:13" ht="12.75">
      <c r="A42" t="s">
        <v>25</v>
      </c>
      <c r="D42" s="2">
        <v>3</v>
      </c>
      <c r="H42" t="s">
        <v>25</v>
      </c>
      <c r="M42" s="2">
        <v>1</v>
      </c>
    </row>
    <row r="43" spans="1:13" ht="12.75">
      <c r="A43" t="s">
        <v>26</v>
      </c>
      <c r="D43" s="2">
        <v>23</v>
      </c>
      <c r="H43" t="s">
        <v>26</v>
      </c>
      <c r="M43" s="2">
        <v>0</v>
      </c>
    </row>
    <row r="44" spans="1:13" ht="12.75">
      <c r="A44" t="s">
        <v>27</v>
      </c>
      <c r="D44" s="8">
        <f>+D43/D42</f>
        <v>7.666666666666667</v>
      </c>
      <c r="H44" t="s">
        <v>27</v>
      </c>
      <c r="M44" s="8">
        <f>+M43/M42</f>
        <v>0</v>
      </c>
    </row>
    <row r="45" spans="1:13" ht="12.75">
      <c r="A45" t="s">
        <v>106</v>
      </c>
      <c r="D45" s="2">
        <v>2</v>
      </c>
      <c r="H45" t="s">
        <v>106</v>
      </c>
      <c r="M45" s="2">
        <v>1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1</v>
      </c>
      <c r="H48" t="s">
        <v>30</v>
      </c>
      <c r="M48" s="2">
        <v>5</v>
      </c>
    </row>
    <row r="49" spans="1:13" ht="12.75">
      <c r="A49" t="s">
        <v>26</v>
      </c>
      <c r="D49" s="2">
        <v>25</v>
      </c>
      <c r="H49" t="s">
        <v>26</v>
      </c>
      <c r="M49" s="2">
        <v>123</v>
      </c>
    </row>
    <row r="50" spans="1:13" ht="12.75">
      <c r="A50" t="s">
        <v>27</v>
      </c>
      <c r="D50" s="8">
        <f>+D49/D48</f>
        <v>25</v>
      </c>
      <c r="H50" t="s">
        <v>27</v>
      </c>
      <c r="M50" s="8">
        <f>+M49/M48</f>
        <v>24.6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7</v>
      </c>
      <c r="H53" t="s">
        <v>31</v>
      </c>
      <c r="M53" s="2">
        <v>7</v>
      </c>
    </row>
    <row r="54" spans="1:13" ht="12.75">
      <c r="A54" t="s">
        <v>32</v>
      </c>
      <c r="D54" s="2">
        <v>65</v>
      </c>
      <c r="H54" t="s">
        <v>32</v>
      </c>
      <c r="M54" s="2">
        <v>64</v>
      </c>
    </row>
    <row r="56" spans="1:13" ht="12.75">
      <c r="A56" t="s">
        <v>33</v>
      </c>
      <c r="D56" s="2">
        <v>2</v>
      </c>
      <c r="H56" t="s">
        <v>33</v>
      </c>
      <c r="M56" s="2">
        <v>0</v>
      </c>
    </row>
    <row r="57" spans="1:13" ht="12.75">
      <c r="A57" t="s">
        <v>101</v>
      </c>
      <c r="D57" s="2">
        <v>0</v>
      </c>
      <c r="H57" t="s">
        <v>101</v>
      </c>
      <c r="M57" s="2">
        <v>0</v>
      </c>
    </row>
    <row r="59" spans="1:13" ht="12.75">
      <c r="A59" t="s">
        <v>34</v>
      </c>
      <c r="D59" s="2">
        <v>31</v>
      </c>
      <c r="H59" t="s">
        <v>34</v>
      </c>
      <c r="M59" s="2">
        <v>12</v>
      </c>
    </row>
    <row r="60" spans="1:13" ht="12.75">
      <c r="A60" t="s">
        <v>35</v>
      </c>
      <c r="D60" s="2">
        <v>4</v>
      </c>
      <c r="H60" t="s">
        <v>35</v>
      </c>
      <c r="M60" s="2">
        <v>1</v>
      </c>
    </row>
    <row r="61" spans="1:13" ht="12.75">
      <c r="A61" t="s">
        <v>36</v>
      </c>
      <c r="D61" s="2">
        <v>1</v>
      </c>
      <c r="H61" t="s">
        <v>36</v>
      </c>
      <c r="M61" s="2">
        <v>0</v>
      </c>
    </row>
    <row r="62" spans="1:13" ht="12.75">
      <c r="A62" t="s">
        <v>37</v>
      </c>
      <c r="D62" s="2">
        <v>3</v>
      </c>
      <c r="H62" t="s">
        <v>37</v>
      </c>
      <c r="M62" s="2">
        <v>1</v>
      </c>
    </row>
    <row r="63" spans="1:13" ht="12.75">
      <c r="A63" t="s">
        <v>38</v>
      </c>
      <c r="D63" s="2">
        <v>0</v>
      </c>
      <c r="H63" t="s">
        <v>38</v>
      </c>
      <c r="M63" s="2">
        <v>0</v>
      </c>
    </row>
    <row r="64" spans="1:13" ht="12.75">
      <c r="A64" t="s">
        <v>39</v>
      </c>
      <c r="D64" s="2">
        <v>4</v>
      </c>
      <c r="H64" t="s">
        <v>39</v>
      </c>
      <c r="M64" s="2">
        <v>1</v>
      </c>
    </row>
    <row r="65" spans="1:13" ht="12.75">
      <c r="A65" t="s">
        <v>40</v>
      </c>
      <c r="D65" s="2">
        <v>0</v>
      </c>
      <c r="H65" t="s">
        <v>40</v>
      </c>
      <c r="M65" s="2">
        <v>1</v>
      </c>
    </row>
    <row r="66" spans="1:13" ht="12.75">
      <c r="A66" t="s">
        <v>41</v>
      </c>
      <c r="D66" s="2">
        <v>1</v>
      </c>
      <c r="H66" t="s">
        <v>41</v>
      </c>
      <c r="M66" s="2">
        <v>1</v>
      </c>
    </row>
    <row r="67" spans="1:13" ht="12.75">
      <c r="A67" t="s">
        <v>42</v>
      </c>
      <c r="D67" s="2">
        <v>2</v>
      </c>
      <c r="H67" t="s">
        <v>42</v>
      </c>
      <c r="M67" s="2">
        <v>1</v>
      </c>
    </row>
    <row r="68" spans="1:13" ht="12.75">
      <c r="A68" t="s">
        <v>43</v>
      </c>
      <c r="D68" s="7">
        <f>+D66/D67*100</f>
        <v>50</v>
      </c>
      <c r="E68" s="7"/>
      <c r="F68" s="7"/>
      <c r="G68" s="7"/>
      <c r="H68" s="7" t="s">
        <v>43</v>
      </c>
      <c r="I68" s="7"/>
      <c r="J68" s="7"/>
      <c r="K68" s="7"/>
      <c r="L68" s="7"/>
      <c r="M68" s="8">
        <f>+M66/M67*100</f>
        <v>100</v>
      </c>
    </row>
    <row r="69" spans="1:13" ht="12.75">
      <c r="A69" t="s">
        <v>89</v>
      </c>
      <c r="D69" s="10" t="str">
        <f>IF(V23&lt;10,V27,V26)</f>
        <v>30:44</v>
      </c>
      <c r="E69" s="8"/>
      <c r="F69" s="8"/>
      <c r="H69" t="s">
        <v>89</v>
      </c>
      <c r="M69" s="10" t="str">
        <f>IF(W23&lt;10,W27,W26)</f>
        <v>29:16</v>
      </c>
    </row>
    <row r="70" spans="1:13" ht="12.75">
      <c r="A70" t="s">
        <v>102</v>
      </c>
      <c r="D70" s="23">
        <f>D161</f>
        <v>57.14285714285714</v>
      </c>
      <c r="E70" s="8"/>
      <c r="F70" s="8"/>
      <c r="H70" t="s">
        <v>102</v>
      </c>
      <c r="M70" s="23">
        <f>M161</f>
        <v>21.428571428571427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110</v>
      </c>
      <c r="C74">
        <v>25</v>
      </c>
      <c r="D74">
        <v>107</v>
      </c>
      <c r="E74" s="12">
        <f aca="true" t="shared" si="0" ref="E74:E84">+D74/C74</f>
        <v>4.28</v>
      </c>
      <c r="F74">
        <v>25</v>
      </c>
      <c r="G74">
        <v>1</v>
      </c>
      <c r="H74">
        <v>1</v>
      </c>
    </row>
    <row r="75" spans="1:8" ht="12.75">
      <c r="A75" t="s">
        <v>111</v>
      </c>
      <c r="C75">
        <v>6</v>
      </c>
      <c r="D75">
        <v>40</v>
      </c>
      <c r="E75" s="12">
        <f t="shared" si="0"/>
        <v>6.666666666666667</v>
      </c>
      <c r="F75">
        <v>11</v>
      </c>
      <c r="G75">
        <v>0</v>
      </c>
      <c r="H75">
        <v>0</v>
      </c>
    </row>
    <row r="76" spans="1:8" ht="12.75">
      <c r="A76" t="s">
        <v>112</v>
      </c>
      <c r="C76">
        <v>2</v>
      </c>
      <c r="D76">
        <v>4</v>
      </c>
      <c r="E76" s="12">
        <f t="shared" si="0"/>
        <v>2</v>
      </c>
      <c r="F76">
        <v>4</v>
      </c>
      <c r="G76">
        <v>0</v>
      </c>
      <c r="H76">
        <v>0</v>
      </c>
    </row>
    <row r="77" spans="1:5" ht="12.75">
      <c r="A77" t="s">
        <v>113</v>
      </c>
      <c r="E77" s="12" t="e">
        <f t="shared" si="0"/>
        <v>#DIV/0!</v>
      </c>
    </row>
    <row r="78" spans="1:5" ht="12.75">
      <c r="A78" t="s">
        <v>108</v>
      </c>
      <c r="E78" s="12" t="e">
        <f t="shared" si="0"/>
        <v>#DIV/0!</v>
      </c>
    </row>
    <row r="79" spans="1:5" ht="12.75">
      <c r="A79" t="s">
        <v>114</v>
      </c>
      <c r="E79" s="12" t="e">
        <f t="shared" si="0"/>
        <v>#DIV/0!</v>
      </c>
    </row>
    <row r="80" spans="1:5" ht="12.75">
      <c r="A80" t="s">
        <v>115</v>
      </c>
      <c r="E80" s="12" t="e">
        <f t="shared" si="0"/>
        <v>#DIV/0!</v>
      </c>
    </row>
    <row r="81" spans="1:5" ht="12.75">
      <c r="A81" t="s">
        <v>116</v>
      </c>
      <c r="E81" s="12" t="e">
        <f t="shared" si="0"/>
        <v>#DIV/0!</v>
      </c>
    </row>
    <row r="82" spans="1:5" ht="12.75">
      <c r="A82" t="s">
        <v>117</v>
      </c>
      <c r="E82" s="12" t="e">
        <f t="shared" si="0"/>
        <v>#DIV/0!</v>
      </c>
    </row>
    <row r="83" spans="1:5" ht="12.75">
      <c r="A83" t="s">
        <v>118</v>
      </c>
      <c r="E83" s="12" t="e">
        <f t="shared" si="0"/>
        <v>#DIV/0!</v>
      </c>
    </row>
    <row r="84" spans="1:8" ht="12.75">
      <c r="A84" t="s">
        <v>107</v>
      </c>
      <c r="C84">
        <v>1</v>
      </c>
      <c r="D84">
        <v>-7</v>
      </c>
      <c r="E84" s="12">
        <f t="shared" si="0"/>
        <v>-7</v>
      </c>
      <c r="F84">
        <v>-7</v>
      </c>
      <c r="G84">
        <v>0</v>
      </c>
      <c r="H84">
        <v>0</v>
      </c>
    </row>
    <row r="85" ht="12.75">
      <c r="E85" s="8"/>
    </row>
    <row r="86" spans="1:8" ht="12.75">
      <c r="A86" s="2" t="s">
        <v>52</v>
      </c>
      <c r="C86" s="3" t="s">
        <v>53</v>
      </c>
      <c r="D86" s="3" t="s">
        <v>48</v>
      </c>
      <c r="E86" s="15" t="s">
        <v>49</v>
      </c>
      <c r="F86" s="3" t="s">
        <v>50</v>
      </c>
      <c r="G86" s="3" t="s">
        <v>51</v>
      </c>
      <c r="H86" s="3" t="s">
        <v>80</v>
      </c>
    </row>
    <row r="87" spans="1:8" ht="12.75">
      <c r="A87" t="s">
        <v>107</v>
      </c>
      <c r="C87">
        <v>4</v>
      </c>
      <c r="D87">
        <v>85</v>
      </c>
      <c r="E87" s="12">
        <f aca="true" t="shared" si="1" ref="E87:E98">+D87/C87</f>
        <v>21.25</v>
      </c>
      <c r="F87">
        <v>36</v>
      </c>
      <c r="G87">
        <v>1</v>
      </c>
      <c r="H87">
        <v>0</v>
      </c>
    </row>
    <row r="88" spans="1:8" ht="12.75">
      <c r="A88" t="s">
        <v>119</v>
      </c>
      <c r="C88">
        <v>4</v>
      </c>
      <c r="D88">
        <v>74</v>
      </c>
      <c r="E88" s="12">
        <f t="shared" si="1"/>
        <v>18.5</v>
      </c>
      <c r="F88">
        <v>31</v>
      </c>
      <c r="G88">
        <v>1</v>
      </c>
      <c r="H88">
        <v>0</v>
      </c>
    </row>
    <row r="89" spans="1:8" ht="12.75">
      <c r="A89" t="s">
        <v>120</v>
      </c>
      <c r="C89">
        <v>4</v>
      </c>
      <c r="D89">
        <v>81</v>
      </c>
      <c r="E89" s="12">
        <f t="shared" si="1"/>
        <v>20.25</v>
      </c>
      <c r="F89">
        <v>26</v>
      </c>
      <c r="G89">
        <v>1</v>
      </c>
      <c r="H89">
        <v>0</v>
      </c>
    </row>
    <row r="90" spans="1:8" ht="12.75">
      <c r="A90" t="s">
        <v>110</v>
      </c>
      <c r="C90">
        <v>1</v>
      </c>
      <c r="D90">
        <v>-2</v>
      </c>
      <c r="E90" s="12">
        <f t="shared" si="1"/>
        <v>-2</v>
      </c>
      <c r="F90">
        <v>-2</v>
      </c>
      <c r="G90">
        <v>0</v>
      </c>
      <c r="H90">
        <v>0</v>
      </c>
    </row>
    <row r="91" spans="1:8" ht="12.75">
      <c r="A91" t="s">
        <v>111</v>
      </c>
      <c r="C91">
        <v>5</v>
      </c>
      <c r="D91">
        <v>34</v>
      </c>
      <c r="E91" s="12">
        <f t="shared" si="1"/>
        <v>6.8</v>
      </c>
      <c r="F91">
        <v>11</v>
      </c>
      <c r="G91">
        <v>0</v>
      </c>
      <c r="H91">
        <v>0</v>
      </c>
    </row>
    <row r="92" spans="1:5" ht="12.75">
      <c r="A92" t="s">
        <v>116</v>
      </c>
      <c r="E92" s="12" t="e">
        <f t="shared" si="1"/>
        <v>#DIV/0!</v>
      </c>
    </row>
    <row r="93" spans="1:8" ht="12.75">
      <c r="A93" t="s">
        <v>121</v>
      </c>
      <c r="C93">
        <v>1</v>
      </c>
      <c r="D93">
        <v>20</v>
      </c>
      <c r="E93" s="12">
        <f t="shared" si="1"/>
        <v>20</v>
      </c>
      <c r="F93">
        <v>20</v>
      </c>
      <c r="G93">
        <v>0</v>
      </c>
      <c r="H93">
        <v>0</v>
      </c>
    </row>
    <row r="94" spans="1:8" ht="12.75">
      <c r="A94" t="s">
        <v>122</v>
      </c>
      <c r="C94">
        <v>1</v>
      </c>
      <c r="D94">
        <v>17</v>
      </c>
      <c r="E94" s="12">
        <f t="shared" si="1"/>
        <v>17</v>
      </c>
      <c r="F94">
        <v>17</v>
      </c>
      <c r="G94">
        <v>0</v>
      </c>
      <c r="H94">
        <v>0</v>
      </c>
    </row>
    <row r="95" spans="1:5" ht="12.75">
      <c r="A95" t="s">
        <v>115</v>
      </c>
      <c r="E95" s="12" t="e">
        <f t="shared" si="1"/>
        <v>#DIV/0!</v>
      </c>
    </row>
    <row r="96" spans="1:5" ht="12.75">
      <c r="A96" t="s">
        <v>123</v>
      </c>
      <c r="E96" s="12" t="e">
        <f t="shared" si="1"/>
        <v>#DIV/0!</v>
      </c>
    </row>
    <row r="97" spans="1:8" ht="12.75">
      <c r="A97" t="s">
        <v>113</v>
      </c>
      <c r="C97">
        <v>1</v>
      </c>
      <c r="D97">
        <v>6</v>
      </c>
      <c r="E97" s="12">
        <f t="shared" si="1"/>
        <v>6</v>
      </c>
      <c r="F97">
        <v>6</v>
      </c>
      <c r="G97">
        <v>0</v>
      </c>
      <c r="H97">
        <v>0</v>
      </c>
    </row>
    <row r="98" spans="1:5" ht="12.75">
      <c r="A98" t="s">
        <v>114</v>
      </c>
      <c r="E98" s="12" t="e">
        <f t="shared" si="1"/>
        <v>#DIV/0!</v>
      </c>
    </row>
    <row r="99" ht="12.75">
      <c r="E99" s="8"/>
    </row>
    <row r="100" spans="1:13" ht="12.75">
      <c r="A100" s="2"/>
      <c r="B100" s="2"/>
      <c r="C100" s="3"/>
      <c r="D100" s="3"/>
      <c r="E100" s="15" t="s">
        <v>57</v>
      </c>
      <c r="F100" s="3" t="s">
        <v>58</v>
      </c>
      <c r="G100" s="3"/>
      <c r="H100" s="3"/>
      <c r="I100" s="3" t="s">
        <v>61</v>
      </c>
      <c r="J100" s="3" t="s">
        <v>63</v>
      </c>
      <c r="K100" s="3" t="s">
        <v>57</v>
      </c>
      <c r="L100" s="3" t="s">
        <v>49</v>
      </c>
      <c r="M100" s="3"/>
    </row>
    <row r="101" spans="1:14" ht="12.75">
      <c r="A101" s="2" t="s">
        <v>54</v>
      </c>
      <c r="B101" s="2"/>
      <c r="C101" s="3" t="s">
        <v>55</v>
      </c>
      <c r="D101" s="3" t="s">
        <v>56</v>
      </c>
      <c r="E101" s="15" t="s">
        <v>56</v>
      </c>
      <c r="F101" s="3" t="s">
        <v>59</v>
      </c>
      <c r="G101" s="3" t="s">
        <v>51</v>
      </c>
      <c r="H101" s="3" t="s">
        <v>60</v>
      </c>
      <c r="I101" s="5" t="s">
        <v>62</v>
      </c>
      <c r="J101" s="3" t="s">
        <v>51</v>
      </c>
      <c r="K101" s="3" t="s">
        <v>64</v>
      </c>
      <c r="L101" s="3" t="s">
        <v>65</v>
      </c>
      <c r="M101" s="3" t="s">
        <v>66</v>
      </c>
      <c r="N101" s="3" t="s">
        <v>80</v>
      </c>
    </row>
    <row r="102" spans="1:25" ht="12.75">
      <c r="A102" t="s">
        <v>113</v>
      </c>
      <c r="C102">
        <v>28</v>
      </c>
      <c r="D102">
        <v>21</v>
      </c>
      <c r="E102" s="12">
        <f>+D102/C102*100</f>
        <v>75</v>
      </c>
      <c r="F102">
        <v>315</v>
      </c>
      <c r="G102">
        <v>3</v>
      </c>
      <c r="H102">
        <v>36</v>
      </c>
      <c r="I102">
        <v>0</v>
      </c>
      <c r="J102" s="8">
        <f>+G102/C102*100</f>
        <v>10.714285714285714</v>
      </c>
      <c r="K102" s="12">
        <f>+I102/C102*100</f>
        <v>0</v>
      </c>
      <c r="L102" s="12">
        <f>+F102/C102</f>
        <v>11.25</v>
      </c>
      <c r="M102" s="12">
        <v>152.3</v>
      </c>
      <c r="R102">
        <f>+(E102-30)/20</f>
        <v>2.25</v>
      </c>
      <c r="S102" s="2">
        <f>IF(R102&lt;0,0,IF(R102&gt;2.375,2.375,R102))</f>
        <v>2.25</v>
      </c>
      <c r="T102" s="6">
        <f>+(L102-3)/4</f>
        <v>2.0625</v>
      </c>
      <c r="U102" s="2">
        <f>IF(T102&lt;0,0,IF(T102&gt;2.375,2.375,T102))</f>
        <v>2.0625</v>
      </c>
      <c r="V102">
        <f>+J102/5</f>
        <v>2.142857142857143</v>
      </c>
      <c r="W102" s="2">
        <f>IF(V102&lt;0,0,IF(V102&gt;2.375,2.375,V102))</f>
        <v>2.142857142857143</v>
      </c>
      <c r="X102">
        <f>(9.5-K102)/4</f>
        <v>2.375</v>
      </c>
      <c r="Y102" s="2">
        <f>IF(X102&lt;0,0,X102)</f>
        <v>2.375</v>
      </c>
    </row>
    <row r="103" spans="1:25" ht="12.75">
      <c r="A103" t="s">
        <v>112</v>
      </c>
      <c r="E103" s="12" t="e">
        <f>+D103/C103*100</f>
        <v>#DIV/0!</v>
      </c>
      <c r="J103" s="8" t="e">
        <f>+G103/C103*100</f>
        <v>#DIV/0!</v>
      </c>
      <c r="K103" s="12" t="e">
        <f>+I103/C103*100</f>
        <v>#DIV/0!</v>
      </c>
      <c r="L103" s="12" t="e">
        <f>+F103/C103</f>
        <v>#DIV/0!</v>
      </c>
      <c r="M103" s="12" t="e">
        <f>100*(S103+U103+W103+Y103)/6</f>
        <v>#DIV/0!</v>
      </c>
      <c r="R103" t="e">
        <f>+(E103-30)/20</f>
        <v>#DIV/0!</v>
      </c>
      <c r="S103" s="2" t="e">
        <f>IF(R103&lt;0,0,IF(R103&gt;2.375,2.375,R103))</f>
        <v>#DIV/0!</v>
      </c>
      <c r="T103" s="6" t="e">
        <f>+(L103-3)/4</f>
        <v>#DIV/0!</v>
      </c>
      <c r="U103" s="2" t="e">
        <f>IF(T103&lt;0,0,IF(T103&gt;2.375,2.375,T103))</f>
        <v>#DIV/0!</v>
      </c>
      <c r="V103" t="e">
        <f>+J103/5</f>
        <v>#DIV/0!</v>
      </c>
      <c r="W103" s="2" t="e">
        <f>IF(V103&lt;0,0,IF(V103&gt;2.375,2.375,V103))</f>
        <v>#DIV/0!</v>
      </c>
      <c r="X103" t="e">
        <f>(9.5-K103)/4</f>
        <v>#DIV/0!</v>
      </c>
      <c r="Y103" s="2" t="e">
        <f>IF(X103&lt;0,0,X103)</f>
        <v>#DIV/0!</v>
      </c>
    </row>
    <row r="104" spans="1:25" ht="12.75">
      <c r="A104" t="s">
        <v>118</v>
      </c>
      <c r="E104" s="12" t="e">
        <f>+D104/C104*100</f>
        <v>#DIV/0!</v>
      </c>
      <c r="J104" s="8" t="e">
        <f>+G104/C104*100</f>
        <v>#DIV/0!</v>
      </c>
      <c r="K104" s="12" t="e">
        <f>+I104/C104*100</f>
        <v>#DIV/0!</v>
      </c>
      <c r="L104" s="12" t="e">
        <f>+F104/C104</f>
        <v>#DIV/0!</v>
      </c>
      <c r="M104" s="12" t="e">
        <f>100*(S104+U104+W104+Y104)/6</f>
        <v>#DIV/0!</v>
      </c>
      <c r="R104" t="e">
        <f>+(E104-30)/20</f>
        <v>#DIV/0!</v>
      </c>
      <c r="S104" s="2" t="e">
        <f>IF(R104&lt;0,0,IF(R104&gt;2.375,2.375,R104))</f>
        <v>#DIV/0!</v>
      </c>
      <c r="T104" s="6" t="e">
        <f>+(L104-3)/4</f>
        <v>#DIV/0!</v>
      </c>
      <c r="U104" s="2" t="e">
        <f>IF(T104&lt;0,0,IF(T104&gt;2.375,2.375,T104))</f>
        <v>#DIV/0!</v>
      </c>
      <c r="V104" t="e">
        <f>+J104/5</f>
        <v>#DIV/0!</v>
      </c>
      <c r="W104" s="2" t="e">
        <f>IF(V104&lt;0,0,IF(V104&gt;2.375,2.375,V104))</f>
        <v>#DIV/0!</v>
      </c>
      <c r="X104" t="e">
        <f>(9.5-K104)/4</f>
        <v>#DIV/0!</v>
      </c>
      <c r="Y104" s="2" t="e">
        <f>IF(X104&lt;0,0,X104)</f>
        <v>#DIV/0!</v>
      </c>
    </row>
    <row r="105" spans="1:25" ht="12.75">
      <c r="A105" t="s">
        <v>116</v>
      </c>
      <c r="E105" s="12" t="e">
        <f>+D105/C105*100</f>
        <v>#DIV/0!</v>
      </c>
      <c r="J105" s="8" t="e">
        <f>+G105/C105*100</f>
        <v>#DIV/0!</v>
      </c>
      <c r="K105" s="12" t="e">
        <f>+I105/C105*100</f>
        <v>#DIV/0!</v>
      </c>
      <c r="L105" s="12" t="e">
        <f>+F105/C105</f>
        <v>#DIV/0!</v>
      </c>
      <c r="M105" s="12" t="e">
        <f>100*(S105+U105+W105+Y105)/6</f>
        <v>#DIV/0!</v>
      </c>
      <c r="R105" t="e">
        <f>+(E105-30)/20</f>
        <v>#DIV/0!</v>
      </c>
      <c r="S105" s="2" t="e">
        <f>IF(R105&lt;0,0,IF(R105&gt;2.375,2.375,R105))</f>
        <v>#DIV/0!</v>
      </c>
      <c r="T105" s="6" t="e">
        <f>+(L105-3)/4</f>
        <v>#DIV/0!</v>
      </c>
      <c r="U105" s="2" t="e">
        <f>IF(T105&lt;0,0,IF(T105&gt;2.375,2.375,T105))</f>
        <v>#DIV/0!</v>
      </c>
      <c r="V105" t="e">
        <f>+J105/5</f>
        <v>#DIV/0!</v>
      </c>
      <c r="W105" s="2" t="e">
        <f>IF(V105&lt;0,0,IF(V105&gt;2.375,2.375,V105))</f>
        <v>#DIV/0!</v>
      </c>
      <c r="X105" t="e">
        <f>(9.5-K105)/4</f>
        <v>#DIV/0!</v>
      </c>
      <c r="Y105" s="2" t="e">
        <f>IF(X105&lt;0,0,X105)</f>
        <v>#DIV/0!</v>
      </c>
    </row>
    <row r="106" spans="1:25" ht="12.75">
      <c r="A106" t="s">
        <v>107</v>
      </c>
      <c r="E106" s="12" t="e">
        <f>+D106/C106*100</f>
        <v>#DIV/0!</v>
      </c>
      <c r="J106" s="8" t="e">
        <f>+G106/C106*100</f>
        <v>#DIV/0!</v>
      </c>
      <c r="K106" s="12" t="e">
        <f>+I106/C106*100</f>
        <v>#DIV/0!</v>
      </c>
      <c r="L106" s="12" t="e">
        <f>+F106/C106</f>
        <v>#DIV/0!</v>
      </c>
      <c r="M106" s="12" t="e">
        <f>100*(S106+U106+W106+Y106)/6</f>
        <v>#DIV/0!</v>
      </c>
      <c r="R106" t="e">
        <f>+(E106-30)/20</f>
        <v>#DIV/0!</v>
      </c>
      <c r="S106" s="2" t="e">
        <f>IF(R106&lt;0,0,IF(R106&gt;2.375,2.375,R106))</f>
        <v>#DIV/0!</v>
      </c>
      <c r="T106" s="6" t="e">
        <f>+(L106-3)/4</f>
        <v>#DIV/0!</v>
      </c>
      <c r="U106" s="2" t="e">
        <f>IF(T106&lt;0,0,IF(T106&gt;2.375,2.375,T106))</f>
        <v>#DIV/0!</v>
      </c>
      <c r="V106" t="e">
        <f>+J106/5</f>
        <v>#DIV/0!</v>
      </c>
      <c r="W106" s="2" t="e">
        <f>IF(V106&lt;0,0,IF(V106&gt;2.375,2.375,V106))</f>
        <v>#DIV/0!</v>
      </c>
      <c r="X106" t="e">
        <f>(9.5-K106)/4</f>
        <v>#DIV/0!</v>
      </c>
      <c r="Y106" s="2" t="e">
        <f>IF(X106&lt;0,0,X106)</f>
        <v>#DIV/0!</v>
      </c>
    </row>
    <row r="109" spans="1:9" ht="12.75">
      <c r="A109" s="2" t="s">
        <v>67</v>
      </c>
      <c r="C109" s="3" t="s">
        <v>68</v>
      </c>
      <c r="D109" s="3" t="s">
        <v>69</v>
      </c>
      <c r="E109" s="3" t="s">
        <v>70</v>
      </c>
      <c r="F109" s="3" t="s">
        <v>49</v>
      </c>
      <c r="G109" s="3" t="s">
        <v>60</v>
      </c>
      <c r="H109" s="3" t="s">
        <v>51</v>
      </c>
      <c r="I109" s="3" t="s">
        <v>80</v>
      </c>
    </row>
    <row r="110" spans="1:9" ht="12.75">
      <c r="A110" t="s">
        <v>124</v>
      </c>
      <c r="C110">
        <v>3</v>
      </c>
      <c r="D110">
        <v>2</v>
      </c>
      <c r="E110">
        <v>23</v>
      </c>
      <c r="F110" s="12">
        <f>+E110/C110</f>
        <v>7.666666666666667</v>
      </c>
      <c r="G110">
        <v>13</v>
      </c>
      <c r="H110">
        <v>0</v>
      </c>
      <c r="I110">
        <v>0</v>
      </c>
    </row>
    <row r="111" spans="1:6" ht="12.75">
      <c r="A111" t="s">
        <v>123</v>
      </c>
      <c r="F111" s="12" t="e">
        <f>+E111/C111</f>
        <v>#DIV/0!</v>
      </c>
    </row>
    <row r="112" spans="1:6" ht="12.75">
      <c r="A112" t="s">
        <v>117</v>
      </c>
      <c r="F112" s="12" t="e">
        <f>+E112/C112</f>
        <v>#DIV/0!</v>
      </c>
    </row>
    <row r="114" spans="1:8" ht="12.75">
      <c r="A114" s="2" t="s">
        <v>30</v>
      </c>
      <c r="C114" s="3" t="s">
        <v>68</v>
      </c>
      <c r="D114" s="3" t="s">
        <v>70</v>
      </c>
      <c r="E114" s="3" t="s">
        <v>49</v>
      </c>
      <c r="F114" s="3" t="s">
        <v>60</v>
      </c>
      <c r="G114" s="3" t="s">
        <v>51</v>
      </c>
      <c r="H114" s="3" t="s">
        <v>80</v>
      </c>
    </row>
    <row r="115" spans="1:5" ht="12.75">
      <c r="A115" t="s">
        <v>114</v>
      </c>
      <c r="E115" s="12" t="e">
        <f aca="true" t="shared" si="2" ref="E115:E120">+D115/C115</f>
        <v>#DIV/0!</v>
      </c>
    </row>
    <row r="116" spans="1:5" ht="12.75">
      <c r="A116" t="s">
        <v>125</v>
      </c>
      <c r="E116" s="12" t="e">
        <f t="shared" si="2"/>
        <v>#DIV/0!</v>
      </c>
    </row>
    <row r="117" spans="1:5" ht="12.75">
      <c r="A117" t="s">
        <v>116</v>
      </c>
      <c r="E117" s="12" t="e">
        <f t="shared" si="2"/>
        <v>#DIV/0!</v>
      </c>
    </row>
    <row r="118" spans="1:8" ht="12.75">
      <c r="A118" t="s">
        <v>108</v>
      </c>
      <c r="C118">
        <v>1</v>
      </c>
      <c r="D118">
        <v>25</v>
      </c>
      <c r="E118" s="12">
        <f t="shared" si="2"/>
        <v>25</v>
      </c>
      <c r="F118">
        <v>25</v>
      </c>
      <c r="G118">
        <v>0</v>
      </c>
      <c r="H118">
        <v>1</v>
      </c>
    </row>
    <row r="119" spans="1:5" ht="12.75">
      <c r="A119" t="s">
        <v>115</v>
      </c>
      <c r="E119" s="12" t="e">
        <f t="shared" si="2"/>
        <v>#DIV/0!</v>
      </c>
    </row>
    <row r="120" spans="1:5" ht="12.75">
      <c r="A120" t="s">
        <v>121</v>
      </c>
      <c r="E120" s="12" t="e">
        <f t="shared" si="2"/>
        <v>#DIV/0!</v>
      </c>
    </row>
    <row r="122" spans="1:7" ht="12.75">
      <c r="A122" s="2" t="s">
        <v>71</v>
      </c>
      <c r="C122" s="3" t="s">
        <v>68</v>
      </c>
      <c r="D122" s="3" t="s">
        <v>70</v>
      </c>
      <c r="E122" s="3" t="s">
        <v>49</v>
      </c>
      <c r="F122" s="3" t="s">
        <v>60</v>
      </c>
      <c r="G122" s="3" t="s">
        <v>72</v>
      </c>
    </row>
    <row r="123" spans="1:7" ht="12.75">
      <c r="A123" t="s">
        <v>126</v>
      </c>
      <c r="C123">
        <v>4</v>
      </c>
      <c r="D123">
        <v>148</v>
      </c>
      <c r="E123" s="12">
        <f>+D123/C123</f>
        <v>37</v>
      </c>
      <c r="F123">
        <v>54</v>
      </c>
      <c r="G123">
        <v>0</v>
      </c>
    </row>
    <row r="124" spans="1:5" ht="12.75">
      <c r="A124" t="s">
        <v>113</v>
      </c>
      <c r="E124" s="12" t="e">
        <f>+D124/C124</f>
        <v>#DIV/0!</v>
      </c>
    </row>
    <row r="125" ht="12.75">
      <c r="I125" s="5" t="s">
        <v>63</v>
      </c>
    </row>
    <row r="126" spans="1:10" ht="12.75">
      <c r="A126" s="4" t="s">
        <v>79</v>
      </c>
      <c r="C126" s="3" t="s">
        <v>73</v>
      </c>
      <c r="D126" s="3" t="s">
        <v>74</v>
      </c>
      <c r="E126" s="3" t="s">
        <v>75</v>
      </c>
      <c r="F126" s="3" t="s">
        <v>76</v>
      </c>
      <c r="G126" s="3" t="s">
        <v>77</v>
      </c>
      <c r="H126" s="3" t="s">
        <v>78</v>
      </c>
      <c r="I126" s="3" t="s">
        <v>82</v>
      </c>
      <c r="J126" s="3" t="s">
        <v>60</v>
      </c>
    </row>
    <row r="127" spans="1:10" ht="12.75">
      <c r="A127" t="s">
        <v>127</v>
      </c>
      <c r="C127">
        <v>7</v>
      </c>
      <c r="D127">
        <v>2</v>
      </c>
      <c r="E127">
        <v>4</v>
      </c>
      <c r="F127">
        <v>4</v>
      </c>
      <c r="G127">
        <v>2</v>
      </c>
      <c r="H127">
        <v>1</v>
      </c>
      <c r="I127" s="12">
        <f>+H127/G127*100</f>
        <v>50</v>
      </c>
      <c r="J127">
        <v>26</v>
      </c>
    </row>
    <row r="129" spans="1:8" ht="12.75">
      <c r="A129" s="2" t="s">
        <v>81</v>
      </c>
      <c r="C129" s="3" t="s">
        <v>68</v>
      </c>
      <c r="D129" s="3" t="s">
        <v>70</v>
      </c>
      <c r="E129" s="3" t="s">
        <v>49</v>
      </c>
      <c r="F129" s="3" t="s">
        <v>60</v>
      </c>
      <c r="G129" s="3" t="s">
        <v>51</v>
      </c>
      <c r="H129" s="3" t="s">
        <v>80</v>
      </c>
    </row>
    <row r="130" spans="1:5" ht="12.75">
      <c r="A130" t="s">
        <v>128</v>
      </c>
      <c r="E130" s="12" t="e">
        <f>+D130/C130</f>
        <v>#DIV/0!</v>
      </c>
    </row>
    <row r="131" spans="1:8" ht="12.75">
      <c r="A131" t="s">
        <v>129</v>
      </c>
      <c r="C131">
        <v>2</v>
      </c>
      <c r="D131">
        <v>-13</v>
      </c>
      <c r="E131" s="12">
        <f aca="true" t="shared" si="3" ref="E131:E138">+D131/C131</f>
        <v>-6.5</v>
      </c>
      <c r="F131">
        <v>0</v>
      </c>
      <c r="G131">
        <v>0</v>
      </c>
      <c r="H131">
        <v>0</v>
      </c>
    </row>
    <row r="132" spans="1:5" ht="12.75">
      <c r="A132" t="s">
        <v>130</v>
      </c>
      <c r="E132" s="12" t="e">
        <f t="shared" si="3"/>
        <v>#DIV/0!</v>
      </c>
    </row>
    <row r="133" spans="1:8" ht="12.75">
      <c r="A133" t="s">
        <v>124</v>
      </c>
      <c r="C133">
        <v>1</v>
      </c>
      <c r="D133">
        <v>4</v>
      </c>
      <c r="E133" s="12">
        <f t="shared" si="3"/>
        <v>4</v>
      </c>
      <c r="F133">
        <v>4</v>
      </c>
      <c r="G133">
        <v>0</v>
      </c>
      <c r="H133">
        <v>0</v>
      </c>
    </row>
    <row r="134" spans="1:5" ht="12.75">
      <c r="A134" t="s">
        <v>131</v>
      </c>
      <c r="E134" s="12" t="e">
        <f t="shared" si="3"/>
        <v>#DIV/0!</v>
      </c>
    </row>
    <row r="135" spans="1:5" ht="12.75">
      <c r="A135" t="s">
        <v>132</v>
      </c>
      <c r="E135" s="12" t="e">
        <f t="shared" si="3"/>
        <v>#DIV/0!</v>
      </c>
    </row>
    <row r="136" spans="1:5" ht="12.75">
      <c r="A136" t="s">
        <v>133</v>
      </c>
      <c r="E136" s="12" t="e">
        <f t="shared" si="3"/>
        <v>#DIV/0!</v>
      </c>
    </row>
    <row r="137" spans="1:5" ht="12.75">
      <c r="A137" t="s">
        <v>134</v>
      </c>
      <c r="E137" s="12" t="e">
        <f t="shared" si="3"/>
        <v>#DIV/0!</v>
      </c>
    </row>
    <row r="138" spans="1:5" ht="12.75">
      <c r="A138" t="s">
        <v>135</v>
      </c>
      <c r="E138" s="12" t="e">
        <f t="shared" si="3"/>
        <v>#DIV/0!</v>
      </c>
    </row>
    <row r="139" ht="12.75">
      <c r="A139" t="s">
        <v>136</v>
      </c>
    </row>
    <row r="141" spans="1:4" ht="12.75">
      <c r="A141" s="2" t="s">
        <v>90</v>
      </c>
      <c r="C141" s="3" t="s">
        <v>68</v>
      </c>
      <c r="D141" s="3"/>
    </row>
    <row r="142" spans="1:3" ht="12.75">
      <c r="A142" t="s">
        <v>137</v>
      </c>
      <c r="C142">
        <v>1</v>
      </c>
    </row>
    <row r="143" spans="1:3" ht="12.75">
      <c r="A143" t="s">
        <v>134</v>
      </c>
      <c r="C143">
        <v>1</v>
      </c>
    </row>
    <row r="144" spans="1:3" ht="12.75">
      <c r="A144" t="s">
        <v>138</v>
      </c>
      <c r="C144">
        <v>1</v>
      </c>
    </row>
    <row r="145" ht="12.75">
      <c r="A145" t="s">
        <v>136</v>
      </c>
    </row>
    <row r="146" ht="12.75">
      <c r="A146" t="s">
        <v>139</v>
      </c>
    </row>
    <row r="147" spans="1:3" ht="12.75">
      <c r="A147" t="s">
        <v>135</v>
      </c>
      <c r="C147">
        <v>1</v>
      </c>
    </row>
    <row r="148" ht="12.75">
      <c r="A148" t="s">
        <v>133</v>
      </c>
    </row>
    <row r="149" ht="12.75">
      <c r="A149" t="s">
        <v>140</v>
      </c>
    </row>
    <row r="150" ht="12.75">
      <c r="A150" t="s">
        <v>141</v>
      </c>
    </row>
    <row r="151" ht="12.75">
      <c r="A151" t="s">
        <v>142</v>
      </c>
    </row>
    <row r="152" ht="12.75">
      <c r="A152" t="s">
        <v>143</v>
      </c>
    </row>
    <row r="153" ht="12.75">
      <c r="A153" t="s">
        <v>124</v>
      </c>
    </row>
    <row r="154" ht="12.75">
      <c r="A154" t="s">
        <v>129</v>
      </c>
    </row>
    <row r="155" ht="12.75">
      <c r="A155" t="s">
        <v>132</v>
      </c>
    </row>
    <row r="156" ht="12.75">
      <c r="A156" t="s">
        <v>144</v>
      </c>
    </row>
    <row r="158" spans="4:14" ht="12.75">
      <c r="D158" s="2" t="s">
        <v>84</v>
      </c>
      <c r="E158" s="2" t="s">
        <v>85</v>
      </c>
      <c r="M158" s="2" t="s">
        <v>84</v>
      </c>
      <c r="N158" s="2" t="s">
        <v>85</v>
      </c>
    </row>
    <row r="159" spans="1:13" ht="12.75">
      <c r="A159" t="s">
        <v>93</v>
      </c>
      <c r="D159">
        <v>14</v>
      </c>
      <c r="H159" t="s">
        <v>93</v>
      </c>
      <c r="M159">
        <v>14</v>
      </c>
    </row>
    <row r="160" spans="1:13" ht="12.75">
      <c r="A160" t="s">
        <v>94</v>
      </c>
      <c r="D160">
        <v>8</v>
      </c>
      <c r="H160" t="s">
        <v>94</v>
      </c>
      <c r="M160">
        <v>3</v>
      </c>
    </row>
    <row r="161" spans="1:13" ht="12.75">
      <c r="A161" t="s">
        <v>95</v>
      </c>
      <c r="D161" s="8">
        <f>D160/D159*100</f>
        <v>57.14285714285714</v>
      </c>
      <c r="H161" t="s">
        <v>95</v>
      </c>
      <c r="M161" s="8">
        <f>+M160/M159*100</f>
        <v>21.428571428571427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Y161"/>
  <sheetViews>
    <sheetView zoomScalePageLayoutView="0" workbookViewId="0" topLeftCell="A1">
      <selection activeCell="M161" sqref="M161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109</v>
      </c>
      <c r="E1" s="2" t="s">
        <v>96</v>
      </c>
      <c r="F1" s="2" t="s">
        <v>97</v>
      </c>
    </row>
    <row r="2" ht="12.75">
      <c r="E2">
        <v>1</v>
      </c>
    </row>
    <row r="3" spans="1:16" ht="12.75">
      <c r="A3" s="2" t="s">
        <v>0</v>
      </c>
      <c r="H3" s="2" t="s">
        <v>44</v>
      </c>
      <c r="P3" s="16"/>
    </row>
    <row r="6" spans="1:13" ht="12.75">
      <c r="A6" s="1" t="s">
        <v>29</v>
      </c>
      <c r="D6" s="2">
        <f>D7+D8+D9</f>
        <v>14</v>
      </c>
      <c r="H6" s="1" t="s">
        <v>29</v>
      </c>
      <c r="M6" s="2">
        <f>M7+M8+M9</f>
        <v>13</v>
      </c>
    </row>
    <row r="7" spans="1:13" ht="12.75">
      <c r="A7" s="1" t="s">
        <v>103</v>
      </c>
      <c r="D7" s="2">
        <v>4</v>
      </c>
      <c r="H7" s="1" t="s">
        <v>103</v>
      </c>
      <c r="M7" s="2">
        <v>6</v>
      </c>
    </row>
    <row r="8" spans="1:13" ht="12.75">
      <c r="A8" s="1" t="s">
        <v>105</v>
      </c>
      <c r="D8" s="2">
        <v>9</v>
      </c>
      <c r="H8" s="1" t="s">
        <v>105</v>
      </c>
      <c r="M8" s="2">
        <v>7</v>
      </c>
    </row>
    <row r="9" spans="1:13" ht="12.75">
      <c r="A9" s="1" t="s">
        <v>104</v>
      </c>
      <c r="D9" s="2">
        <v>1</v>
      </c>
      <c r="H9" s="1" t="s">
        <v>104</v>
      </c>
      <c r="M9" s="2">
        <v>0</v>
      </c>
    </row>
    <row r="11" spans="1:23" ht="12.75">
      <c r="A11" t="s">
        <v>1</v>
      </c>
      <c r="D11" s="2">
        <v>28</v>
      </c>
      <c r="H11" t="s">
        <v>1</v>
      </c>
      <c r="M11" s="2">
        <v>30</v>
      </c>
      <c r="V11">
        <f>+D11</f>
        <v>28</v>
      </c>
      <c r="W11">
        <f>+M11</f>
        <v>30</v>
      </c>
    </row>
    <row r="12" spans="1:23" ht="12.75">
      <c r="A12" t="s">
        <v>2</v>
      </c>
      <c r="D12" s="2">
        <v>59</v>
      </c>
      <c r="H12" t="s">
        <v>2</v>
      </c>
      <c r="M12" s="2">
        <v>102</v>
      </c>
      <c r="U12" s="13"/>
      <c r="V12">
        <f>+D16</f>
        <v>17</v>
      </c>
      <c r="W12">
        <f>+M16</f>
        <v>14</v>
      </c>
    </row>
    <row r="13" spans="1:23" ht="12.75">
      <c r="A13" s="1" t="s">
        <v>3</v>
      </c>
      <c r="D13" s="8">
        <f>+D12/D11</f>
        <v>2.107142857142857</v>
      </c>
      <c r="H13" s="1" t="s">
        <v>3</v>
      </c>
      <c r="M13" s="8">
        <f>+M12/M11</f>
        <v>3.4</v>
      </c>
      <c r="V13">
        <f>+(D15-D16)/2</f>
        <v>8</v>
      </c>
      <c r="W13">
        <f>+(M15-M16)/2</f>
        <v>7</v>
      </c>
    </row>
    <row r="14" spans="16:23" ht="12.75">
      <c r="P14" s="18"/>
      <c r="V14">
        <f>+D38/2</f>
        <v>4</v>
      </c>
      <c r="W14">
        <f>+M38/2</f>
        <v>3</v>
      </c>
    </row>
    <row r="15" spans="1:23" ht="12.75">
      <c r="A15" t="s">
        <v>4</v>
      </c>
      <c r="D15" s="2">
        <v>33</v>
      </c>
      <c r="F15" s="17"/>
      <c r="H15" t="s">
        <v>4</v>
      </c>
      <c r="M15" s="2">
        <v>28</v>
      </c>
      <c r="V15">
        <f>+D42/2</f>
        <v>1.5</v>
      </c>
      <c r="W15">
        <f>+M42/2</f>
        <v>3</v>
      </c>
    </row>
    <row r="16" spans="1:23" ht="12.75">
      <c r="A16" t="s">
        <v>5</v>
      </c>
      <c r="D16" s="2">
        <v>17</v>
      </c>
      <c r="F16" s="19"/>
      <c r="H16" t="s">
        <v>5</v>
      </c>
      <c r="M16" s="2">
        <v>14</v>
      </c>
      <c r="V16">
        <f>+D48/2</f>
        <v>1</v>
      </c>
      <c r="W16">
        <f>+M48/2</f>
        <v>2</v>
      </c>
    </row>
    <row r="17" spans="1:13" ht="12.75">
      <c r="A17" t="s">
        <v>6</v>
      </c>
      <c r="D17" s="8">
        <f>+D16/D15*100</f>
        <v>51.515151515151516</v>
      </c>
      <c r="F17" s="19"/>
      <c r="H17" t="s">
        <v>6</v>
      </c>
      <c r="M17" s="8">
        <f>+M16/M15*100</f>
        <v>50</v>
      </c>
    </row>
    <row r="18" spans="1:24" ht="12.75">
      <c r="A18" t="s">
        <v>7</v>
      </c>
      <c r="D18" s="2">
        <v>214</v>
      </c>
      <c r="F18" s="19"/>
      <c r="H18" t="s">
        <v>7</v>
      </c>
      <c r="M18" s="2">
        <v>216</v>
      </c>
      <c r="V18">
        <f>SUM(V11:V16)</f>
        <v>59.5</v>
      </c>
      <c r="W18">
        <f>SUM(W11:W16)</f>
        <v>59</v>
      </c>
      <c r="X18">
        <f>+W18+V18</f>
        <v>118.5</v>
      </c>
    </row>
    <row r="19" spans="1:23" ht="12.75">
      <c r="A19" t="s">
        <v>8</v>
      </c>
      <c r="D19" s="2">
        <v>6</v>
      </c>
      <c r="F19" s="19"/>
      <c r="H19" t="s">
        <v>8</v>
      </c>
      <c r="M19" s="2">
        <v>4</v>
      </c>
      <c r="V19">
        <f>+V18/X18</f>
        <v>0.5021097046413502</v>
      </c>
      <c r="W19">
        <f>+W18/X18</f>
        <v>0.4978902953586498</v>
      </c>
    </row>
    <row r="20" spans="1:23" ht="12.75">
      <c r="A20" t="s">
        <v>9</v>
      </c>
      <c r="D20" s="2">
        <v>29</v>
      </c>
      <c r="F20" s="19"/>
      <c r="H20" t="s">
        <v>9</v>
      </c>
      <c r="M20" s="2">
        <v>28</v>
      </c>
      <c r="V20">
        <f>+V19*60</f>
        <v>30.12658227848101</v>
      </c>
      <c r="W20">
        <f>+W19*60</f>
        <v>29.87341772151899</v>
      </c>
    </row>
    <row r="21" spans="1:23" ht="12.75">
      <c r="A21" t="s">
        <v>10</v>
      </c>
      <c r="D21">
        <f>+D18-D20</f>
        <v>185</v>
      </c>
      <c r="F21" s="19"/>
      <c r="H21" t="s">
        <v>10</v>
      </c>
      <c r="M21">
        <f>+M18-M20</f>
        <v>188</v>
      </c>
      <c r="V21">
        <f>+V20-INT(V20)</f>
        <v>0.12658227848100978</v>
      </c>
      <c r="W21">
        <f>+W20-INT(W20)</f>
        <v>0.8734177215189902</v>
      </c>
    </row>
    <row r="22" spans="1:23" ht="12.75">
      <c r="A22" t="s">
        <v>11</v>
      </c>
      <c r="D22" s="7">
        <f>+D21/(D15+D19)</f>
        <v>4.743589743589744</v>
      </c>
      <c r="F22" s="19"/>
      <c r="H22" t="s">
        <v>11</v>
      </c>
      <c r="M22" s="7">
        <f>+M21/(M15+M19)</f>
        <v>5.875</v>
      </c>
      <c r="V22">
        <f>+V21*60</f>
        <v>7.594936708860587</v>
      </c>
      <c r="W22">
        <f>+W21*60</f>
        <v>52.40506329113941</v>
      </c>
    </row>
    <row r="23" spans="1:23" ht="12.75">
      <c r="A23" t="s">
        <v>12</v>
      </c>
      <c r="D23" s="7">
        <f>+D18/D16</f>
        <v>12.588235294117647</v>
      </c>
      <c r="F23" s="19"/>
      <c r="H23" t="s">
        <v>12</v>
      </c>
      <c r="M23" s="7">
        <f>+M18/M16</f>
        <v>15.428571428571429</v>
      </c>
      <c r="U23">
        <v>0</v>
      </c>
      <c r="V23" s="11">
        <f>ROUND(V22,0)</f>
        <v>8</v>
      </c>
      <c r="W23">
        <f>ROUND(W22,0)</f>
        <v>52</v>
      </c>
    </row>
    <row r="24" spans="6:23" ht="12.75">
      <c r="F24" s="19"/>
      <c r="V24">
        <f>INT(V20)</f>
        <v>30</v>
      </c>
      <c r="W24">
        <f>INT(W20)</f>
        <v>29</v>
      </c>
    </row>
    <row r="25" spans="1:23" ht="12.75">
      <c r="A25" t="s">
        <v>13</v>
      </c>
      <c r="F25" s="19"/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244</v>
      </c>
      <c r="F26" s="19"/>
      <c r="H26" t="s">
        <v>14</v>
      </c>
      <c r="M26">
        <f>+M21+M12</f>
        <v>290</v>
      </c>
      <c r="Q26" s="9"/>
      <c r="R26" s="9"/>
      <c r="V26" s="14" t="str">
        <f>+V24&amp;V25&amp;V23</f>
        <v>30:8</v>
      </c>
      <c r="W26" s="9" t="str">
        <f>+W24&amp;W25&amp;W23</f>
        <v>29:52</v>
      </c>
    </row>
    <row r="27" spans="1:23" ht="12.75">
      <c r="A27" t="s">
        <v>15</v>
      </c>
      <c r="D27" s="7">
        <f>+D12/D26*100</f>
        <v>24.18032786885246</v>
      </c>
      <c r="F27" s="19"/>
      <c r="H27" t="s">
        <v>15</v>
      </c>
      <c r="M27" s="7">
        <f>+M12/M26*100</f>
        <v>35.172413793103445</v>
      </c>
      <c r="V27" s="9" t="str">
        <f>IF(V23&lt;10,+V24&amp;V25&amp;$U$23&amp;V23,+V24&amp;V25&amp;V23)</f>
        <v>30:08</v>
      </c>
      <c r="W27" s="9" t="str">
        <f>IF(W23&lt;10,+W24&amp;W25&amp;$U$23&amp;W23,+W24&amp;W25&amp;W23)</f>
        <v>29:52</v>
      </c>
    </row>
    <row r="28" spans="1:13" ht="12.75">
      <c r="A28" s="1" t="s">
        <v>86</v>
      </c>
      <c r="D28" s="7">
        <f>+D21/D26*100</f>
        <v>75.81967213114754</v>
      </c>
      <c r="F28" s="19"/>
      <c r="H28" s="1" t="s">
        <v>86</v>
      </c>
      <c r="M28" s="7">
        <f>+M21/M26*100</f>
        <v>64.82758620689654</v>
      </c>
    </row>
    <row r="29" ht="12.75">
      <c r="F29" s="19"/>
    </row>
    <row r="30" spans="1:13" ht="12.75">
      <c r="A30" t="s">
        <v>16</v>
      </c>
      <c r="D30">
        <f>+D11+D15+D19</f>
        <v>67</v>
      </c>
      <c r="F30" s="19"/>
      <c r="H30" t="s">
        <v>16</v>
      </c>
      <c r="M30">
        <f>+M6+M15+M19</f>
        <v>45</v>
      </c>
    </row>
    <row r="31" spans="1:13" ht="12.75">
      <c r="A31" t="s">
        <v>17</v>
      </c>
      <c r="D31" s="8">
        <f>+D26/D30</f>
        <v>3.6417910447761193</v>
      </c>
      <c r="E31" s="7"/>
      <c r="F31" s="20"/>
      <c r="G31" s="7"/>
      <c r="H31" s="7" t="s">
        <v>17</v>
      </c>
      <c r="I31" s="7"/>
      <c r="J31" s="7"/>
      <c r="K31" s="7"/>
      <c r="L31" s="7"/>
      <c r="M31" s="8">
        <f>+M26/M30</f>
        <v>6.444444444444445</v>
      </c>
    </row>
    <row r="32" ht="12.75">
      <c r="F32" s="19"/>
    </row>
    <row r="33" spans="1:8" ht="12.75">
      <c r="A33" t="s">
        <v>18</v>
      </c>
      <c r="F33" s="17"/>
      <c r="H33" t="s">
        <v>18</v>
      </c>
    </row>
    <row r="34" spans="1:13" ht="12.75">
      <c r="A34" t="s">
        <v>19</v>
      </c>
      <c r="D34" s="2">
        <v>4</v>
      </c>
      <c r="H34" t="s">
        <v>19</v>
      </c>
      <c r="M34" s="2">
        <v>4</v>
      </c>
    </row>
    <row r="35" spans="1:13" ht="12.75">
      <c r="A35" t="s">
        <v>20</v>
      </c>
      <c r="D35" s="2">
        <v>16</v>
      </c>
      <c r="H35" t="s">
        <v>20</v>
      </c>
      <c r="M35" s="2">
        <v>20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8</v>
      </c>
      <c r="H38" t="s">
        <v>22</v>
      </c>
      <c r="M38" s="2">
        <v>6</v>
      </c>
    </row>
    <row r="39" spans="1:13" ht="12.75">
      <c r="A39" t="s">
        <v>23</v>
      </c>
      <c r="D39" s="2">
        <v>376</v>
      </c>
      <c r="H39" t="s">
        <v>23</v>
      </c>
      <c r="M39" s="2">
        <v>287</v>
      </c>
    </row>
    <row r="40" spans="1:13" ht="12.75">
      <c r="A40" t="s">
        <v>24</v>
      </c>
      <c r="D40" s="8">
        <f>+D39/D38</f>
        <v>47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47.833333333333336</v>
      </c>
    </row>
    <row r="42" spans="1:13" ht="12.75">
      <c r="A42" t="s">
        <v>25</v>
      </c>
      <c r="D42" s="2">
        <v>3</v>
      </c>
      <c r="H42" t="s">
        <v>25</v>
      </c>
      <c r="M42" s="2">
        <v>6</v>
      </c>
    </row>
    <row r="43" spans="1:13" ht="12.75">
      <c r="A43" t="s">
        <v>26</v>
      </c>
      <c r="D43" s="2">
        <v>24</v>
      </c>
      <c r="H43" t="s">
        <v>26</v>
      </c>
      <c r="M43" s="2">
        <v>56</v>
      </c>
    </row>
    <row r="44" spans="1:13" ht="12.75">
      <c r="A44" t="s">
        <v>27</v>
      </c>
      <c r="D44" s="8">
        <f>+D43/D42</f>
        <v>8</v>
      </c>
      <c r="H44" t="s">
        <v>27</v>
      </c>
      <c r="M44" s="8">
        <f>+M43/M42</f>
        <v>9.333333333333334</v>
      </c>
    </row>
    <row r="45" spans="1:13" ht="12.75">
      <c r="A45" t="s">
        <v>106</v>
      </c>
      <c r="D45" s="2">
        <v>1</v>
      </c>
      <c r="H45" t="s">
        <v>106</v>
      </c>
      <c r="M45" s="2">
        <v>0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2</v>
      </c>
      <c r="H48" t="s">
        <v>30</v>
      </c>
      <c r="M48" s="2">
        <v>4</v>
      </c>
    </row>
    <row r="49" spans="1:13" ht="12.75">
      <c r="A49" t="s">
        <v>26</v>
      </c>
      <c r="D49" s="2">
        <v>53</v>
      </c>
      <c r="H49" t="s">
        <v>26</v>
      </c>
      <c r="M49" s="2">
        <v>94</v>
      </c>
    </row>
    <row r="50" spans="1:13" ht="12.75">
      <c r="A50" t="s">
        <v>27</v>
      </c>
      <c r="D50" s="8">
        <f>+D49/D48</f>
        <v>26.5</v>
      </c>
      <c r="H50" t="s">
        <v>27</v>
      </c>
      <c r="M50" s="8">
        <f>+M49/M48</f>
        <v>23.5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3</v>
      </c>
      <c r="H53" t="s">
        <v>31</v>
      </c>
      <c r="M53" s="2">
        <v>3</v>
      </c>
    </row>
    <row r="54" spans="1:13" ht="12.75">
      <c r="A54" t="s">
        <v>32</v>
      </c>
      <c r="D54" s="2">
        <v>30</v>
      </c>
      <c r="H54" t="s">
        <v>32</v>
      </c>
      <c r="M54" s="2">
        <v>30</v>
      </c>
    </row>
    <row r="56" spans="1:13" ht="12.75">
      <c r="A56" t="s">
        <v>33</v>
      </c>
      <c r="D56" s="2">
        <v>2</v>
      </c>
      <c r="H56" t="s">
        <v>33</v>
      </c>
      <c r="M56" s="2">
        <v>1</v>
      </c>
    </row>
    <row r="57" spans="1:13" ht="12.75">
      <c r="A57" t="s">
        <v>101</v>
      </c>
      <c r="D57" s="2">
        <v>0</v>
      </c>
      <c r="H57" t="s">
        <v>101</v>
      </c>
      <c r="M57" s="2">
        <v>1</v>
      </c>
    </row>
    <row r="59" spans="1:13" ht="12.75">
      <c r="A59" t="s">
        <v>34</v>
      </c>
      <c r="D59" s="2">
        <v>10</v>
      </c>
      <c r="H59" t="s">
        <v>34</v>
      </c>
      <c r="M59" s="2">
        <v>9</v>
      </c>
    </row>
    <row r="60" spans="1:13" ht="12.75">
      <c r="A60" t="s">
        <v>35</v>
      </c>
      <c r="D60" s="2">
        <v>1</v>
      </c>
      <c r="H60" t="s">
        <v>35</v>
      </c>
      <c r="M60" s="2">
        <v>1</v>
      </c>
    </row>
    <row r="61" spans="1:13" ht="12.75">
      <c r="A61" t="s">
        <v>36</v>
      </c>
      <c r="D61" s="2">
        <v>0</v>
      </c>
      <c r="H61" t="s">
        <v>36</v>
      </c>
      <c r="M61" s="2">
        <v>1</v>
      </c>
    </row>
    <row r="62" spans="1:13" ht="12.75">
      <c r="A62" t="s">
        <v>37</v>
      </c>
      <c r="D62" s="2">
        <v>1</v>
      </c>
      <c r="H62" t="s">
        <v>37</v>
      </c>
      <c r="M62" s="2">
        <v>0</v>
      </c>
    </row>
    <row r="63" spans="1:13" ht="12.75">
      <c r="A63" t="s">
        <v>38</v>
      </c>
      <c r="D63" s="2">
        <v>0</v>
      </c>
      <c r="H63" t="s">
        <v>38</v>
      </c>
      <c r="M63" s="2">
        <v>0</v>
      </c>
    </row>
    <row r="64" spans="1:13" ht="12.75">
      <c r="A64" t="s">
        <v>39</v>
      </c>
      <c r="D64" s="2">
        <v>1</v>
      </c>
      <c r="H64" t="s">
        <v>39</v>
      </c>
      <c r="M64" s="2">
        <v>1</v>
      </c>
    </row>
    <row r="65" spans="1:13" ht="12.75">
      <c r="A65" t="s">
        <v>40</v>
      </c>
      <c r="D65" s="2">
        <v>0</v>
      </c>
      <c r="H65" t="s">
        <v>40</v>
      </c>
      <c r="M65" s="2">
        <v>1</v>
      </c>
    </row>
    <row r="66" spans="1:13" ht="12.75">
      <c r="A66" t="s">
        <v>41</v>
      </c>
      <c r="D66" s="2">
        <v>1</v>
      </c>
      <c r="H66" t="s">
        <v>41</v>
      </c>
      <c r="M66" s="2">
        <v>0</v>
      </c>
    </row>
    <row r="67" spans="1:13" ht="12.75">
      <c r="A67" t="s">
        <v>42</v>
      </c>
      <c r="D67" s="2">
        <v>1</v>
      </c>
      <c r="H67" t="s">
        <v>42</v>
      </c>
      <c r="M67" s="2">
        <v>2</v>
      </c>
    </row>
    <row r="68" spans="1:13" ht="12.75">
      <c r="A68" t="s">
        <v>43</v>
      </c>
      <c r="D68" s="7">
        <f>+D66/D67*100</f>
        <v>100</v>
      </c>
      <c r="E68" s="7"/>
      <c r="F68" s="7"/>
      <c r="G68" s="7"/>
      <c r="H68" s="7" t="s">
        <v>43</v>
      </c>
      <c r="I68" s="7"/>
      <c r="J68" s="7"/>
      <c r="K68" s="7"/>
      <c r="L68" s="7"/>
      <c r="M68" s="8">
        <f>+M66/M67*100</f>
        <v>0</v>
      </c>
    </row>
    <row r="69" spans="1:13" ht="12.75">
      <c r="A69" t="s">
        <v>89</v>
      </c>
      <c r="D69" s="10" t="str">
        <f>IF(V23&lt;10,V27,V26)</f>
        <v>30:08</v>
      </c>
      <c r="E69" s="8"/>
      <c r="F69" s="8"/>
      <c r="H69" t="s">
        <v>89</v>
      </c>
      <c r="M69" s="10" t="str">
        <f>IF(W23&lt;10,W27,W26)</f>
        <v>29:52</v>
      </c>
    </row>
    <row r="70" spans="1:13" ht="12.75">
      <c r="A70" t="s">
        <v>102</v>
      </c>
      <c r="D70" s="23">
        <f>D161</f>
        <v>35</v>
      </c>
      <c r="E70" s="8"/>
      <c r="F70" s="8"/>
      <c r="H70" t="s">
        <v>102</v>
      </c>
      <c r="M70" s="23">
        <f>M161</f>
        <v>16.666666666666664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110</v>
      </c>
      <c r="C74">
        <v>21</v>
      </c>
      <c r="D74">
        <v>47</v>
      </c>
      <c r="E74" s="12">
        <f aca="true" t="shared" si="0" ref="E74:E84">+D74/C74</f>
        <v>2.238095238095238</v>
      </c>
      <c r="F74">
        <v>9</v>
      </c>
      <c r="G74">
        <v>0</v>
      </c>
      <c r="H74">
        <v>1</v>
      </c>
    </row>
    <row r="75" spans="1:5" ht="12.75">
      <c r="A75" t="s">
        <v>111</v>
      </c>
      <c r="E75" s="12" t="e">
        <f t="shared" si="0"/>
        <v>#DIV/0!</v>
      </c>
    </row>
    <row r="76" spans="1:5" ht="12.75">
      <c r="A76" t="s">
        <v>112</v>
      </c>
      <c r="E76" s="12" t="e">
        <f t="shared" si="0"/>
        <v>#DIV/0!</v>
      </c>
    </row>
    <row r="77" spans="1:8" ht="12.75">
      <c r="A77" t="s">
        <v>113</v>
      </c>
      <c r="C77">
        <v>1</v>
      </c>
      <c r="D77">
        <v>2</v>
      </c>
      <c r="E77" s="12">
        <f t="shared" si="0"/>
        <v>2</v>
      </c>
      <c r="F77">
        <v>2</v>
      </c>
      <c r="G77">
        <v>0</v>
      </c>
      <c r="H77">
        <v>0</v>
      </c>
    </row>
    <row r="78" spans="1:8" ht="12.75">
      <c r="A78" t="s">
        <v>108</v>
      </c>
      <c r="C78">
        <v>5</v>
      </c>
      <c r="D78">
        <v>11</v>
      </c>
      <c r="E78" s="12">
        <f t="shared" si="0"/>
        <v>2.2</v>
      </c>
      <c r="F78">
        <v>6</v>
      </c>
      <c r="G78">
        <v>0</v>
      </c>
      <c r="H78">
        <v>1</v>
      </c>
    </row>
    <row r="79" spans="1:8" ht="12.75">
      <c r="A79" t="s">
        <v>114</v>
      </c>
      <c r="C79">
        <v>1</v>
      </c>
      <c r="D79">
        <v>-1</v>
      </c>
      <c r="E79" s="12">
        <f t="shared" si="0"/>
        <v>-1</v>
      </c>
      <c r="F79">
        <v>-1</v>
      </c>
      <c r="G79">
        <v>0</v>
      </c>
      <c r="H79">
        <v>0</v>
      </c>
    </row>
    <row r="80" spans="1:5" ht="12.75">
      <c r="A80" t="s">
        <v>115</v>
      </c>
      <c r="E80" s="12" t="e">
        <f t="shared" si="0"/>
        <v>#DIV/0!</v>
      </c>
    </row>
    <row r="81" spans="1:5" ht="12.75">
      <c r="A81" t="s">
        <v>116</v>
      </c>
      <c r="E81" s="12" t="e">
        <f t="shared" si="0"/>
        <v>#DIV/0!</v>
      </c>
    </row>
    <row r="82" spans="1:5" ht="12.75">
      <c r="A82" t="s">
        <v>117</v>
      </c>
      <c r="E82" s="12" t="e">
        <f t="shared" si="0"/>
        <v>#DIV/0!</v>
      </c>
    </row>
    <row r="83" spans="1:5" ht="12.75">
      <c r="A83" t="s">
        <v>118</v>
      </c>
      <c r="E83" s="12" t="e">
        <f t="shared" si="0"/>
        <v>#DIV/0!</v>
      </c>
    </row>
    <row r="84" spans="1:5" ht="12.75">
      <c r="A84" t="s">
        <v>107</v>
      </c>
      <c r="E84" s="12" t="e">
        <f t="shared" si="0"/>
        <v>#DIV/0!</v>
      </c>
    </row>
    <row r="85" ht="12.75">
      <c r="E85" s="8"/>
    </row>
    <row r="86" spans="1:8" ht="12.75">
      <c r="A86" s="2" t="s">
        <v>52</v>
      </c>
      <c r="C86" s="3" t="s">
        <v>53</v>
      </c>
      <c r="D86" s="3" t="s">
        <v>48</v>
      </c>
      <c r="E86" s="15" t="s">
        <v>49</v>
      </c>
      <c r="F86" s="3" t="s">
        <v>50</v>
      </c>
      <c r="G86" s="3" t="s">
        <v>51</v>
      </c>
      <c r="H86" s="3" t="s">
        <v>80</v>
      </c>
    </row>
    <row r="87" spans="1:8" ht="12.75">
      <c r="A87" t="s">
        <v>107</v>
      </c>
      <c r="C87">
        <v>1</v>
      </c>
      <c r="D87">
        <v>42</v>
      </c>
      <c r="E87" s="12">
        <f aca="true" t="shared" si="1" ref="E87:E98">+D87/C87</f>
        <v>42</v>
      </c>
      <c r="F87">
        <v>42</v>
      </c>
      <c r="G87">
        <v>1</v>
      </c>
      <c r="H87">
        <v>0</v>
      </c>
    </row>
    <row r="88" spans="1:8" ht="12.75">
      <c r="A88" t="s">
        <v>119</v>
      </c>
      <c r="C88">
        <v>2</v>
      </c>
      <c r="D88">
        <v>10</v>
      </c>
      <c r="E88" s="12">
        <f t="shared" si="1"/>
        <v>5</v>
      </c>
      <c r="F88">
        <v>6</v>
      </c>
      <c r="G88">
        <v>0</v>
      </c>
      <c r="H88">
        <v>0</v>
      </c>
    </row>
    <row r="89" spans="1:8" ht="12.75">
      <c r="A89" t="s">
        <v>120</v>
      </c>
      <c r="C89">
        <v>4</v>
      </c>
      <c r="D89">
        <v>90</v>
      </c>
      <c r="E89" s="12">
        <f t="shared" si="1"/>
        <v>22.5</v>
      </c>
      <c r="F89">
        <v>58</v>
      </c>
      <c r="G89">
        <v>0</v>
      </c>
      <c r="H89">
        <v>0</v>
      </c>
    </row>
    <row r="90" spans="1:5" ht="12.75">
      <c r="A90" t="s">
        <v>110</v>
      </c>
      <c r="E90" s="12" t="e">
        <f t="shared" si="1"/>
        <v>#DIV/0!</v>
      </c>
    </row>
    <row r="91" spans="1:8" ht="12.75">
      <c r="A91" t="s">
        <v>111</v>
      </c>
      <c r="C91">
        <v>6</v>
      </c>
      <c r="D91">
        <v>24</v>
      </c>
      <c r="E91" s="12">
        <f t="shared" si="1"/>
        <v>4</v>
      </c>
      <c r="F91">
        <v>12</v>
      </c>
      <c r="G91">
        <v>0</v>
      </c>
      <c r="H91">
        <v>0</v>
      </c>
    </row>
    <row r="92" spans="1:5" ht="12.75">
      <c r="A92" t="s">
        <v>116</v>
      </c>
      <c r="E92" s="12" t="e">
        <f t="shared" si="1"/>
        <v>#DIV/0!</v>
      </c>
    </row>
    <row r="93" spans="1:8" ht="12.75">
      <c r="A93" t="s">
        <v>121</v>
      </c>
      <c r="C93">
        <v>2</v>
      </c>
      <c r="D93">
        <v>30</v>
      </c>
      <c r="E93" s="12">
        <f t="shared" si="1"/>
        <v>15</v>
      </c>
      <c r="F93">
        <v>22</v>
      </c>
      <c r="G93">
        <v>0</v>
      </c>
      <c r="H93">
        <v>0</v>
      </c>
    </row>
    <row r="94" spans="1:8" ht="12.75">
      <c r="A94" t="s">
        <v>122</v>
      </c>
      <c r="C94">
        <v>1</v>
      </c>
      <c r="D94">
        <v>11</v>
      </c>
      <c r="E94" s="12">
        <f t="shared" si="1"/>
        <v>11</v>
      </c>
      <c r="F94">
        <v>11</v>
      </c>
      <c r="G94">
        <v>0</v>
      </c>
      <c r="H94">
        <v>0</v>
      </c>
    </row>
    <row r="95" spans="1:8" ht="12.75">
      <c r="A95" t="s">
        <v>115</v>
      </c>
      <c r="C95">
        <v>1</v>
      </c>
      <c r="D95">
        <v>7</v>
      </c>
      <c r="E95" s="12">
        <f t="shared" si="1"/>
        <v>7</v>
      </c>
      <c r="F95">
        <v>7</v>
      </c>
      <c r="G95">
        <v>0</v>
      </c>
      <c r="H95">
        <v>0</v>
      </c>
    </row>
    <row r="96" spans="1:5" ht="12.75">
      <c r="A96" t="s">
        <v>123</v>
      </c>
      <c r="E96" s="12" t="e">
        <f t="shared" si="1"/>
        <v>#DIV/0!</v>
      </c>
    </row>
    <row r="97" spans="1:5" ht="12.75">
      <c r="A97" t="s">
        <v>113</v>
      </c>
      <c r="E97" s="12" t="e">
        <f t="shared" si="1"/>
        <v>#DIV/0!</v>
      </c>
    </row>
    <row r="98" spans="1:5" ht="12.75">
      <c r="A98" t="s">
        <v>114</v>
      </c>
      <c r="E98" s="12" t="e">
        <f t="shared" si="1"/>
        <v>#DIV/0!</v>
      </c>
    </row>
    <row r="99" ht="12.75">
      <c r="E99" s="8"/>
    </row>
    <row r="100" spans="1:13" ht="12.75">
      <c r="A100" s="2"/>
      <c r="B100" s="2"/>
      <c r="C100" s="3"/>
      <c r="D100" s="3"/>
      <c r="E100" s="15" t="s">
        <v>57</v>
      </c>
      <c r="F100" s="3" t="s">
        <v>58</v>
      </c>
      <c r="G100" s="3"/>
      <c r="H100" s="3"/>
      <c r="I100" s="3" t="s">
        <v>61</v>
      </c>
      <c r="J100" s="3" t="s">
        <v>63</v>
      </c>
      <c r="K100" s="3" t="s">
        <v>57</v>
      </c>
      <c r="L100" s="3" t="s">
        <v>49</v>
      </c>
      <c r="M100" s="3"/>
    </row>
    <row r="101" spans="1:14" ht="12.75">
      <c r="A101" s="2" t="s">
        <v>54</v>
      </c>
      <c r="B101" s="2"/>
      <c r="C101" s="3" t="s">
        <v>55</v>
      </c>
      <c r="D101" s="3" t="s">
        <v>56</v>
      </c>
      <c r="E101" s="15" t="s">
        <v>56</v>
      </c>
      <c r="F101" s="3" t="s">
        <v>59</v>
      </c>
      <c r="G101" s="3" t="s">
        <v>51</v>
      </c>
      <c r="H101" s="3" t="s">
        <v>60</v>
      </c>
      <c r="I101" s="5" t="s">
        <v>62</v>
      </c>
      <c r="J101" s="3" t="s">
        <v>51</v>
      </c>
      <c r="K101" s="3" t="s">
        <v>64</v>
      </c>
      <c r="L101" s="3" t="s">
        <v>65</v>
      </c>
      <c r="M101" s="3" t="s">
        <v>66</v>
      </c>
      <c r="N101" s="3" t="s">
        <v>80</v>
      </c>
    </row>
    <row r="102" spans="1:25" ht="12.75">
      <c r="A102" t="s">
        <v>113</v>
      </c>
      <c r="C102">
        <v>33</v>
      </c>
      <c r="D102">
        <v>17</v>
      </c>
      <c r="E102" s="12">
        <f>+D102/C102*100</f>
        <v>51.515151515151516</v>
      </c>
      <c r="F102">
        <v>214</v>
      </c>
      <c r="G102">
        <v>1</v>
      </c>
      <c r="H102">
        <v>58</v>
      </c>
      <c r="I102">
        <v>4</v>
      </c>
      <c r="J102" s="8">
        <f>+G102/C102*100</f>
        <v>3.0303030303030303</v>
      </c>
      <c r="K102" s="12">
        <f>+I102/C102*100</f>
        <v>12.121212121212121</v>
      </c>
      <c r="L102" s="12">
        <f>+F102/C102</f>
        <v>6.484848484848484</v>
      </c>
      <c r="M102" s="12">
        <f>100*(S102+U102+W102+Y102)/6</f>
        <v>42.550505050505045</v>
      </c>
      <c r="R102">
        <f>+(E102-30)/20</f>
        <v>1.0757575757575757</v>
      </c>
      <c r="S102" s="2">
        <f>IF(R102&lt;0,0,IF(R102&gt;2.375,2.375,R102))</f>
        <v>1.0757575757575757</v>
      </c>
      <c r="T102" s="6">
        <f>+(L102-3)/4</f>
        <v>0.8712121212121211</v>
      </c>
      <c r="U102" s="2">
        <f>IF(T102&lt;0,0,IF(T102&gt;2.375,2.375,T102))</f>
        <v>0.8712121212121211</v>
      </c>
      <c r="V102">
        <f>+J102/5</f>
        <v>0.6060606060606061</v>
      </c>
      <c r="W102" s="2">
        <f>IF(V102&lt;0,0,IF(V102&gt;2.375,2.375,V102))</f>
        <v>0.6060606060606061</v>
      </c>
      <c r="X102">
        <f>(9.5-K102)/4</f>
        <v>-0.6553030303030303</v>
      </c>
      <c r="Y102" s="2">
        <f>IF(X102&lt;0,0,X102)</f>
        <v>0</v>
      </c>
    </row>
    <row r="103" spans="1:25" ht="12.75">
      <c r="A103" t="s">
        <v>112</v>
      </c>
      <c r="E103" s="12" t="e">
        <f>+D103/C103*100</f>
        <v>#DIV/0!</v>
      </c>
      <c r="J103" s="8" t="e">
        <f>+G103/C103*100</f>
        <v>#DIV/0!</v>
      </c>
      <c r="K103" s="12" t="e">
        <f>+I103/C103*100</f>
        <v>#DIV/0!</v>
      </c>
      <c r="L103" s="12" t="e">
        <f>+F103/C103</f>
        <v>#DIV/0!</v>
      </c>
      <c r="M103" s="12" t="e">
        <f>100*(S103+U103+W103+Y103)/6</f>
        <v>#DIV/0!</v>
      </c>
      <c r="R103" t="e">
        <f>+(E103-30)/20</f>
        <v>#DIV/0!</v>
      </c>
      <c r="S103" s="2" t="e">
        <f>IF(R103&lt;0,0,IF(R103&gt;2.375,2.375,R103))</f>
        <v>#DIV/0!</v>
      </c>
      <c r="T103" s="6" t="e">
        <f>+(L103-3)/4</f>
        <v>#DIV/0!</v>
      </c>
      <c r="U103" s="2" t="e">
        <f>IF(T103&lt;0,0,IF(T103&gt;2.375,2.375,T103))</f>
        <v>#DIV/0!</v>
      </c>
      <c r="V103" t="e">
        <f>+J103/5</f>
        <v>#DIV/0!</v>
      </c>
      <c r="W103" s="2" t="e">
        <f>IF(V103&lt;0,0,IF(V103&gt;2.375,2.375,V103))</f>
        <v>#DIV/0!</v>
      </c>
      <c r="X103" t="e">
        <f>(9.5-K103)/4</f>
        <v>#DIV/0!</v>
      </c>
      <c r="Y103" s="2" t="e">
        <f>IF(X103&lt;0,0,X103)</f>
        <v>#DIV/0!</v>
      </c>
    </row>
    <row r="104" spans="1:25" ht="12.75">
      <c r="A104" t="s">
        <v>118</v>
      </c>
      <c r="E104" s="12" t="e">
        <f>+D104/C104*100</f>
        <v>#DIV/0!</v>
      </c>
      <c r="J104" s="8" t="e">
        <f>+G104/C104*100</f>
        <v>#DIV/0!</v>
      </c>
      <c r="K104" s="12" t="e">
        <f>+I104/C104*100</f>
        <v>#DIV/0!</v>
      </c>
      <c r="L104" s="12" t="e">
        <f>+F104/C104</f>
        <v>#DIV/0!</v>
      </c>
      <c r="M104" s="12" t="e">
        <f>100*(S104+U104+W104+Y104)/6</f>
        <v>#DIV/0!</v>
      </c>
      <c r="R104" t="e">
        <f>+(E104-30)/20</f>
        <v>#DIV/0!</v>
      </c>
      <c r="S104" s="2" t="e">
        <f>IF(R104&lt;0,0,IF(R104&gt;2.375,2.375,R104))</f>
        <v>#DIV/0!</v>
      </c>
      <c r="T104" s="6" t="e">
        <f>+(L104-3)/4</f>
        <v>#DIV/0!</v>
      </c>
      <c r="U104" s="2" t="e">
        <f>IF(T104&lt;0,0,IF(T104&gt;2.375,2.375,T104))</f>
        <v>#DIV/0!</v>
      </c>
      <c r="V104" t="e">
        <f>+J104/5</f>
        <v>#DIV/0!</v>
      </c>
      <c r="W104" s="2" t="e">
        <f>IF(V104&lt;0,0,IF(V104&gt;2.375,2.375,V104))</f>
        <v>#DIV/0!</v>
      </c>
      <c r="X104" t="e">
        <f>(9.5-K104)/4</f>
        <v>#DIV/0!</v>
      </c>
      <c r="Y104" s="2" t="e">
        <f>IF(X104&lt;0,0,X104)</f>
        <v>#DIV/0!</v>
      </c>
    </row>
    <row r="105" spans="1:25" ht="12.75">
      <c r="A105" t="s">
        <v>116</v>
      </c>
      <c r="E105" s="12" t="e">
        <f>+D105/C105*100</f>
        <v>#DIV/0!</v>
      </c>
      <c r="J105" s="8" t="e">
        <f>+G105/C105*100</f>
        <v>#DIV/0!</v>
      </c>
      <c r="K105" s="12" t="e">
        <f>+I105/C105*100</f>
        <v>#DIV/0!</v>
      </c>
      <c r="L105" s="12" t="e">
        <f>+F105/C105</f>
        <v>#DIV/0!</v>
      </c>
      <c r="M105" s="12" t="e">
        <f>100*(S105+U105+W105+Y105)/6</f>
        <v>#DIV/0!</v>
      </c>
      <c r="R105" t="e">
        <f>+(E105-30)/20</f>
        <v>#DIV/0!</v>
      </c>
      <c r="S105" s="2" t="e">
        <f>IF(R105&lt;0,0,IF(R105&gt;2.375,2.375,R105))</f>
        <v>#DIV/0!</v>
      </c>
      <c r="T105" s="6" t="e">
        <f>+(L105-3)/4</f>
        <v>#DIV/0!</v>
      </c>
      <c r="U105" s="2" t="e">
        <f>IF(T105&lt;0,0,IF(T105&gt;2.375,2.375,T105))</f>
        <v>#DIV/0!</v>
      </c>
      <c r="V105" t="e">
        <f>+J105/5</f>
        <v>#DIV/0!</v>
      </c>
      <c r="W105" s="2" t="e">
        <f>IF(V105&lt;0,0,IF(V105&gt;2.375,2.375,V105))</f>
        <v>#DIV/0!</v>
      </c>
      <c r="X105" t="e">
        <f>(9.5-K105)/4</f>
        <v>#DIV/0!</v>
      </c>
      <c r="Y105" s="2" t="e">
        <f>IF(X105&lt;0,0,X105)</f>
        <v>#DIV/0!</v>
      </c>
    </row>
    <row r="106" spans="1:25" ht="12.75">
      <c r="A106" t="s">
        <v>107</v>
      </c>
      <c r="E106" s="12" t="e">
        <f>+D106/C106*100</f>
        <v>#DIV/0!</v>
      </c>
      <c r="J106" s="8" t="e">
        <f>+G106/C106*100</f>
        <v>#DIV/0!</v>
      </c>
      <c r="K106" s="12" t="e">
        <f>+I106/C106*100</f>
        <v>#DIV/0!</v>
      </c>
      <c r="L106" s="12" t="e">
        <f>+F106/C106</f>
        <v>#DIV/0!</v>
      </c>
      <c r="M106" s="12" t="e">
        <f>100*(S106+U106+W106+Y106)/6</f>
        <v>#DIV/0!</v>
      </c>
      <c r="R106" t="e">
        <f>+(E106-30)/20</f>
        <v>#DIV/0!</v>
      </c>
      <c r="S106" s="2" t="e">
        <f>IF(R106&lt;0,0,IF(R106&gt;2.375,2.375,R106))</f>
        <v>#DIV/0!</v>
      </c>
      <c r="T106" s="6" t="e">
        <f>+(L106-3)/4</f>
        <v>#DIV/0!</v>
      </c>
      <c r="U106" s="2" t="e">
        <f>IF(T106&lt;0,0,IF(T106&gt;2.375,2.375,T106))</f>
        <v>#DIV/0!</v>
      </c>
      <c r="V106" t="e">
        <f>+J106/5</f>
        <v>#DIV/0!</v>
      </c>
      <c r="W106" s="2" t="e">
        <f>IF(V106&lt;0,0,IF(V106&gt;2.375,2.375,V106))</f>
        <v>#DIV/0!</v>
      </c>
      <c r="X106" t="e">
        <f>(9.5-K106)/4</f>
        <v>#DIV/0!</v>
      </c>
      <c r="Y106" s="2" t="e">
        <f>IF(X106&lt;0,0,X106)</f>
        <v>#DIV/0!</v>
      </c>
    </row>
    <row r="109" spans="1:9" ht="12.75">
      <c r="A109" s="2" t="s">
        <v>67</v>
      </c>
      <c r="C109" s="3" t="s">
        <v>68</v>
      </c>
      <c r="D109" s="3" t="s">
        <v>69</v>
      </c>
      <c r="E109" s="3" t="s">
        <v>70</v>
      </c>
      <c r="F109" s="3" t="s">
        <v>49</v>
      </c>
      <c r="G109" s="3" t="s">
        <v>60</v>
      </c>
      <c r="H109" s="3" t="s">
        <v>51</v>
      </c>
      <c r="I109" s="3" t="s">
        <v>80</v>
      </c>
    </row>
    <row r="110" spans="1:9" ht="12.75">
      <c r="A110" t="s">
        <v>124</v>
      </c>
      <c r="C110">
        <v>3</v>
      </c>
      <c r="D110">
        <v>1</v>
      </c>
      <c r="E110">
        <v>24</v>
      </c>
      <c r="F110" s="12">
        <f>+E110/C110</f>
        <v>8</v>
      </c>
      <c r="G110">
        <v>20</v>
      </c>
      <c r="H110">
        <v>0</v>
      </c>
      <c r="I110">
        <v>0</v>
      </c>
    </row>
    <row r="111" spans="1:6" ht="12.75">
      <c r="A111" t="s">
        <v>123</v>
      </c>
      <c r="F111" s="12" t="e">
        <f>+E111/C111</f>
        <v>#DIV/0!</v>
      </c>
    </row>
    <row r="112" spans="1:6" ht="12.75">
      <c r="A112" t="s">
        <v>117</v>
      </c>
      <c r="F112" s="12" t="e">
        <f>+E112/C112</f>
        <v>#DIV/0!</v>
      </c>
    </row>
    <row r="114" spans="1:8" ht="12.75">
      <c r="A114" s="2" t="s">
        <v>30</v>
      </c>
      <c r="C114" s="3" t="s">
        <v>68</v>
      </c>
      <c r="D114" s="3" t="s">
        <v>70</v>
      </c>
      <c r="E114" s="3" t="s">
        <v>49</v>
      </c>
      <c r="F114" s="3" t="s">
        <v>60</v>
      </c>
      <c r="G114" s="3" t="s">
        <v>51</v>
      </c>
      <c r="H114" s="3" t="s">
        <v>80</v>
      </c>
    </row>
    <row r="115" spans="1:8" ht="12.75">
      <c r="A115" t="s">
        <v>114</v>
      </c>
      <c r="C115">
        <v>2</v>
      </c>
      <c r="D115">
        <v>53</v>
      </c>
      <c r="E115" s="12">
        <f aca="true" t="shared" si="2" ref="E115:E120">+D115/C115</f>
        <v>26.5</v>
      </c>
      <c r="F115">
        <v>28</v>
      </c>
      <c r="G115">
        <v>0</v>
      </c>
      <c r="H115">
        <v>0</v>
      </c>
    </row>
    <row r="116" spans="1:5" ht="12.75">
      <c r="A116" t="s">
        <v>125</v>
      </c>
      <c r="E116" s="12" t="e">
        <f t="shared" si="2"/>
        <v>#DIV/0!</v>
      </c>
    </row>
    <row r="117" spans="1:5" ht="12.75">
      <c r="A117" t="s">
        <v>116</v>
      </c>
      <c r="E117" s="12" t="e">
        <f t="shared" si="2"/>
        <v>#DIV/0!</v>
      </c>
    </row>
    <row r="118" spans="1:5" ht="12.75">
      <c r="A118" t="s">
        <v>108</v>
      </c>
      <c r="E118" s="12" t="e">
        <f t="shared" si="2"/>
        <v>#DIV/0!</v>
      </c>
    </row>
    <row r="119" spans="1:5" ht="12.75">
      <c r="A119" t="s">
        <v>115</v>
      </c>
      <c r="E119" s="12" t="e">
        <f t="shared" si="2"/>
        <v>#DIV/0!</v>
      </c>
    </row>
    <row r="120" spans="1:5" ht="12.75">
      <c r="A120" t="s">
        <v>121</v>
      </c>
      <c r="E120" s="12" t="e">
        <f t="shared" si="2"/>
        <v>#DIV/0!</v>
      </c>
    </row>
    <row r="122" spans="1:7" ht="12.75">
      <c r="A122" s="2" t="s">
        <v>71</v>
      </c>
      <c r="C122" s="3" t="s">
        <v>68</v>
      </c>
      <c r="D122" s="3" t="s">
        <v>70</v>
      </c>
      <c r="E122" s="3" t="s">
        <v>49</v>
      </c>
      <c r="F122" s="3" t="s">
        <v>60</v>
      </c>
      <c r="G122" s="3" t="s">
        <v>72</v>
      </c>
    </row>
    <row r="123" spans="1:7" ht="12.75">
      <c r="A123" t="s">
        <v>126</v>
      </c>
      <c r="C123">
        <v>8</v>
      </c>
      <c r="D123">
        <v>376</v>
      </c>
      <c r="E123" s="12">
        <f>+D123/C123</f>
        <v>47</v>
      </c>
      <c r="F123">
        <v>55</v>
      </c>
      <c r="G123">
        <v>0</v>
      </c>
    </row>
    <row r="124" spans="1:5" ht="12.75">
      <c r="A124" t="s">
        <v>113</v>
      </c>
      <c r="E124" s="12" t="e">
        <f>+D124/C124</f>
        <v>#DIV/0!</v>
      </c>
    </row>
    <row r="125" ht="12.75">
      <c r="I125" s="5" t="s">
        <v>63</v>
      </c>
    </row>
    <row r="126" spans="1:10" ht="12.75">
      <c r="A126" s="4" t="s">
        <v>79</v>
      </c>
      <c r="C126" s="3" t="s">
        <v>73</v>
      </c>
      <c r="D126" s="3" t="s">
        <v>74</v>
      </c>
      <c r="E126" s="3" t="s">
        <v>75</v>
      </c>
      <c r="F126" s="3" t="s">
        <v>76</v>
      </c>
      <c r="G126" s="3" t="s">
        <v>77</v>
      </c>
      <c r="H126" s="3" t="s">
        <v>78</v>
      </c>
      <c r="I126" s="3" t="s">
        <v>82</v>
      </c>
      <c r="J126" s="3" t="s">
        <v>60</v>
      </c>
    </row>
    <row r="127" spans="1:10" ht="12.75">
      <c r="A127" t="s">
        <v>127</v>
      </c>
      <c r="C127">
        <v>3</v>
      </c>
      <c r="D127">
        <v>0</v>
      </c>
      <c r="E127">
        <v>1</v>
      </c>
      <c r="F127">
        <v>1</v>
      </c>
      <c r="G127">
        <v>1</v>
      </c>
      <c r="H127">
        <v>1</v>
      </c>
      <c r="I127" s="12">
        <f>+H127/G127*100</f>
        <v>100</v>
      </c>
      <c r="J127">
        <v>28</v>
      </c>
    </row>
    <row r="129" spans="1:8" ht="12.75">
      <c r="A129" s="2" t="s">
        <v>81</v>
      </c>
      <c r="C129" s="3" t="s">
        <v>68</v>
      </c>
      <c r="D129" s="3" t="s">
        <v>70</v>
      </c>
      <c r="E129" s="3" t="s">
        <v>49</v>
      </c>
      <c r="F129" s="3" t="s">
        <v>60</v>
      </c>
      <c r="G129" s="3" t="s">
        <v>51</v>
      </c>
      <c r="H129" s="3" t="s">
        <v>80</v>
      </c>
    </row>
    <row r="130" spans="1:8" ht="12.75">
      <c r="A130" t="s">
        <v>128</v>
      </c>
      <c r="C130">
        <v>3</v>
      </c>
      <c r="D130">
        <v>11</v>
      </c>
      <c r="E130" s="12">
        <f>+D130/C130</f>
        <v>3.6666666666666665</v>
      </c>
      <c r="F130">
        <v>5</v>
      </c>
      <c r="G130">
        <v>0</v>
      </c>
      <c r="H130">
        <v>0</v>
      </c>
    </row>
    <row r="131" spans="1:5" ht="12.75">
      <c r="A131" t="s">
        <v>129</v>
      </c>
      <c r="E131" s="12" t="e">
        <f aca="true" t="shared" si="3" ref="E131:E138">+D131/C131</f>
        <v>#DIV/0!</v>
      </c>
    </row>
    <row r="132" spans="1:5" ht="12.75">
      <c r="A132" t="s">
        <v>130</v>
      </c>
      <c r="E132" s="12" t="e">
        <f t="shared" si="3"/>
        <v>#DIV/0!</v>
      </c>
    </row>
    <row r="133" spans="1:5" ht="12.75">
      <c r="A133" t="s">
        <v>124</v>
      </c>
      <c r="E133" s="12" t="e">
        <f t="shared" si="3"/>
        <v>#DIV/0!</v>
      </c>
    </row>
    <row r="134" spans="1:8" ht="12.75">
      <c r="A134" t="s">
        <v>131</v>
      </c>
      <c r="C134">
        <v>1</v>
      </c>
      <c r="D134">
        <v>9</v>
      </c>
      <c r="E134" s="12">
        <f t="shared" si="3"/>
        <v>9</v>
      </c>
      <c r="F134">
        <v>9</v>
      </c>
      <c r="G134">
        <v>0</v>
      </c>
      <c r="H134">
        <v>0</v>
      </c>
    </row>
    <row r="135" spans="1:5" ht="12.75">
      <c r="A135" t="s">
        <v>132</v>
      </c>
      <c r="E135" s="12" t="e">
        <f t="shared" si="3"/>
        <v>#DIV/0!</v>
      </c>
    </row>
    <row r="136" spans="1:5" ht="12.75">
      <c r="A136" t="s">
        <v>133</v>
      </c>
      <c r="E136" s="12" t="e">
        <f t="shared" si="3"/>
        <v>#DIV/0!</v>
      </c>
    </row>
    <row r="137" spans="1:5" ht="12.75">
      <c r="A137" t="s">
        <v>134</v>
      </c>
      <c r="E137" s="12" t="e">
        <f t="shared" si="3"/>
        <v>#DIV/0!</v>
      </c>
    </row>
    <row r="138" spans="1:5" ht="12.75">
      <c r="A138" t="s">
        <v>135</v>
      </c>
      <c r="E138" s="12" t="e">
        <f t="shared" si="3"/>
        <v>#DIV/0!</v>
      </c>
    </row>
    <row r="139" ht="12.75">
      <c r="A139" t="s">
        <v>136</v>
      </c>
    </row>
    <row r="141" spans="1:4" ht="12.75">
      <c r="A141" s="2" t="s">
        <v>90</v>
      </c>
      <c r="C141" s="3" t="s">
        <v>68</v>
      </c>
      <c r="D141" s="3"/>
    </row>
    <row r="142" spans="1:3" ht="12.75">
      <c r="A142" t="s">
        <v>137</v>
      </c>
      <c r="C142">
        <v>0.5</v>
      </c>
    </row>
    <row r="143" spans="1:3" ht="12.75">
      <c r="A143" t="s">
        <v>134</v>
      </c>
      <c r="C143">
        <v>1</v>
      </c>
    </row>
    <row r="144" spans="1:3" ht="12.75">
      <c r="A144" t="s">
        <v>138</v>
      </c>
      <c r="C144">
        <v>1</v>
      </c>
    </row>
    <row r="145" spans="1:3" ht="12.75">
      <c r="A145" t="s">
        <v>136</v>
      </c>
      <c r="C145">
        <v>1.5</v>
      </c>
    </row>
    <row r="146" ht="12.75">
      <c r="A146" t="s">
        <v>139</v>
      </c>
    </row>
    <row r="147" ht="12.75">
      <c r="A147" t="s">
        <v>135</v>
      </c>
    </row>
    <row r="148" ht="12.75">
      <c r="A148" t="s">
        <v>133</v>
      </c>
    </row>
    <row r="149" ht="12.75">
      <c r="A149" t="s">
        <v>140</v>
      </c>
    </row>
    <row r="150" ht="12.75">
      <c r="A150" t="s">
        <v>141</v>
      </c>
    </row>
    <row r="151" ht="12.75">
      <c r="A151" t="s">
        <v>142</v>
      </c>
    </row>
    <row r="152" ht="12.75">
      <c r="A152" t="s">
        <v>143</v>
      </c>
    </row>
    <row r="153" ht="12.75">
      <c r="A153" t="s">
        <v>124</v>
      </c>
    </row>
    <row r="154" ht="12.75">
      <c r="A154" t="s">
        <v>129</v>
      </c>
    </row>
    <row r="155" ht="12.75">
      <c r="A155" t="s">
        <v>132</v>
      </c>
    </row>
    <row r="156" ht="12.75">
      <c r="A156" t="s">
        <v>144</v>
      </c>
    </row>
    <row r="158" spans="4:14" ht="12.75">
      <c r="D158" s="2" t="s">
        <v>84</v>
      </c>
      <c r="E158" s="2" t="s">
        <v>85</v>
      </c>
      <c r="M158" s="2" t="s">
        <v>84</v>
      </c>
      <c r="N158" s="2" t="s">
        <v>85</v>
      </c>
    </row>
    <row r="159" spans="1:13" ht="12.75">
      <c r="A159" t="s">
        <v>93</v>
      </c>
      <c r="D159">
        <v>20</v>
      </c>
      <c r="H159" t="s">
        <v>93</v>
      </c>
      <c r="M159">
        <v>12</v>
      </c>
    </row>
    <row r="160" spans="1:13" ht="12.75">
      <c r="A160" t="s">
        <v>94</v>
      </c>
      <c r="D160">
        <v>7</v>
      </c>
      <c r="H160" t="s">
        <v>94</v>
      </c>
      <c r="M160">
        <v>2</v>
      </c>
    </row>
    <row r="161" spans="1:13" ht="12.75">
      <c r="A161" t="s">
        <v>95</v>
      </c>
      <c r="D161">
        <f>D160/D159*100</f>
        <v>35</v>
      </c>
      <c r="H161" t="s">
        <v>95</v>
      </c>
      <c r="M161">
        <f>+M160/M159*100</f>
        <v>16.666666666666664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Y161"/>
  <sheetViews>
    <sheetView zoomScalePageLayoutView="0" workbookViewId="0" topLeftCell="A1">
      <selection activeCell="A73" sqref="A73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109</v>
      </c>
      <c r="E1" s="2" t="s">
        <v>96</v>
      </c>
      <c r="F1" s="2" t="s">
        <v>97</v>
      </c>
    </row>
    <row r="2" ht="12.75">
      <c r="F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12</v>
      </c>
      <c r="H6" s="1" t="s">
        <v>29</v>
      </c>
      <c r="M6" s="2">
        <f>M7+M8+M9</f>
        <v>14</v>
      </c>
    </row>
    <row r="7" spans="1:13" ht="12.75">
      <c r="A7" s="1" t="s">
        <v>103</v>
      </c>
      <c r="D7" s="2">
        <v>5</v>
      </c>
      <c r="H7" s="1" t="s">
        <v>103</v>
      </c>
      <c r="M7" s="2">
        <v>5</v>
      </c>
    </row>
    <row r="8" spans="1:13" ht="12.75">
      <c r="A8" s="1" t="s">
        <v>105</v>
      </c>
      <c r="D8" s="2">
        <v>6</v>
      </c>
      <c r="H8" s="1" t="s">
        <v>105</v>
      </c>
      <c r="M8" s="2">
        <v>7</v>
      </c>
    </row>
    <row r="9" spans="1:13" ht="12.75">
      <c r="A9" s="1" t="s">
        <v>104</v>
      </c>
      <c r="D9" s="2">
        <v>1</v>
      </c>
      <c r="H9" s="1" t="s">
        <v>104</v>
      </c>
      <c r="M9" s="2">
        <v>2</v>
      </c>
    </row>
    <row r="11" spans="1:23" ht="12.75">
      <c r="A11" t="s">
        <v>1</v>
      </c>
      <c r="D11" s="2">
        <v>31</v>
      </c>
      <c r="H11" t="s">
        <v>1</v>
      </c>
      <c r="M11" s="2">
        <v>32</v>
      </c>
      <c r="V11">
        <f>+D11</f>
        <v>31</v>
      </c>
      <c r="W11">
        <f>+M11</f>
        <v>32</v>
      </c>
    </row>
    <row r="12" spans="1:23" ht="12.75">
      <c r="A12" t="s">
        <v>2</v>
      </c>
      <c r="D12" s="2">
        <v>84</v>
      </c>
      <c r="H12" t="s">
        <v>2</v>
      </c>
      <c r="M12" s="2">
        <v>53</v>
      </c>
      <c r="U12" s="13"/>
      <c r="V12">
        <f>+D16</f>
        <v>14</v>
      </c>
      <c r="W12">
        <f>+M16</f>
        <v>16</v>
      </c>
    </row>
    <row r="13" spans="1:23" ht="12.75">
      <c r="A13" s="1" t="s">
        <v>3</v>
      </c>
      <c r="D13" s="8">
        <f>+D12/D11</f>
        <v>2.7096774193548385</v>
      </c>
      <c r="H13" s="1" t="s">
        <v>3</v>
      </c>
      <c r="M13" s="8">
        <f>+M12/M11</f>
        <v>1.65625</v>
      </c>
      <c r="V13">
        <f>+(D15-D16)/2</f>
        <v>10</v>
      </c>
      <c r="W13">
        <f>+(M15-M16)/2</f>
        <v>6.5</v>
      </c>
    </row>
    <row r="14" spans="22:23" ht="12.75">
      <c r="V14">
        <f>+D38/2</f>
        <v>3</v>
      </c>
      <c r="W14">
        <f>+M38/2</f>
        <v>3.5</v>
      </c>
    </row>
    <row r="15" spans="1:23" ht="12.75">
      <c r="A15" t="s">
        <v>4</v>
      </c>
      <c r="D15" s="2">
        <v>34</v>
      </c>
      <c r="H15" t="s">
        <v>4</v>
      </c>
      <c r="M15" s="2">
        <v>29</v>
      </c>
      <c r="V15">
        <f>+D42/2</f>
        <v>2.5</v>
      </c>
      <c r="W15">
        <f>+M42/2</f>
        <v>1</v>
      </c>
    </row>
    <row r="16" spans="1:23" ht="12.75">
      <c r="A16" t="s">
        <v>5</v>
      </c>
      <c r="D16" s="2">
        <v>14</v>
      </c>
      <c r="H16" t="s">
        <v>5</v>
      </c>
      <c r="M16" s="2">
        <v>16</v>
      </c>
      <c r="V16">
        <f>+D48/2</f>
        <v>3</v>
      </c>
      <c r="W16">
        <f>+M48/2</f>
        <v>1</v>
      </c>
    </row>
    <row r="17" spans="1:13" ht="12.75">
      <c r="A17" t="s">
        <v>6</v>
      </c>
      <c r="D17" s="8">
        <f>+D16/D15*100</f>
        <v>41.17647058823529</v>
      </c>
      <c r="H17" t="s">
        <v>6</v>
      </c>
      <c r="M17" s="8">
        <f>+M16/M15*100</f>
        <v>55.172413793103445</v>
      </c>
    </row>
    <row r="18" spans="1:24" ht="12.75">
      <c r="A18" t="s">
        <v>7</v>
      </c>
      <c r="D18" s="2">
        <v>178</v>
      </c>
      <c r="H18" t="s">
        <v>7</v>
      </c>
      <c r="M18" s="2">
        <v>210</v>
      </c>
      <c r="V18">
        <f>SUM(V11:V16)</f>
        <v>63.5</v>
      </c>
      <c r="W18">
        <f>SUM(W11:W16)</f>
        <v>60</v>
      </c>
      <c r="X18">
        <f>+W18+V18</f>
        <v>123.5</v>
      </c>
    </row>
    <row r="19" spans="1:23" ht="12.75">
      <c r="A19" t="s">
        <v>8</v>
      </c>
      <c r="D19" s="2">
        <v>2</v>
      </c>
      <c r="H19" t="s">
        <v>8</v>
      </c>
      <c r="M19" s="2">
        <v>3</v>
      </c>
      <c r="V19">
        <f>+V18/X18</f>
        <v>0.5141700404858299</v>
      </c>
      <c r="W19">
        <f>+W18/X18</f>
        <v>0.48582995951417</v>
      </c>
    </row>
    <row r="20" spans="1:23" ht="12.75">
      <c r="A20" t="s">
        <v>9</v>
      </c>
      <c r="D20" s="2">
        <v>14</v>
      </c>
      <c r="H20" t="s">
        <v>9</v>
      </c>
      <c r="M20" s="2">
        <v>25</v>
      </c>
      <c r="V20">
        <f>+V19*60</f>
        <v>30.850202429149796</v>
      </c>
      <c r="W20">
        <f>+W19*60</f>
        <v>29.1497975708502</v>
      </c>
    </row>
    <row r="21" spans="1:23" ht="12.75">
      <c r="A21" t="s">
        <v>10</v>
      </c>
      <c r="D21">
        <f>+D18-D20</f>
        <v>164</v>
      </c>
      <c r="H21" t="s">
        <v>10</v>
      </c>
      <c r="M21">
        <f>+M18-M20</f>
        <v>185</v>
      </c>
      <c r="V21">
        <f>+V20-INT(V20)</f>
        <v>0.850202429149796</v>
      </c>
      <c r="W21">
        <f>+W20-INT(W20)</f>
        <v>0.1497975708502004</v>
      </c>
    </row>
    <row r="22" spans="1:23" ht="12.75">
      <c r="A22" t="s">
        <v>11</v>
      </c>
      <c r="D22" s="7">
        <f>+D21/(D15+D19)</f>
        <v>4.555555555555555</v>
      </c>
      <c r="H22" t="s">
        <v>11</v>
      </c>
      <c r="M22" s="7">
        <f>+M21/(M15+M19)</f>
        <v>5.78125</v>
      </c>
      <c r="V22">
        <f>+V21*60</f>
        <v>51.01214574898776</v>
      </c>
      <c r="W22">
        <f>+W21*60</f>
        <v>8.987854251012024</v>
      </c>
    </row>
    <row r="23" spans="1:23" ht="12.75">
      <c r="A23" t="s">
        <v>12</v>
      </c>
      <c r="D23" s="7">
        <f>+D18/D16</f>
        <v>12.714285714285714</v>
      </c>
      <c r="H23" t="s">
        <v>12</v>
      </c>
      <c r="M23" s="7">
        <f>+M18/M16</f>
        <v>13.125</v>
      </c>
      <c r="U23">
        <v>0</v>
      </c>
      <c r="V23" s="11">
        <f>ROUND(V22,0)</f>
        <v>51</v>
      </c>
      <c r="W23">
        <f>ROUND(W22,0)</f>
        <v>9</v>
      </c>
    </row>
    <row r="24" spans="22:23" ht="12.75">
      <c r="V24">
        <f>INT(V20)</f>
        <v>30</v>
      </c>
      <c r="W24">
        <f>INT(W20)</f>
        <v>29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248</v>
      </c>
      <c r="H26" t="s">
        <v>14</v>
      </c>
      <c r="M26">
        <f>+M21+M12</f>
        <v>238</v>
      </c>
      <c r="Q26" s="9"/>
      <c r="R26" s="9"/>
      <c r="V26" s="14" t="str">
        <f>+V24&amp;V25&amp;V23</f>
        <v>30:51</v>
      </c>
      <c r="W26" s="9" t="str">
        <f>+W24&amp;W25&amp;W23</f>
        <v>29:9</v>
      </c>
    </row>
    <row r="27" spans="1:23" ht="12.75">
      <c r="A27" t="s">
        <v>15</v>
      </c>
      <c r="D27" s="7">
        <f>+D12/D26*100</f>
        <v>33.87096774193548</v>
      </c>
      <c r="H27" t="s">
        <v>15</v>
      </c>
      <c r="M27" s="7">
        <f>+M12/M26*100</f>
        <v>22.268907563025213</v>
      </c>
      <c r="V27" s="9" t="str">
        <f>IF(V23&lt;10,+V24&amp;V25&amp;$U$23&amp;V23,+V24&amp;V25&amp;V23)</f>
        <v>30:51</v>
      </c>
      <c r="W27" s="9" t="str">
        <f>IF(W23&lt;10,+W24&amp;W25&amp;$U$23&amp;W23,+W24&amp;W25&amp;W23)</f>
        <v>29:09</v>
      </c>
    </row>
    <row r="28" spans="1:13" ht="12.75">
      <c r="A28" s="1" t="s">
        <v>86</v>
      </c>
      <c r="D28" s="7">
        <f>+D21/D26*100</f>
        <v>66.12903225806451</v>
      </c>
      <c r="H28" s="1" t="s">
        <v>86</v>
      </c>
      <c r="M28" s="7">
        <f>+M21/M26*100</f>
        <v>77.73109243697479</v>
      </c>
    </row>
    <row r="30" spans="1:13" ht="12.75">
      <c r="A30" t="s">
        <v>16</v>
      </c>
      <c r="D30">
        <f>+D11+D15+D19</f>
        <v>67</v>
      </c>
      <c r="H30" t="s">
        <v>16</v>
      </c>
      <c r="M30">
        <f>+M11+M15+M19</f>
        <v>64</v>
      </c>
    </row>
    <row r="31" spans="1:13" ht="12.75">
      <c r="A31" t="s">
        <v>17</v>
      </c>
      <c r="D31" s="8">
        <f>+D26/D30</f>
        <v>3.701492537313433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3.71875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4</v>
      </c>
      <c r="H34" t="s">
        <v>19</v>
      </c>
      <c r="M34" s="2">
        <v>2</v>
      </c>
    </row>
    <row r="35" spans="1:13" ht="12.75">
      <c r="A35" t="s">
        <v>20</v>
      </c>
      <c r="D35" s="2">
        <v>-7</v>
      </c>
      <c r="H35" t="s">
        <v>20</v>
      </c>
      <c r="M35" s="2">
        <v>53</v>
      </c>
    </row>
    <row r="36" spans="1:13" ht="12.75">
      <c r="A36" t="s">
        <v>21</v>
      </c>
      <c r="D36" s="2">
        <v>0</v>
      </c>
      <c r="H36" t="s">
        <v>21</v>
      </c>
      <c r="M36" s="2">
        <v>1</v>
      </c>
    </row>
    <row r="38" spans="1:13" ht="12.75">
      <c r="A38" t="s">
        <v>22</v>
      </c>
      <c r="D38" s="2">
        <v>6</v>
      </c>
      <c r="H38" t="s">
        <v>22</v>
      </c>
      <c r="M38" s="2">
        <v>7</v>
      </c>
    </row>
    <row r="39" spans="1:13" ht="12.75">
      <c r="A39" t="s">
        <v>23</v>
      </c>
      <c r="D39" s="2">
        <v>269</v>
      </c>
      <c r="H39" t="s">
        <v>23</v>
      </c>
      <c r="M39" s="2">
        <v>311</v>
      </c>
    </row>
    <row r="40" spans="1:13" ht="12.75">
      <c r="A40" t="s">
        <v>24</v>
      </c>
      <c r="D40" s="8">
        <f>+D39/D38</f>
        <v>44.833333333333336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44.42857142857143</v>
      </c>
    </row>
    <row r="42" spans="1:13" ht="12.75">
      <c r="A42" t="s">
        <v>25</v>
      </c>
      <c r="D42" s="2">
        <v>5</v>
      </c>
      <c r="H42" t="s">
        <v>25</v>
      </c>
      <c r="M42" s="2">
        <v>2</v>
      </c>
    </row>
    <row r="43" spans="1:13" ht="12.75">
      <c r="A43" t="s">
        <v>26</v>
      </c>
      <c r="D43" s="2">
        <v>29</v>
      </c>
      <c r="H43" t="s">
        <v>26</v>
      </c>
      <c r="M43" s="2">
        <v>13</v>
      </c>
    </row>
    <row r="44" spans="1:13" ht="12.75">
      <c r="A44" t="s">
        <v>27</v>
      </c>
      <c r="D44" s="8">
        <f>+D43/D42</f>
        <v>5.8</v>
      </c>
      <c r="H44" t="s">
        <v>27</v>
      </c>
      <c r="M44" s="8">
        <f>+M43/M42</f>
        <v>6.5</v>
      </c>
    </row>
    <row r="45" spans="1:13" ht="12.75">
      <c r="A45" t="s">
        <v>106</v>
      </c>
      <c r="D45" s="2">
        <v>0</v>
      </c>
      <c r="H45" t="s">
        <v>106</v>
      </c>
      <c r="M45" s="2">
        <v>1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6</v>
      </c>
      <c r="H48" t="s">
        <v>30</v>
      </c>
      <c r="M48" s="2">
        <v>2</v>
      </c>
    </row>
    <row r="49" spans="1:13" ht="12.75">
      <c r="A49" t="s">
        <v>26</v>
      </c>
      <c r="D49" s="2">
        <v>141</v>
      </c>
      <c r="H49" t="s">
        <v>26</v>
      </c>
      <c r="M49" s="2">
        <v>31</v>
      </c>
    </row>
    <row r="50" spans="1:13" ht="12.75">
      <c r="A50" t="s">
        <v>27</v>
      </c>
      <c r="D50" s="8">
        <f>+D49/D48</f>
        <v>23.5</v>
      </c>
      <c r="H50" t="s">
        <v>27</v>
      </c>
      <c r="M50" s="8">
        <f>+M49/M48</f>
        <v>15.5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5</v>
      </c>
      <c r="H53" t="s">
        <v>31</v>
      </c>
      <c r="M53" s="2">
        <v>6</v>
      </c>
    </row>
    <row r="54" spans="1:13" ht="12.75">
      <c r="A54" t="s">
        <v>32</v>
      </c>
      <c r="D54" s="2">
        <v>60</v>
      </c>
      <c r="H54" t="s">
        <v>32</v>
      </c>
      <c r="M54" s="2">
        <v>55</v>
      </c>
    </row>
    <row r="56" spans="1:13" ht="12.75">
      <c r="A56" t="s">
        <v>33</v>
      </c>
      <c r="D56" s="2">
        <v>4</v>
      </c>
      <c r="H56" t="s">
        <v>33</v>
      </c>
      <c r="M56" s="2">
        <v>1</v>
      </c>
    </row>
    <row r="57" spans="1:13" ht="12.75">
      <c r="A57" t="s">
        <v>101</v>
      </c>
      <c r="D57" s="2">
        <v>2</v>
      </c>
      <c r="H57" t="s">
        <v>101</v>
      </c>
      <c r="M57" s="2">
        <v>0</v>
      </c>
    </row>
    <row r="59" spans="1:13" ht="12.75">
      <c r="A59" t="s">
        <v>34</v>
      </c>
      <c r="D59" s="2">
        <v>12</v>
      </c>
      <c r="H59" t="s">
        <v>34</v>
      </c>
      <c r="M59" s="2">
        <v>16</v>
      </c>
    </row>
    <row r="60" spans="1:13" ht="12.75">
      <c r="A60" t="s">
        <v>35</v>
      </c>
      <c r="D60" s="2">
        <v>1</v>
      </c>
      <c r="H60" t="s">
        <v>35</v>
      </c>
      <c r="M60" s="2">
        <v>1</v>
      </c>
    </row>
    <row r="61" spans="1:13" ht="12.75">
      <c r="A61" t="s">
        <v>36</v>
      </c>
      <c r="D61" s="2">
        <v>0</v>
      </c>
      <c r="H61" t="s">
        <v>36</v>
      </c>
      <c r="M61" s="2">
        <v>0</v>
      </c>
    </row>
    <row r="62" spans="1:13" ht="12.75">
      <c r="A62" t="s">
        <v>37</v>
      </c>
      <c r="D62" s="2">
        <v>0</v>
      </c>
      <c r="H62" t="s">
        <v>37</v>
      </c>
      <c r="M62" s="2">
        <v>1</v>
      </c>
    </row>
    <row r="63" spans="1:13" ht="12.75">
      <c r="A63" t="s">
        <v>38</v>
      </c>
      <c r="D63" s="2">
        <v>1</v>
      </c>
      <c r="H63" t="s">
        <v>38</v>
      </c>
      <c r="M63" s="2">
        <v>0</v>
      </c>
    </row>
    <row r="64" spans="1:13" ht="12.75">
      <c r="A64" t="s">
        <v>39</v>
      </c>
      <c r="D64" s="2">
        <v>1</v>
      </c>
      <c r="H64" t="s">
        <v>39</v>
      </c>
      <c r="M64" s="2">
        <v>1</v>
      </c>
    </row>
    <row r="65" spans="1:13" ht="12.75">
      <c r="A65" t="s">
        <v>40</v>
      </c>
      <c r="D65" s="2">
        <v>1</v>
      </c>
      <c r="H65" t="s">
        <v>40</v>
      </c>
      <c r="M65" s="2">
        <v>0</v>
      </c>
    </row>
    <row r="66" spans="1:13" ht="12.75">
      <c r="A66" t="s">
        <v>41</v>
      </c>
      <c r="D66" s="2">
        <v>1</v>
      </c>
      <c r="H66" t="s">
        <v>41</v>
      </c>
      <c r="M66" s="2">
        <v>3</v>
      </c>
    </row>
    <row r="67" spans="1:13" ht="12.75">
      <c r="A67" t="s">
        <v>42</v>
      </c>
      <c r="D67" s="2">
        <v>1</v>
      </c>
      <c r="H67" t="s">
        <v>42</v>
      </c>
      <c r="M67" s="2">
        <v>4</v>
      </c>
    </row>
    <row r="68" spans="1:13" ht="12.75">
      <c r="A68" t="s">
        <v>43</v>
      </c>
      <c r="D68" s="8">
        <f>+D66/D67*100</f>
        <v>100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75</v>
      </c>
    </row>
    <row r="69" spans="1:13" ht="12.75">
      <c r="A69" t="s">
        <v>89</v>
      </c>
      <c r="D69" s="10" t="str">
        <f>IF(V23&lt;10,V27,V26)</f>
        <v>30:51</v>
      </c>
      <c r="E69" s="8"/>
      <c r="F69" s="8"/>
      <c r="H69" t="s">
        <v>89</v>
      </c>
      <c r="M69" s="10" t="str">
        <f>IF(W23&lt;10,W27,W26)</f>
        <v>29:09</v>
      </c>
    </row>
    <row r="70" spans="1:13" ht="12.75">
      <c r="A70" t="s">
        <v>102</v>
      </c>
      <c r="D70" s="23">
        <f>D161</f>
        <v>31.25</v>
      </c>
      <c r="E70" s="8"/>
      <c r="F70" s="8"/>
      <c r="H70" t="s">
        <v>102</v>
      </c>
      <c r="M70" s="23">
        <f>M161</f>
        <v>18.75</v>
      </c>
    </row>
    <row r="71" spans="4:13" ht="12.75">
      <c r="D71" s="2"/>
      <c r="M71" s="2"/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110</v>
      </c>
      <c r="C74">
        <v>23</v>
      </c>
      <c r="D74">
        <v>65</v>
      </c>
      <c r="E74" s="12">
        <f aca="true" t="shared" si="0" ref="E74:E84">+D74/C74</f>
        <v>2.8260869565217392</v>
      </c>
      <c r="F74">
        <v>8</v>
      </c>
      <c r="G74">
        <v>0</v>
      </c>
      <c r="H74">
        <v>0</v>
      </c>
    </row>
    <row r="75" spans="1:5" ht="12.75">
      <c r="A75" t="s">
        <v>111</v>
      </c>
      <c r="E75" s="12" t="e">
        <f t="shared" si="0"/>
        <v>#DIV/0!</v>
      </c>
    </row>
    <row r="76" spans="1:5" ht="12.75">
      <c r="A76" t="s">
        <v>112</v>
      </c>
      <c r="E76" s="12" t="e">
        <f t="shared" si="0"/>
        <v>#DIV/0!</v>
      </c>
    </row>
    <row r="77" spans="1:8" ht="12.75">
      <c r="A77" t="s">
        <v>113</v>
      </c>
      <c r="C77">
        <v>3</v>
      </c>
      <c r="D77">
        <v>7</v>
      </c>
      <c r="E77" s="12">
        <f t="shared" si="0"/>
        <v>2.3333333333333335</v>
      </c>
      <c r="F77">
        <v>3</v>
      </c>
      <c r="G77">
        <v>0</v>
      </c>
      <c r="H77">
        <v>0</v>
      </c>
    </row>
    <row r="78" spans="1:8" ht="12.75">
      <c r="A78" t="s">
        <v>108</v>
      </c>
      <c r="C78">
        <v>5</v>
      </c>
      <c r="D78">
        <v>12</v>
      </c>
      <c r="E78" s="12">
        <f t="shared" si="0"/>
        <v>2.4</v>
      </c>
      <c r="F78">
        <v>12</v>
      </c>
      <c r="G78">
        <v>0</v>
      </c>
      <c r="H78">
        <v>2</v>
      </c>
    </row>
    <row r="79" spans="1:5" ht="12.75">
      <c r="A79" t="s">
        <v>114</v>
      </c>
      <c r="E79" s="12" t="e">
        <f t="shared" si="0"/>
        <v>#DIV/0!</v>
      </c>
    </row>
    <row r="80" spans="1:5" ht="12.75">
      <c r="A80" t="s">
        <v>115</v>
      </c>
      <c r="E80" s="12" t="e">
        <f t="shared" si="0"/>
        <v>#DIV/0!</v>
      </c>
    </row>
    <row r="81" spans="1:5" ht="12.75">
      <c r="A81" t="s">
        <v>116</v>
      </c>
      <c r="E81" s="12" t="e">
        <f t="shared" si="0"/>
        <v>#DIV/0!</v>
      </c>
    </row>
    <row r="82" spans="1:5" ht="12.75">
      <c r="A82" t="s">
        <v>117</v>
      </c>
      <c r="E82" s="12" t="e">
        <f t="shared" si="0"/>
        <v>#DIV/0!</v>
      </c>
    </row>
    <row r="83" spans="1:5" ht="12.75">
      <c r="A83" t="s">
        <v>118</v>
      </c>
      <c r="E83" s="12" t="e">
        <f t="shared" si="0"/>
        <v>#DIV/0!</v>
      </c>
    </row>
    <row r="84" spans="1:5" ht="12.75">
      <c r="A84" t="s">
        <v>107</v>
      </c>
      <c r="E84" s="12" t="e">
        <f t="shared" si="0"/>
        <v>#DIV/0!</v>
      </c>
    </row>
    <row r="85" ht="12.75">
      <c r="E85" s="8"/>
    </row>
    <row r="86" spans="1:8" ht="12.75">
      <c r="A86" s="2" t="s">
        <v>52</v>
      </c>
      <c r="C86" s="3" t="s">
        <v>53</v>
      </c>
      <c r="D86" s="3" t="s">
        <v>48</v>
      </c>
      <c r="E86" s="15" t="s">
        <v>49</v>
      </c>
      <c r="F86" s="3" t="s">
        <v>50</v>
      </c>
      <c r="G86" s="3" t="s">
        <v>51</v>
      </c>
      <c r="H86" s="3" t="s">
        <v>80</v>
      </c>
    </row>
    <row r="87" spans="1:8" ht="12.75">
      <c r="A87" t="s">
        <v>107</v>
      </c>
      <c r="C87">
        <v>1</v>
      </c>
      <c r="D87">
        <v>6</v>
      </c>
      <c r="E87" s="12">
        <f aca="true" t="shared" si="1" ref="E87:E98">+D87/C87</f>
        <v>6</v>
      </c>
      <c r="F87">
        <v>6</v>
      </c>
      <c r="G87">
        <v>0</v>
      </c>
      <c r="H87">
        <v>0</v>
      </c>
    </row>
    <row r="88" spans="1:8" ht="12.75">
      <c r="A88" t="s">
        <v>119</v>
      </c>
      <c r="C88">
        <v>2</v>
      </c>
      <c r="D88">
        <v>10</v>
      </c>
      <c r="E88" s="12">
        <f t="shared" si="1"/>
        <v>5</v>
      </c>
      <c r="F88">
        <v>8</v>
      </c>
      <c r="G88">
        <v>0</v>
      </c>
      <c r="H88">
        <v>0</v>
      </c>
    </row>
    <row r="89" spans="1:8" ht="12.75">
      <c r="A89" t="s">
        <v>120</v>
      </c>
      <c r="C89">
        <v>2</v>
      </c>
      <c r="D89">
        <v>36</v>
      </c>
      <c r="E89" s="12">
        <f t="shared" si="1"/>
        <v>18</v>
      </c>
      <c r="F89">
        <v>25</v>
      </c>
      <c r="G89">
        <v>0</v>
      </c>
      <c r="H89">
        <v>0</v>
      </c>
    </row>
    <row r="90" spans="1:8" ht="12.75">
      <c r="A90" t="s">
        <v>110</v>
      </c>
      <c r="C90">
        <v>4</v>
      </c>
      <c r="D90">
        <v>37</v>
      </c>
      <c r="E90" s="12">
        <f t="shared" si="1"/>
        <v>9.25</v>
      </c>
      <c r="F90">
        <v>16</v>
      </c>
      <c r="G90">
        <v>0</v>
      </c>
      <c r="H90">
        <v>0</v>
      </c>
    </row>
    <row r="91" spans="1:8" ht="12.75">
      <c r="A91" t="s">
        <v>111</v>
      </c>
      <c r="C91">
        <v>1</v>
      </c>
      <c r="D91">
        <v>24</v>
      </c>
      <c r="E91" s="12">
        <f t="shared" si="1"/>
        <v>24</v>
      </c>
      <c r="F91">
        <v>24</v>
      </c>
      <c r="G91">
        <v>0</v>
      </c>
      <c r="H91">
        <v>0</v>
      </c>
    </row>
    <row r="92" spans="1:8" ht="12.75">
      <c r="A92" t="s">
        <v>116</v>
      </c>
      <c r="C92">
        <v>3</v>
      </c>
      <c r="D92">
        <v>49</v>
      </c>
      <c r="E92" s="12">
        <f t="shared" si="1"/>
        <v>16.333333333333332</v>
      </c>
      <c r="F92">
        <v>35</v>
      </c>
      <c r="G92">
        <v>0</v>
      </c>
      <c r="H92">
        <v>0</v>
      </c>
    </row>
    <row r="93" spans="1:8" ht="12.75">
      <c r="A93" t="s">
        <v>121</v>
      </c>
      <c r="C93">
        <v>1</v>
      </c>
      <c r="D93">
        <v>16</v>
      </c>
      <c r="E93" s="12">
        <f t="shared" si="1"/>
        <v>16</v>
      </c>
      <c r="F93">
        <v>16</v>
      </c>
      <c r="G93">
        <v>0</v>
      </c>
      <c r="H93">
        <v>0</v>
      </c>
    </row>
    <row r="94" spans="1:5" ht="12.75">
      <c r="A94" t="s">
        <v>122</v>
      </c>
      <c r="E94" s="12" t="e">
        <f t="shared" si="1"/>
        <v>#DIV/0!</v>
      </c>
    </row>
    <row r="95" spans="1:5" ht="12.75">
      <c r="A95" t="s">
        <v>115</v>
      </c>
      <c r="E95" s="12" t="e">
        <f t="shared" si="1"/>
        <v>#DIV/0!</v>
      </c>
    </row>
    <row r="96" spans="1:5" ht="12.75">
      <c r="A96" t="s">
        <v>123</v>
      </c>
      <c r="E96" s="12" t="e">
        <f t="shared" si="1"/>
        <v>#DIV/0!</v>
      </c>
    </row>
    <row r="97" spans="1:5" ht="12.75">
      <c r="A97" t="s">
        <v>113</v>
      </c>
      <c r="E97" s="12" t="e">
        <f t="shared" si="1"/>
        <v>#DIV/0!</v>
      </c>
    </row>
    <row r="98" spans="1:5" ht="12.75">
      <c r="A98" t="s">
        <v>114</v>
      </c>
      <c r="E98" s="12" t="e">
        <f t="shared" si="1"/>
        <v>#DIV/0!</v>
      </c>
    </row>
    <row r="99" ht="12.75">
      <c r="E99" s="8"/>
    </row>
    <row r="100" spans="1:13" ht="12.75">
      <c r="A100" s="2"/>
      <c r="B100" s="2"/>
      <c r="C100" s="3"/>
      <c r="D100" s="3"/>
      <c r="E100" s="15" t="s">
        <v>57</v>
      </c>
      <c r="F100" s="3" t="s">
        <v>58</v>
      </c>
      <c r="G100" s="3"/>
      <c r="H100" s="3"/>
      <c r="I100" s="3" t="s">
        <v>61</v>
      </c>
      <c r="J100" s="3" t="s">
        <v>63</v>
      </c>
      <c r="K100" s="3" t="s">
        <v>57</v>
      </c>
      <c r="L100" s="3" t="s">
        <v>49</v>
      </c>
      <c r="M100" s="3"/>
    </row>
    <row r="101" spans="1:14" ht="12.75">
      <c r="A101" s="2" t="s">
        <v>54</v>
      </c>
      <c r="B101" s="2"/>
      <c r="C101" s="3" t="s">
        <v>55</v>
      </c>
      <c r="D101" s="3" t="s">
        <v>56</v>
      </c>
      <c r="E101" s="15" t="s">
        <v>56</v>
      </c>
      <c r="F101" s="3" t="s">
        <v>59</v>
      </c>
      <c r="G101" s="3" t="s">
        <v>51</v>
      </c>
      <c r="H101" s="3" t="s">
        <v>60</v>
      </c>
      <c r="I101" s="5" t="s">
        <v>62</v>
      </c>
      <c r="J101" s="3" t="s">
        <v>51</v>
      </c>
      <c r="K101" s="3" t="s">
        <v>64</v>
      </c>
      <c r="L101" s="3" t="s">
        <v>65</v>
      </c>
      <c r="M101" s="3" t="s">
        <v>66</v>
      </c>
      <c r="N101" s="3" t="s">
        <v>80</v>
      </c>
    </row>
    <row r="102" spans="1:25" ht="12.75">
      <c r="A102" t="s">
        <v>113</v>
      </c>
      <c r="C102">
        <v>34</v>
      </c>
      <c r="D102">
        <v>14</v>
      </c>
      <c r="E102" s="12">
        <f>+D102/C102*100</f>
        <v>41.17647058823529</v>
      </c>
      <c r="F102">
        <v>178</v>
      </c>
      <c r="G102">
        <v>0</v>
      </c>
      <c r="H102">
        <v>35</v>
      </c>
      <c r="I102">
        <v>4</v>
      </c>
      <c r="J102" s="8">
        <f>+G102/C102*100</f>
        <v>0</v>
      </c>
      <c r="K102" s="12">
        <f>+I102/C102*100</f>
        <v>11.76470588235294</v>
      </c>
      <c r="L102" s="12">
        <f>+F102/C102</f>
        <v>5.235294117647059</v>
      </c>
      <c r="M102" s="12">
        <f>100*(S102+U102+W102+Y102)/6</f>
        <v>18.627450980392155</v>
      </c>
      <c r="R102">
        <f>+(E102-30)/20</f>
        <v>0.5588235294117645</v>
      </c>
      <c r="S102" s="2">
        <f>IF(R102&lt;0,0,IF(R102&gt;2.375,2.375,R102))</f>
        <v>0.5588235294117645</v>
      </c>
      <c r="T102" s="6">
        <f>+(L102-3)/4</f>
        <v>0.5588235294117647</v>
      </c>
      <c r="U102" s="2">
        <f>IF(T102&lt;0,0,IF(T102&gt;2.375,2.375,T102))</f>
        <v>0.5588235294117647</v>
      </c>
      <c r="V102">
        <f>+J102/5</f>
        <v>0</v>
      </c>
      <c r="W102" s="2">
        <f>IF(V102&lt;0,0,IF(V102&gt;2.375,2.375,V102))</f>
        <v>0</v>
      </c>
      <c r="X102">
        <f>(9.5-K102)/4</f>
        <v>-0.5661764705882351</v>
      </c>
      <c r="Y102" s="2">
        <f>IF(X102&lt;0,0,X102)</f>
        <v>0</v>
      </c>
    </row>
    <row r="103" spans="1:25" ht="12.75">
      <c r="A103" t="s">
        <v>112</v>
      </c>
      <c r="E103" s="12" t="e">
        <f>+D103/C103*100</f>
        <v>#DIV/0!</v>
      </c>
      <c r="J103" s="8" t="e">
        <f>+G103/C103*100</f>
        <v>#DIV/0!</v>
      </c>
      <c r="K103" s="12" t="e">
        <f>+I103/C103*100</f>
        <v>#DIV/0!</v>
      </c>
      <c r="L103" s="12" t="e">
        <f>+F103/C103</f>
        <v>#DIV/0!</v>
      </c>
      <c r="M103" s="12" t="e">
        <f>100*(S103+U103+W103+Y103)/6</f>
        <v>#DIV/0!</v>
      </c>
      <c r="R103" t="e">
        <f>+(E103-30)/20</f>
        <v>#DIV/0!</v>
      </c>
      <c r="S103" s="2" t="e">
        <f>IF(R103&lt;0,0,IF(R103&gt;2.375,2.375,R103))</f>
        <v>#DIV/0!</v>
      </c>
      <c r="T103" s="6" t="e">
        <f>+(L103-3)/4</f>
        <v>#DIV/0!</v>
      </c>
      <c r="U103" s="2" t="e">
        <f>IF(T103&lt;0,0,IF(T103&gt;2.375,2.375,T103))</f>
        <v>#DIV/0!</v>
      </c>
      <c r="V103" t="e">
        <f>+J103/5</f>
        <v>#DIV/0!</v>
      </c>
      <c r="W103" s="2" t="e">
        <f>IF(V103&lt;0,0,IF(V103&gt;2.375,2.375,V103))</f>
        <v>#DIV/0!</v>
      </c>
      <c r="X103" t="e">
        <f>(9.5-K103)/4</f>
        <v>#DIV/0!</v>
      </c>
      <c r="Y103" s="2" t="e">
        <f>IF(X103&lt;0,0,X103)</f>
        <v>#DIV/0!</v>
      </c>
    </row>
    <row r="104" spans="1:25" ht="12.75">
      <c r="A104" t="s">
        <v>118</v>
      </c>
      <c r="E104" s="12" t="e">
        <f>+D104/C104*100</f>
        <v>#DIV/0!</v>
      </c>
      <c r="J104" s="8" t="e">
        <f>+G104/C104*100</f>
        <v>#DIV/0!</v>
      </c>
      <c r="K104" s="12" t="e">
        <f>+I104/C104*100</f>
        <v>#DIV/0!</v>
      </c>
      <c r="L104" s="12" t="e">
        <f>+F104/C104</f>
        <v>#DIV/0!</v>
      </c>
      <c r="M104" s="12" t="e">
        <f>100*(S104+U104+W104+Y104)/6</f>
        <v>#DIV/0!</v>
      </c>
      <c r="R104" t="e">
        <f>+(E104-30)/20</f>
        <v>#DIV/0!</v>
      </c>
      <c r="S104" s="2" t="e">
        <f>IF(R104&lt;0,0,IF(R104&gt;2.375,2.375,R104))</f>
        <v>#DIV/0!</v>
      </c>
      <c r="T104" s="6" t="e">
        <f>+(L104-3)/4</f>
        <v>#DIV/0!</v>
      </c>
      <c r="U104" s="2" t="e">
        <f>IF(T104&lt;0,0,IF(T104&gt;2.375,2.375,T104))</f>
        <v>#DIV/0!</v>
      </c>
      <c r="V104" t="e">
        <f>+J104/5</f>
        <v>#DIV/0!</v>
      </c>
      <c r="W104" s="2" t="e">
        <f>IF(V104&lt;0,0,IF(V104&gt;2.375,2.375,V104))</f>
        <v>#DIV/0!</v>
      </c>
      <c r="X104" t="e">
        <f>(9.5-K104)/4</f>
        <v>#DIV/0!</v>
      </c>
      <c r="Y104" s="2" t="e">
        <f>IF(X104&lt;0,0,X104)</f>
        <v>#DIV/0!</v>
      </c>
    </row>
    <row r="105" spans="1:25" ht="12.75">
      <c r="A105" t="s">
        <v>116</v>
      </c>
      <c r="E105" s="12" t="e">
        <f>+D105/C105*100</f>
        <v>#DIV/0!</v>
      </c>
      <c r="J105" s="8" t="e">
        <f>+G105/C105*100</f>
        <v>#DIV/0!</v>
      </c>
      <c r="K105" s="12" t="e">
        <f>+I105/C105*100</f>
        <v>#DIV/0!</v>
      </c>
      <c r="L105" s="12" t="e">
        <f>+F105/C105</f>
        <v>#DIV/0!</v>
      </c>
      <c r="M105" s="12" t="e">
        <f>100*(S105+U105+W105+Y105)/6</f>
        <v>#DIV/0!</v>
      </c>
      <c r="R105" t="e">
        <f>+(E105-30)/20</f>
        <v>#DIV/0!</v>
      </c>
      <c r="S105" s="2" t="e">
        <f>IF(R105&lt;0,0,IF(R105&gt;2.375,2.375,R105))</f>
        <v>#DIV/0!</v>
      </c>
      <c r="T105" s="6" t="e">
        <f>+(L105-3)/4</f>
        <v>#DIV/0!</v>
      </c>
      <c r="U105" s="2" t="e">
        <f>IF(T105&lt;0,0,IF(T105&gt;2.375,2.375,T105))</f>
        <v>#DIV/0!</v>
      </c>
      <c r="V105" t="e">
        <f>+J105/5</f>
        <v>#DIV/0!</v>
      </c>
      <c r="W105" s="2" t="e">
        <f>IF(V105&lt;0,0,IF(V105&gt;2.375,2.375,V105))</f>
        <v>#DIV/0!</v>
      </c>
      <c r="X105" t="e">
        <f>(9.5-K105)/4</f>
        <v>#DIV/0!</v>
      </c>
      <c r="Y105" s="2" t="e">
        <f>IF(X105&lt;0,0,X105)</f>
        <v>#DIV/0!</v>
      </c>
    </row>
    <row r="106" spans="1:25" ht="12.75">
      <c r="A106" t="s">
        <v>107</v>
      </c>
      <c r="E106" s="12" t="e">
        <f>+D106/C106*100</f>
        <v>#DIV/0!</v>
      </c>
      <c r="J106" s="8" t="e">
        <f>+G106/C106*100</f>
        <v>#DIV/0!</v>
      </c>
      <c r="K106" s="12" t="e">
        <f>+I106/C106*100</f>
        <v>#DIV/0!</v>
      </c>
      <c r="L106" s="12" t="e">
        <f>+F106/C106</f>
        <v>#DIV/0!</v>
      </c>
      <c r="M106" s="12" t="e">
        <f>100*(S106+U106+W106+Y106)/6</f>
        <v>#DIV/0!</v>
      </c>
      <c r="R106" t="e">
        <f>+(E106-30)/20</f>
        <v>#DIV/0!</v>
      </c>
      <c r="S106" s="2" t="e">
        <f>IF(R106&lt;0,0,IF(R106&gt;2.375,2.375,R106))</f>
        <v>#DIV/0!</v>
      </c>
      <c r="T106" s="6" t="e">
        <f>+(L106-3)/4</f>
        <v>#DIV/0!</v>
      </c>
      <c r="U106" s="2" t="e">
        <f>IF(T106&lt;0,0,IF(T106&gt;2.375,2.375,T106))</f>
        <v>#DIV/0!</v>
      </c>
      <c r="V106" t="e">
        <f>+J106/5</f>
        <v>#DIV/0!</v>
      </c>
      <c r="W106" s="2" t="e">
        <f>IF(V106&lt;0,0,IF(V106&gt;2.375,2.375,V106))</f>
        <v>#DIV/0!</v>
      </c>
      <c r="X106" t="e">
        <f>(9.5-K106)/4</f>
        <v>#DIV/0!</v>
      </c>
      <c r="Y106" s="2" t="e">
        <f>IF(X106&lt;0,0,X106)</f>
        <v>#DIV/0!</v>
      </c>
    </row>
    <row r="109" spans="1:9" ht="12.75">
      <c r="A109" s="2" t="s">
        <v>67</v>
      </c>
      <c r="C109" s="3" t="s">
        <v>68</v>
      </c>
      <c r="D109" s="3" t="s">
        <v>69</v>
      </c>
      <c r="E109" s="3" t="s">
        <v>70</v>
      </c>
      <c r="F109" s="3" t="s">
        <v>49</v>
      </c>
      <c r="G109" s="3" t="s">
        <v>60</v>
      </c>
      <c r="H109" s="3" t="s">
        <v>51</v>
      </c>
      <c r="I109" s="3" t="s">
        <v>80</v>
      </c>
    </row>
    <row r="110" spans="1:9" ht="12.75">
      <c r="A110" t="s">
        <v>124</v>
      </c>
      <c r="C110">
        <v>5</v>
      </c>
      <c r="D110">
        <v>0</v>
      </c>
      <c r="E110">
        <v>29</v>
      </c>
      <c r="F110" s="12">
        <f>+E110/C110</f>
        <v>5.8</v>
      </c>
      <c r="G110">
        <v>17</v>
      </c>
      <c r="H110">
        <v>0</v>
      </c>
      <c r="I110">
        <v>0</v>
      </c>
    </row>
    <row r="111" spans="1:6" ht="12.75">
      <c r="A111" t="s">
        <v>123</v>
      </c>
      <c r="F111" s="12" t="e">
        <f>+E111/C111</f>
        <v>#DIV/0!</v>
      </c>
    </row>
    <row r="112" spans="1:6" ht="12.75">
      <c r="A112" t="s">
        <v>117</v>
      </c>
      <c r="F112" s="12" t="e">
        <f>+E112/C112</f>
        <v>#DIV/0!</v>
      </c>
    </row>
    <row r="114" spans="1:8" ht="12.75">
      <c r="A114" s="2" t="s">
        <v>30</v>
      </c>
      <c r="C114" s="3" t="s">
        <v>68</v>
      </c>
      <c r="D114" s="3" t="s">
        <v>70</v>
      </c>
      <c r="E114" s="3" t="s">
        <v>49</v>
      </c>
      <c r="F114" s="3" t="s">
        <v>60</v>
      </c>
      <c r="G114" s="3" t="s">
        <v>51</v>
      </c>
      <c r="H114" s="3" t="s">
        <v>80</v>
      </c>
    </row>
    <row r="115" spans="1:7" ht="12.75">
      <c r="A115" t="s">
        <v>114</v>
      </c>
      <c r="C115">
        <v>5</v>
      </c>
      <c r="D115">
        <v>105</v>
      </c>
      <c r="E115" s="12">
        <f aca="true" t="shared" si="2" ref="E115:E120">+D115/C115</f>
        <v>21</v>
      </c>
      <c r="F115">
        <v>32</v>
      </c>
      <c r="G115">
        <v>0</v>
      </c>
    </row>
    <row r="116" spans="1:5" ht="12.75">
      <c r="A116" t="s">
        <v>125</v>
      </c>
      <c r="E116" s="12" t="e">
        <f t="shared" si="2"/>
        <v>#DIV/0!</v>
      </c>
    </row>
    <row r="117" spans="1:8" ht="12.75">
      <c r="A117" t="s">
        <v>116</v>
      </c>
      <c r="C117">
        <v>1</v>
      </c>
      <c r="D117">
        <v>36</v>
      </c>
      <c r="E117" s="12">
        <f t="shared" si="2"/>
        <v>36</v>
      </c>
      <c r="F117">
        <v>36</v>
      </c>
      <c r="G117">
        <v>0</v>
      </c>
      <c r="H117">
        <v>0</v>
      </c>
    </row>
    <row r="118" spans="1:5" ht="12.75">
      <c r="A118" t="s">
        <v>108</v>
      </c>
      <c r="E118" s="12" t="e">
        <f t="shared" si="2"/>
        <v>#DIV/0!</v>
      </c>
    </row>
    <row r="119" spans="1:5" ht="12.75">
      <c r="A119" t="s">
        <v>115</v>
      </c>
      <c r="E119" s="12" t="e">
        <f t="shared" si="2"/>
        <v>#DIV/0!</v>
      </c>
    </row>
    <row r="120" spans="1:5" ht="12.75">
      <c r="A120" t="s">
        <v>121</v>
      </c>
      <c r="E120" s="12" t="e">
        <f t="shared" si="2"/>
        <v>#DIV/0!</v>
      </c>
    </row>
    <row r="122" spans="1:7" ht="12.75">
      <c r="A122" s="2" t="s">
        <v>71</v>
      </c>
      <c r="C122" s="3" t="s">
        <v>68</v>
      </c>
      <c r="D122" s="3" t="s">
        <v>70</v>
      </c>
      <c r="E122" s="3" t="s">
        <v>49</v>
      </c>
      <c r="F122" s="3" t="s">
        <v>60</v>
      </c>
      <c r="G122" s="3" t="s">
        <v>72</v>
      </c>
    </row>
    <row r="123" spans="1:7" ht="12.75">
      <c r="A123" t="s">
        <v>126</v>
      </c>
      <c r="C123">
        <v>6</v>
      </c>
      <c r="D123">
        <v>269</v>
      </c>
      <c r="E123" s="12">
        <f>+D123/C123</f>
        <v>44.833333333333336</v>
      </c>
      <c r="F123">
        <v>54</v>
      </c>
      <c r="G123">
        <v>0</v>
      </c>
    </row>
    <row r="124" spans="1:5" ht="12.75">
      <c r="A124" t="s">
        <v>113</v>
      </c>
      <c r="E124" s="12" t="e">
        <f>+D124/C124</f>
        <v>#DIV/0!</v>
      </c>
    </row>
    <row r="125" ht="12.75">
      <c r="I125" s="5" t="s">
        <v>63</v>
      </c>
    </row>
    <row r="126" spans="1:10" ht="12.75">
      <c r="A126" s="4" t="s">
        <v>79</v>
      </c>
      <c r="C126" s="3" t="s">
        <v>73</v>
      </c>
      <c r="D126" s="3" t="s">
        <v>74</v>
      </c>
      <c r="E126" s="3" t="s">
        <v>75</v>
      </c>
      <c r="F126" s="3" t="s">
        <v>76</v>
      </c>
      <c r="G126" s="3" t="s">
        <v>77</v>
      </c>
      <c r="H126" s="3" t="s">
        <v>78</v>
      </c>
      <c r="I126" s="3" t="s">
        <v>82</v>
      </c>
      <c r="J126" s="3" t="s">
        <v>60</v>
      </c>
    </row>
    <row r="127" spans="1:10" ht="12.75">
      <c r="A127" t="s">
        <v>127</v>
      </c>
      <c r="C127">
        <v>3</v>
      </c>
      <c r="D127">
        <v>1</v>
      </c>
      <c r="E127">
        <v>1</v>
      </c>
      <c r="F127">
        <v>1</v>
      </c>
      <c r="G127">
        <v>1</v>
      </c>
      <c r="H127">
        <v>1</v>
      </c>
      <c r="I127" s="12">
        <f>+H127/G127*100</f>
        <v>100</v>
      </c>
      <c r="J127">
        <v>33</v>
      </c>
    </row>
    <row r="129" spans="1:8" ht="12.75">
      <c r="A129" s="2" t="s">
        <v>81</v>
      </c>
      <c r="C129" s="3" t="s">
        <v>68</v>
      </c>
      <c r="D129" s="3" t="s">
        <v>70</v>
      </c>
      <c r="E129" s="3" t="s">
        <v>49</v>
      </c>
      <c r="F129" s="3" t="s">
        <v>60</v>
      </c>
      <c r="G129" s="3" t="s">
        <v>51</v>
      </c>
      <c r="H129" s="3" t="s">
        <v>80</v>
      </c>
    </row>
    <row r="130" spans="1:8" ht="12.75">
      <c r="A130" t="s">
        <v>128</v>
      </c>
      <c r="C130">
        <v>1</v>
      </c>
      <c r="D130">
        <v>0</v>
      </c>
      <c r="E130" s="12">
        <f>+D130/C130</f>
        <v>0</v>
      </c>
      <c r="F130">
        <v>0</v>
      </c>
      <c r="G130">
        <v>0</v>
      </c>
      <c r="H130">
        <v>0</v>
      </c>
    </row>
    <row r="131" spans="1:5" ht="12.75">
      <c r="A131" t="s">
        <v>129</v>
      </c>
      <c r="E131" s="12" t="e">
        <f aca="true" t="shared" si="3" ref="E131:E138">+D131/C131</f>
        <v>#DIV/0!</v>
      </c>
    </row>
    <row r="132" spans="1:5" ht="12.75">
      <c r="A132" t="s">
        <v>130</v>
      </c>
      <c r="E132" s="12" t="e">
        <f t="shared" si="3"/>
        <v>#DIV/0!</v>
      </c>
    </row>
    <row r="133" spans="1:5" ht="12.75">
      <c r="A133" t="s">
        <v>124</v>
      </c>
      <c r="E133" s="12" t="e">
        <f t="shared" si="3"/>
        <v>#DIV/0!</v>
      </c>
    </row>
    <row r="134" spans="1:5" ht="12.75">
      <c r="A134" t="s">
        <v>131</v>
      </c>
      <c r="E134" s="12" t="e">
        <f t="shared" si="3"/>
        <v>#DIV/0!</v>
      </c>
    </row>
    <row r="135" spans="1:5" ht="12.75">
      <c r="A135" t="s">
        <v>132</v>
      </c>
      <c r="E135" s="12" t="e">
        <f t="shared" si="3"/>
        <v>#DIV/0!</v>
      </c>
    </row>
    <row r="136" spans="1:8" ht="12.75">
      <c r="A136" t="s">
        <v>133</v>
      </c>
      <c r="C136">
        <v>1</v>
      </c>
      <c r="D136">
        <v>53</v>
      </c>
      <c r="E136" s="12">
        <f t="shared" si="3"/>
        <v>53</v>
      </c>
      <c r="F136">
        <v>53</v>
      </c>
      <c r="G136">
        <v>0</v>
      </c>
      <c r="H136">
        <v>0</v>
      </c>
    </row>
    <row r="137" spans="1:5" ht="12.75">
      <c r="A137" t="s">
        <v>134</v>
      </c>
      <c r="E137" s="12" t="e">
        <f t="shared" si="3"/>
        <v>#DIV/0!</v>
      </c>
    </row>
    <row r="138" spans="1:5" ht="12.75">
      <c r="A138" t="s">
        <v>135</v>
      </c>
      <c r="E138" s="12" t="e">
        <f t="shared" si="3"/>
        <v>#DIV/0!</v>
      </c>
    </row>
    <row r="139" ht="12.75">
      <c r="A139" t="s">
        <v>136</v>
      </c>
    </row>
    <row r="141" spans="1:4" ht="12.75">
      <c r="A141" s="2" t="s">
        <v>90</v>
      </c>
      <c r="C141" s="3" t="s">
        <v>68</v>
      </c>
      <c r="D141" s="3"/>
    </row>
    <row r="142" spans="1:3" ht="12.75">
      <c r="A142" t="s">
        <v>137</v>
      </c>
      <c r="C142">
        <v>1.5</v>
      </c>
    </row>
    <row r="143" spans="1:3" ht="12.75">
      <c r="A143" t="s">
        <v>134</v>
      </c>
      <c r="C143">
        <v>1</v>
      </c>
    </row>
    <row r="144" ht="12.75">
      <c r="A144" t="s">
        <v>138</v>
      </c>
    </row>
    <row r="145" ht="12.75">
      <c r="A145" t="s">
        <v>136</v>
      </c>
    </row>
    <row r="146" ht="12.75">
      <c r="A146" t="s">
        <v>139</v>
      </c>
    </row>
    <row r="147" ht="12.75">
      <c r="A147" t="s">
        <v>135</v>
      </c>
    </row>
    <row r="148" ht="12.75">
      <c r="A148" t="s">
        <v>133</v>
      </c>
    </row>
    <row r="149" ht="12.75">
      <c r="A149" t="s">
        <v>140</v>
      </c>
    </row>
    <row r="150" ht="12.75">
      <c r="A150" t="s">
        <v>141</v>
      </c>
    </row>
    <row r="151" ht="12.75">
      <c r="A151" t="s">
        <v>142</v>
      </c>
    </row>
    <row r="152" spans="1:3" ht="12.75">
      <c r="A152" t="s">
        <v>143</v>
      </c>
      <c r="C152">
        <v>0.5</v>
      </c>
    </row>
    <row r="153" ht="12.75">
      <c r="A153" t="s">
        <v>124</v>
      </c>
    </row>
    <row r="154" ht="12.75">
      <c r="A154" t="s">
        <v>129</v>
      </c>
    </row>
    <row r="155" ht="12.75">
      <c r="A155" t="s">
        <v>132</v>
      </c>
    </row>
    <row r="156" ht="12.75">
      <c r="A156" t="s">
        <v>144</v>
      </c>
    </row>
    <row r="158" spans="4:14" ht="12.75">
      <c r="D158" s="2" t="s">
        <v>84</v>
      </c>
      <c r="E158" s="2" t="s">
        <v>85</v>
      </c>
      <c r="M158" s="2" t="s">
        <v>84</v>
      </c>
      <c r="N158" s="2" t="s">
        <v>85</v>
      </c>
    </row>
    <row r="159" spans="1:13" ht="12.75">
      <c r="A159" t="s">
        <v>93</v>
      </c>
      <c r="D159">
        <v>16</v>
      </c>
      <c r="H159" t="s">
        <v>93</v>
      </c>
      <c r="M159">
        <v>16</v>
      </c>
    </row>
    <row r="160" spans="1:13" ht="12.75">
      <c r="A160" t="s">
        <v>94</v>
      </c>
      <c r="D160">
        <v>5</v>
      </c>
      <c r="H160" t="s">
        <v>94</v>
      </c>
      <c r="M160">
        <v>3</v>
      </c>
    </row>
    <row r="161" spans="1:13" ht="12.75">
      <c r="A161" t="s">
        <v>95</v>
      </c>
      <c r="D161" s="8">
        <f>D160/D159*100</f>
        <v>31.25</v>
      </c>
      <c r="H161" t="s">
        <v>95</v>
      </c>
      <c r="M161" s="8">
        <f>+M160/M159*100</f>
        <v>18.75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Y161"/>
  <sheetViews>
    <sheetView zoomScalePageLayoutView="0" workbookViewId="0" topLeftCell="A1">
      <selection activeCell="T60" sqref="T60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109</v>
      </c>
      <c r="E1" s="2" t="s">
        <v>96</v>
      </c>
      <c r="F1" s="2" t="s">
        <v>97</v>
      </c>
    </row>
    <row r="2" ht="12.75">
      <c r="E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18</v>
      </c>
      <c r="H6" s="1" t="s">
        <v>29</v>
      </c>
      <c r="M6" s="2">
        <f>M7+M8+M9</f>
        <v>23</v>
      </c>
    </row>
    <row r="7" spans="1:13" ht="12.75">
      <c r="A7" s="1" t="s">
        <v>103</v>
      </c>
      <c r="D7" s="2">
        <v>6</v>
      </c>
      <c r="H7" s="1" t="s">
        <v>103</v>
      </c>
      <c r="M7" s="2">
        <v>5</v>
      </c>
    </row>
    <row r="8" spans="1:13" ht="12.75">
      <c r="A8" s="1" t="s">
        <v>105</v>
      </c>
      <c r="D8" s="2">
        <v>10</v>
      </c>
      <c r="H8" s="1" t="s">
        <v>105</v>
      </c>
      <c r="M8" s="2">
        <v>16</v>
      </c>
    </row>
    <row r="9" spans="1:13" ht="12.75">
      <c r="A9" s="1" t="s">
        <v>104</v>
      </c>
      <c r="D9" s="2">
        <v>2</v>
      </c>
      <c r="H9" s="1" t="s">
        <v>104</v>
      </c>
      <c r="M9" s="2">
        <v>2</v>
      </c>
    </row>
    <row r="11" spans="1:23" ht="12.75">
      <c r="A11" t="s">
        <v>1</v>
      </c>
      <c r="D11" s="2">
        <v>29</v>
      </c>
      <c r="H11" t="s">
        <v>1</v>
      </c>
      <c r="M11" s="2">
        <v>24</v>
      </c>
      <c r="V11">
        <f>+D11</f>
        <v>29</v>
      </c>
      <c r="W11">
        <f>+M11</f>
        <v>24</v>
      </c>
    </row>
    <row r="12" spans="1:23" ht="12.75">
      <c r="A12" t="s">
        <v>2</v>
      </c>
      <c r="D12" s="2">
        <v>105</v>
      </c>
      <c r="H12" t="s">
        <v>2</v>
      </c>
      <c r="M12" s="2">
        <v>77</v>
      </c>
      <c r="U12" s="13"/>
      <c r="V12">
        <f>+D16</f>
        <v>16</v>
      </c>
      <c r="W12">
        <f>+M16</f>
        <v>19</v>
      </c>
    </row>
    <row r="13" spans="1:23" ht="12.75">
      <c r="A13" s="1" t="s">
        <v>3</v>
      </c>
      <c r="D13" s="8">
        <f>+D12/D11</f>
        <v>3.6206896551724137</v>
      </c>
      <c r="H13" s="1" t="s">
        <v>3</v>
      </c>
      <c r="M13" s="8">
        <f>+M12/M11</f>
        <v>3.2083333333333335</v>
      </c>
      <c r="V13">
        <f>+(D15-D16)/2</f>
        <v>4</v>
      </c>
      <c r="W13">
        <f>+(M15-M16)/2</f>
        <v>11</v>
      </c>
    </row>
    <row r="14" spans="22:23" ht="12.75">
      <c r="V14">
        <f>+D38/2</f>
        <v>1.5</v>
      </c>
      <c r="W14">
        <f>+M38/2</f>
        <v>2</v>
      </c>
    </row>
    <row r="15" spans="1:23" ht="12.75">
      <c r="A15" t="s">
        <v>4</v>
      </c>
      <c r="D15" s="2">
        <v>24</v>
      </c>
      <c r="H15" t="s">
        <v>4</v>
      </c>
      <c r="M15" s="2">
        <v>41</v>
      </c>
      <c r="V15">
        <f>+D42/2</f>
        <v>0.5</v>
      </c>
      <c r="W15">
        <f>+M42/2</f>
        <v>1.5</v>
      </c>
    </row>
    <row r="16" spans="1:23" ht="12.75">
      <c r="A16" t="s">
        <v>5</v>
      </c>
      <c r="D16" s="2">
        <v>16</v>
      </c>
      <c r="H16" t="s">
        <v>5</v>
      </c>
      <c r="M16" s="2">
        <v>19</v>
      </c>
      <c r="V16">
        <f>+D48/2</f>
        <v>3</v>
      </c>
      <c r="W16">
        <f>+M48/2</f>
        <v>2.5</v>
      </c>
    </row>
    <row r="17" spans="1:13" ht="12.75">
      <c r="A17" t="s">
        <v>6</v>
      </c>
      <c r="D17" s="8">
        <f>+D16/D15*100</f>
        <v>66.66666666666666</v>
      </c>
      <c r="H17" t="s">
        <v>6</v>
      </c>
      <c r="M17" s="8">
        <f>+M16/M15*100</f>
        <v>46.34146341463415</v>
      </c>
    </row>
    <row r="18" spans="1:24" ht="12.75">
      <c r="A18" t="s">
        <v>7</v>
      </c>
      <c r="D18" s="2">
        <v>247</v>
      </c>
      <c r="H18" t="s">
        <v>7</v>
      </c>
      <c r="M18" s="2">
        <v>317</v>
      </c>
      <c r="V18">
        <f>SUM(V11:V16)</f>
        <v>54</v>
      </c>
      <c r="W18">
        <f>SUM(W11:W16)</f>
        <v>60</v>
      </c>
      <c r="X18">
        <f>+W18+V18</f>
        <v>114</v>
      </c>
    </row>
    <row r="19" spans="1:23" ht="12.75">
      <c r="A19" t="s">
        <v>8</v>
      </c>
      <c r="D19" s="2">
        <v>5</v>
      </c>
      <c r="H19" t="s">
        <v>8</v>
      </c>
      <c r="M19" s="2">
        <v>5</v>
      </c>
      <c r="V19">
        <f>+V18/X18</f>
        <v>0.47368421052631576</v>
      </c>
      <c r="W19">
        <f>+W18/X18</f>
        <v>0.5263157894736842</v>
      </c>
    </row>
    <row r="20" spans="1:23" ht="12.75">
      <c r="A20" t="s">
        <v>9</v>
      </c>
      <c r="D20" s="2">
        <v>27</v>
      </c>
      <c r="H20" t="s">
        <v>9</v>
      </c>
      <c r="M20" s="2">
        <v>40</v>
      </c>
      <c r="V20">
        <f>+V19*60</f>
        <v>28.421052631578945</v>
      </c>
      <c r="W20">
        <f>+W19*60</f>
        <v>31.57894736842105</v>
      </c>
    </row>
    <row r="21" spans="1:23" ht="12.75">
      <c r="A21" t="s">
        <v>10</v>
      </c>
      <c r="D21">
        <f>+D18-D20</f>
        <v>220</v>
      </c>
      <c r="H21" t="s">
        <v>10</v>
      </c>
      <c r="M21">
        <f>+M18-M20</f>
        <v>277</v>
      </c>
      <c r="V21">
        <f>+V20-INT(V20)</f>
        <v>0.4210526315789451</v>
      </c>
      <c r="W21">
        <f>+W20-INT(W20)</f>
        <v>0.5789473684210513</v>
      </c>
    </row>
    <row r="22" spans="1:23" ht="12.75">
      <c r="A22" t="s">
        <v>11</v>
      </c>
      <c r="D22" s="7">
        <f>+D21/(D15+D19)</f>
        <v>7.586206896551724</v>
      </c>
      <c r="H22" t="s">
        <v>11</v>
      </c>
      <c r="M22" s="7">
        <f>+M21/(M15+M19)</f>
        <v>6.021739130434782</v>
      </c>
      <c r="V22">
        <f>+V21*60</f>
        <v>25.263157894736707</v>
      </c>
      <c r="W22">
        <f>+W21*60</f>
        <v>34.73684210526308</v>
      </c>
    </row>
    <row r="23" spans="1:23" ht="12.75">
      <c r="A23" t="s">
        <v>12</v>
      </c>
      <c r="D23" s="7">
        <f>+D18/D16</f>
        <v>15.4375</v>
      </c>
      <c r="H23" t="s">
        <v>12</v>
      </c>
      <c r="M23" s="7">
        <f>+M18/M16</f>
        <v>16.68421052631579</v>
      </c>
      <c r="U23">
        <v>0</v>
      </c>
      <c r="V23" s="11">
        <f>ROUND(V22,0)</f>
        <v>25</v>
      </c>
      <c r="W23">
        <f>ROUND(W22,0)</f>
        <v>35</v>
      </c>
    </row>
    <row r="24" spans="22:23" ht="12.75">
      <c r="V24">
        <f>INT(V20)</f>
        <v>28</v>
      </c>
      <c r="W24">
        <f>INT(W20)</f>
        <v>31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325</v>
      </c>
      <c r="H26" t="s">
        <v>14</v>
      </c>
      <c r="M26">
        <f>+M21+M12</f>
        <v>354</v>
      </c>
      <c r="Q26" s="9"/>
      <c r="R26" s="9"/>
      <c r="V26" s="14" t="str">
        <f>+V24&amp;V25&amp;V23</f>
        <v>28:25</v>
      </c>
      <c r="W26" s="9" t="str">
        <f>+W24&amp;W25&amp;W23</f>
        <v>31:35</v>
      </c>
    </row>
    <row r="27" spans="1:23" ht="12.75">
      <c r="A27" t="s">
        <v>15</v>
      </c>
      <c r="D27" s="7">
        <f>+D12/D26*100</f>
        <v>32.30769230769231</v>
      </c>
      <c r="H27" t="s">
        <v>15</v>
      </c>
      <c r="M27" s="7">
        <f>+M12/M26*100</f>
        <v>21.75141242937853</v>
      </c>
      <c r="V27" s="9" t="str">
        <f>IF(V23&lt;10,+V24&amp;V25&amp;$U$23&amp;V23,+V24&amp;V25&amp;V23)</f>
        <v>28:25</v>
      </c>
      <c r="W27" s="9" t="str">
        <f>IF(W23&lt;10,+W24&amp;W25&amp;$U$23&amp;W23,+W24&amp;W25&amp;W23)</f>
        <v>31:35</v>
      </c>
    </row>
    <row r="28" spans="1:13" ht="12.75">
      <c r="A28" s="1" t="s">
        <v>86</v>
      </c>
      <c r="D28" s="7">
        <f>+D21/D26*100</f>
        <v>67.6923076923077</v>
      </c>
      <c r="H28" s="1" t="s">
        <v>86</v>
      </c>
      <c r="M28" s="7">
        <f>+M21/M26*100</f>
        <v>78.24858757062147</v>
      </c>
    </row>
    <row r="30" spans="1:13" ht="12.75">
      <c r="A30" t="s">
        <v>16</v>
      </c>
      <c r="D30">
        <f>+D11+D15+D19</f>
        <v>58</v>
      </c>
      <c r="H30" t="s">
        <v>16</v>
      </c>
      <c r="M30">
        <f>+M11+M15+M19</f>
        <v>70</v>
      </c>
    </row>
    <row r="31" spans="1:13" ht="12.75">
      <c r="A31" t="s">
        <v>17</v>
      </c>
      <c r="D31" s="8">
        <f>+D26/D30</f>
        <v>5.603448275862069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5.057142857142857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2</v>
      </c>
      <c r="H34" t="s">
        <v>19</v>
      </c>
      <c r="M34" s="2">
        <v>2</v>
      </c>
    </row>
    <row r="35" spans="1:13" ht="12.75">
      <c r="A35" t="s">
        <v>20</v>
      </c>
      <c r="D35" s="2">
        <v>15</v>
      </c>
      <c r="H35" t="s">
        <v>20</v>
      </c>
      <c r="M35" s="2">
        <v>7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3</v>
      </c>
      <c r="H38" t="s">
        <v>22</v>
      </c>
      <c r="M38" s="2">
        <v>4</v>
      </c>
    </row>
    <row r="39" spans="1:13" ht="12.75">
      <c r="A39" t="s">
        <v>23</v>
      </c>
      <c r="D39" s="2">
        <v>125</v>
      </c>
      <c r="H39" t="s">
        <v>23</v>
      </c>
      <c r="M39" s="2">
        <v>178</v>
      </c>
    </row>
    <row r="40" spans="1:13" ht="12.75">
      <c r="A40" t="s">
        <v>24</v>
      </c>
      <c r="D40" s="8">
        <f>+D39/D38</f>
        <v>41.666666666666664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44.5</v>
      </c>
    </row>
    <row r="41" ht="12.75">
      <c r="D41" s="2"/>
    </row>
    <row r="42" spans="1:13" ht="12.75">
      <c r="A42" t="s">
        <v>25</v>
      </c>
      <c r="D42" s="2">
        <v>1</v>
      </c>
      <c r="H42" t="s">
        <v>25</v>
      </c>
      <c r="M42" s="2">
        <v>3</v>
      </c>
    </row>
    <row r="43" spans="1:13" ht="12.75">
      <c r="A43" t="s">
        <v>26</v>
      </c>
      <c r="D43" s="2">
        <v>1</v>
      </c>
      <c r="H43" t="s">
        <v>26</v>
      </c>
      <c r="M43" s="2">
        <v>11</v>
      </c>
    </row>
    <row r="44" spans="1:13" ht="12.75">
      <c r="A44" t="s">
        <v>27</v>
      </c>
      <c r="D44" s="8">
        <f>+D43/D42</f>
        <v>1</v>
      </c>
      <c r="H44" t="s">
        <v>27</v>
      </c>
      <c r="M44" s="8">
        <f>+M43/M42</f>
        <v>3.6666666666666665</v>
      </c>
    </row>
    <row r="45" spans="1:13" ht="12.75">
      <c r="A45" t="s">
        <v>106</v>
      </c>
      <c r="D45" s="2">
        <v>0</v>
      </c>
      <c r="H45" t="s">
        <v>106</v>
      </c>
      <c r="M45" s="2">
        <v>0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6</v>
      </c>
      <c r="H48" t="s">
        <v>30</v>
      </c>
      <c r="M48" s="2">
        <v>5</v>
      </c>
    </row>
    <row r="49" spans="1:13" ht="12.75">
      <c r="A49" t="s">
        <v>26</v>
      </c>
      <c r="D49" s="2">
        <v>90</v>
      </c>
      <c r="H49" t="s">
        <v>26</v>
      </c>
      <c r="M49" s="2">
        <v>69</v>
      </c>
    </row>
    <row r="50" spans="1:13" ht="12.75">
      <c r="A50" t="s">
        <v>27</v>
      </c>
      <c r="D50" s="8">
        <f>+D49/D48</f>
        <v>15</v>
      </c>
      <c r="H50" t="s">
        <v>27</v>
      </c>
      <c r="M50" s="8">
        <f>+M49/M48</f>
        <v>13.8</v>
      </c>
    </row>
    <row r="51" spans="1:13" ht="12.75">
      <c r="A51" t="s">
        <v>28</v>
      </c>
      <c r="D51" s="2">
        <v>0</v>
      </c>
      <c r="H51" t="s">
        <v>28</v>
      </c>
      <c r="M51" s="2">
        <v>0</v>
      </c>
    </row>
    <row r="53" spans="1:13" ht="12.75">
      <c r="A53" t="s">
        <v>31</v>
      </c>
      <c r="D53" s="2">
        <v>5</v>
      </c>
      <c r="H53" t="s">
        <v>31</v>
      </c>
      <c r="M53" s="2">
        <v>8</v>
      </c>
    </row>
    <row r="54" spans="1:13" ht="12.75">
      <c r="A54" t="s">
        <v>32</v>
      </c>
      <c r="D54" s="2">
        <v>45</v>
      </c>
      <c r="H54" t="s">
        <v>32</v>
      </c>
      <c r="M54" s="2">
        <v>57</v>
      </c>
    </row>
    <row r="55" ht="12.75">
      <c r="M55" s="2"/>
    </row>
    <row r="56" spans="1:13" ht="12.75">
      <c r="A56" t="s">
        <v>33</v>
      </c>
      <c r="D56" s="2">
        <v>1</v>
      </c>
      <c r="H56" t="s">
        <v>33</v>
      </c>
      <c r="M56" s="2">
        <v>0</v>
      </c>
    </row>
    <row r="57" spans="1:13" ht="12.75">
      <c r="A57" t="s">
        <v>101</v>
      </c>
      <c r="D57" s="2">
        <v>1</v>
      </c>
      <c r="H57" t="s">
        <v>101</v>
      </c>
      <c r="M57" s="2">
        <v>0</v>
      </c>
    </row>
    <row r="59" spans="1:13" ht="12.75">
      <c r="A59" t="s">
        <v>34</v>
      </c>
      <c r="D59" s="2">
        <v>28</v>
      </c>
      <c r="H59" t="s">
        <v>34</v>
      </c>
      <c r="M59" s="2">
        <v>21</v>
      </c>
    </row>
    <row r="60" spans="1:13" ht="12.75">
      <c r="A60" t="s">
        <v>35</v>
      </c>
      <c r="D60" s="2">
        <v>4</v>
      </c>
      <c r="H60" t="s">
        <v>35</v>
      </c>
      <c r="M60" s="2">
        <v>1</v>
      </c>
    </row>
    <row r="61" spans="1:13" ht="12.75">
      <c r="A61" t="s">
        <v>36</v>
      </c>
      <c r="D61" s="2">
        <v>2</v>
      </c>
      <c r="H61" t="s">
        <v>36</v>
      </c>
      <c r="M61" s="2">
        <v>0</v>
      </c>
    </row>
    <row r="62" spans="1:13" ht="12.75">
      <c r="A62" t="s">
        <v>37</v>
      </c>
      <c r="D62" s="2">
        <v>2</v>
      </c>
      <c r="H62" t="s">
        <v>37</v>
      </c>
      <c r="M62" s="2">
        <v>1</v>
      </c>
    </row>
    <row r="63" spans="1:13" ht="12.75">
      <c r="A63" t="s">
        <v>38</v>
      </c>
      <c r="D63" s="2">
        <v>0</v>
      </c>
      <c r="H63" t="s">
        <v>38</v>
      </c>
      <c r="M63" s="2">
        <v>0</v>
      </c>
    </row>
    <row r="64" spans="1:13" ht="12.75">
      <c r="A64" t="s">
        <v>39</v>
      </c>
      <c r="D64" s="2">
        <v>4</v>
      </c>
      <c r="H64" t="s">
        <v>39</v>
      </c>
      <c r="M64" s="2">
        <v>1</v>
      </c>
    </row>
    <row r="65" spans="1:13" ht="12.75">
      <c r="A65" t="s">
        <v>40</v>
      </c>
      <c r="D65" s="2">
        <v>0</v>
      </c>
      <c r="H65" t="s">
        <v>40</v>
      </c>
      <c r="M65" s="2">
        <v>1</v>
      </c>
    </row>
    <row r="66" spans="1:13" ht="12.75">
      <c r="A66" t="s">
        <v>41</v>
      </c>
      <c r="D66" s="2">
        <v>0</v>
      </c>
      <c r="H66" t="s">
        <v>41</v>
      </c>
      <c r="M66" s="2">
        <v>4</v>
      </c>
    </row>
    <row r="67" spans="1:13" ht="12.75">
      <c r="A67" t="s">
        <v>42</v>
      </c>
      <c r="D67" s="2">
        <v>0</v>
      </c>
      <c r="H67" t="s">
        <v>42</v>
      </c>
      <c r="M67" s="2">
        <v>4</v>
      </c>
    </row>
    <row r="68" spans="1:13" ht="12.75">
      <c r="A68" t="s">
        <v>43</v>
      </c>
      <c r="D68" s="8">
        <v>0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100</v>
      </c>
    </row>
    <row r="69" spans="1:13" ht="12.75">
      <c r="A69" t="s">
        <v>92</v>
      </c>
      <c r="D69" s="10" t="str">
        <f>IF(V23&lt;10,V27,V26)</f>
        <v>28:25</v>
      </c>
      <c r="E69" s="8"/>
      <c r="F69" s="8"/>
      <c r="H69" t="s">
        <v>92</v>
      </c>
      <c r="M69" s="10" t="str">
        <f>IF(W23&lt;10,W27,W26)</f>
        <v>31:35</v>
      </c>
    </row>
    <row r="70" spans="1:13" ht="12.75">
      <c r="A70" t="s">
        <v>102</v>
      </c>
      <c r="D70" s="23">
        <f>D161</f>
        <v>50</v>
      </c>
      <c r="E70" s="8"/>
      <c r="F70" s="8"/>
      <c r="H70" t="s">
        <v>102</v>
      </c>
      <c r="M70" s="23">
        <f>M161</f>
        <v>28.57142857142857</v>
      </c>
    </row>
    <row r="71" spans="4:13" ht="12.75">
      <c r="D71" s="2"/>
      <c r="M71" s="2"/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110</v>
      </c>
      <c r="C74">
        <v>20</v>
      </c>
      <c r="D74">
        <v>86</v>
      </c>
      <c r="E74" s="12">
        <f aca="true" t="shared" si="0" ref="E74:E84">+D74/C74</f>
        <v>4.3</v>
      </c>
      <c r="F74">
        <v>11</v>
      </c>
      <c r="G74">
        <v>1</v>
      </c>
      <c r="H74">
        <v>0</v>
      </c>
    </row>
    <row r="75" spans="1:8" ht="12.75">
      <c r="A75" t="s">
        <v>111</v>
      </c>
      <c r="C75">
        <v>9</v>
      </c>
      <c r="D75">
        <v>19</v>
      </c>
      <c r="E75" s="12">
        <f t="shared" si="0"/>
        <v>2.111111111111111</v>
      </c>
      <c r="F75">
        <v>10</v>
      </c>
      <c r="G75">
        <v>1</v>
      </c>
      <c r="H75">
        <v>1</v>
      </c>
    </row>
    <row r="76" spans="1:5" ht="12.75">
      <c r="A76" t="s">
        <v>112</v>
      </c>
      <c r="E76" s="12" t="e">
        <f t="shared" si="0"/>
        <v>#DIV/0!</v>
      </c>
    </row>
    <row r="77" spans="1:5" ht="12.75">
      <c r="A77" t="s">
        <v>113</v>
      </c>
      <c r="E77" s="12" t="e">
        <f t="shared" si="0"/>
        <v>#DIV/0!</v>
      </c>
    </row>
    <row r="78" spans="1:5" ht="12.75">
      <c r="A78" t="s">
        <v>108</v>
      </c>
      <c r="E78" s="12" t="e">
        <f t="shared" si="0"/>
        <v>#DIV/0!</v>
      </c>
    </row>
    <row r="79" spans="1:5" ht="12.75">
      <c r="A79" t="s">
        <v>114</v>
      </c>
      <c r="E79" s="12" t="e">
        <f t="shared" si="0"/>
        <v>#DIV/0!</v>
      </c>
    </row>
    <row r="80" spans="1:5" ht="12.75">
      <c r="A80" t="s">
        <v>115</v>
      </c>
      <c r="E80" s="12" t="e">
        <f t="shared" si="0"/>
        <v>#DIV/0!</v>
      </c>
    </row>
    <row r="81" spans="1:5" ht="12.75">
      <c r="A81" t="s">
        <v>116</v>
      </c>
      <c r="E81" s="12" t="e">
        <f t="shared" si="0"/>
        <v>#DIV/0!</v>
      </c>
    </row>
    <row r="82" spans="1:5" ht="12.75">
      <c r="A82" t="s">
        <v>117</v>
      </c>
      <c r="E82" s="12" t="e">
        <f t="shared" si="0"/>
        <v>#DIV/0!</v>
      </c>
    </row>
    <row r="83" spans="1:5" ht="12.75">
      <c r="A83" t="s">
        <v>118</v>
      </c>
      <c r="E83" s="12" t="e">
        <f t="shared" si="0"/>
        <v>#DIV/0!</v>
      </c>
    </row>
    <row r="84" spans="1:5" ht="12.75">
      <c r="A84" t="s">
        <v>107</v>
      </c>
      <c r="E84" s="12" t="e">
        <f t="shared" si="0"/>
        <v>#DIV/0!</v>
      </c>
    </row>
    <row r="85" ht="12.75">
      <c r="E85" s="8"/>
    </row>
    <row r="86" spans="1:8" ht="12.75">
      <c r="A86" s="2" t="s">
        <v>52</v>
      </c>
      <c r="C86" s="3" t="s">
        <v>53</v>
      </c>
      <c r="D86" s="3" t="s">
        <v>48</v>
      </c>
      <c r="E86" s="15" t="s">
        <v>49</v>
      </c>
      <c r="F86" s="3" t="s">
        <v>50</v>
      </c>
      <c r="G86" s="3" t="s">
        <v>51</v>
      </c>
      <c r="H86" s="3" t="s">
        <v>80</v>
      </c>
    </row>
    <row r="87" spans="1:8" ht="12.75">
      <c r="A87" t="s">
        <v>107</v>
      </c>
      <c r="C87">
        <v>5</v>
      </c>
      <c r="D87">
        <v>118</v>
      </c>
      <c r="E87" s="12">
        <f aca="true" t="shared" si="1" ref="E87:E98">+D87/C87</f>
        <v>23.6</v>
      </c>
      <c r="F87">
        <v>34</v>
      </c>
      <c r="G87">
        <v>2</v>
      </c>
      <c r="H87">
        <v>0</v>
      </c>
    </row>
    <row r="88" spans="1:8" ht="12.75">
      <c r="A88" t="s">
        <v>119</v>
      </c>
      <c r="C88">
        <v>3</v>
      </c>
      <c r="D88">
        <v>34</v>
      </c>
      <c r="E88" s="12">
        <f t="shared" si="1"/>
        <v>11.333333333333334</v>
      </c>
      <c r="F88">
        <v>25</v>
      </c>
      <c r="G88">
        <v>0</v>
      </c>
      <c r="H88">
        <v>0</v>
      </c>
    </row>
    <row r="89" spans="1:8" ht="12.75">
      <c r="A89" t="s">
        <v>120</v>
      </c>
      <c r="C89">
        <v>3</v>
      </c>
      <c r="D89">
        <v>49</v>
      </c>
      <c r="E89" s="12">
        <f t="shared" si="1"/>
        <v>16.333333333333332</v>
      </c>
      <c r="F89">
        <v>29</v>
      </c>
      <c r="G89">
        <v>0</v>
      </c>
      <c r="H89">
        <v>0</v>
      </c>
    </row>
    <row r="90" spans="1:8" ht="12.75">
      <c r="A90" t="s">
        <v>110</v>
      </c>
      <c r="C90">
        <v>2</v>
      </c>
      <c r="D90">
        <v>10</v>
      </c>
      <c r="E90" s="12">
        <f t="shared" si="1"/>
        <v>5</v>
      </c>
      <c r="F90">
        <v>9</v>
      </c>
      <c r="G90">
        <v>0</v>
      </c>
      <c r="H90">
        <v>0</v>
      </c>
    </row>
    <row r="91" spans="1:8" ht="12.75">
      <c r="A91" t="s">
        <v>111</v>
      </c>
      <c r="C91">
        <v>1</v>
      </c>
      <c r="D91">
        <v>16</v>
      </c>
      <c r="E91" s="12">
        <f t="shared" si="1"/>
        <v>16</v>
      </c>
      <c r="F91">
        <v>16</v>
      </c>
      <c r="G91">
        <v>0</v>
      </c>
      <c r="H91">
        <v>0</v>
      </c>
    </row>
    <row r="92" spans="1:8" ht="12.75">
      <c r="A92" t="s">
        <v>116</v>
      </c>
      <c r="C92">
        <v>1</v>
      </c>
      <c r="D92">
        <v>4</v>
      </c>
      <c r="E92" s="12">
        <f t="shared" si="1"/>
        <v>4</v>
      </c>
      <c r="F92">
        <v>4</v>
      </c>
      <c r="G92">
        <v>0</v>
      </c>
      <c r="H92">
        <v>0</v>
      </c>
    </row>
    <row r="93" spans="1:8" ht="12.75">
      <c r="A93" t="s">
        <v>121</v>
      </c>
      <c r="C93">
        <v>1</v>
      </c>
      <c r="D93">
        <v>16</v>
      </c>
      <c r="E93" s="12">
        <f t="shared" si="1"/>
        <v>16</v>
      </c>
      <c r="F93">
        <v>16</v>
      </c>
      <c r="G93">
        <v>0</v>
      </c>
      <c r="H93">
        <v>0</v>
      </c>
    </row>
    <row r="94" spans="1:5" ht="12.75">
      <c r="A94" t="s">
        <v>122</v>
      </c>
      <c r="E94" s="12" t="e">
        <f t="shared" si="1"/>
        <v>#DIV/0!</v>
      </c>
    </row>
    <row r="95" spans="1:5" ht="12.75">
      <c r="A95" t="s">
        <v>115</v>
      </c>
      <c r="E95" s="12" t="e">
        <f t="shared" si="1"/>
        <v>#DIV/0!</v>
      </c>
    </row>
    <row r="96" spans="1:5" ht="12.75">
      <c r="A96" t="s">
        <v>123</v>
      </c>
      <c r="E96" s="12" t="e">
        <f t="shared" si="1"/>
        <v>#DIV/0!</v>
      </c>
    </row>
    <row r="97" spans="1:5" ht="12.75">
      <c r="A97" t="s">
        <v>113</v>
      </c>
      <c r="E97" s="12" t="e">
        <f t="shared" si="1"/>
        <v>#DIV/0!</v>
      </c>
    </row>
    <row r="98" spans="1:5" ht="12.75">
      <c r="A98" t="s">
        <v>114</v>
      </c>
      <c r="E98" s="12" t="e">
        <f t="shared" si="1"/>
        <v>#DIV/0!</v>
      </c>
    </row>
    <row r="99" ht="12.75">
      <c r="E99" s="8"/>
    </row>
    <row r="100" spans="1:13" ht="12.75">
      <c r="A100" s="2"/>
      <c r="B100" s="2"/>
      <c r="C100" s="3"/>
      <c r="D100" s="3"/>
      <c r="E100" s="15" t="s">
        <v>57</v>
      </c>
      <c r="F100" s="3" t="s">
        <v>58</v>
      </c>
      <c r="G100" s="3"/>
      <c r="H100" s="3"/>
      <c r="I100" s="3" t="s">
        <v>61</v>
      </c>
      <c r="J100" s="3" t="s">
        <v>63</v>
      </c>
      <c r="K100" s="3" t="s">
        <v>57</v>
      </c>
      <c r="L100" s="3" t="s">
        <v>49</v>
      </c>
      <c r="M100" s="3"/>
    </row>
    <row r="101" spans="1:14" ht="12.75">
      <c r="A101" s="2" t="s">
        <v>54</v>
      </c>
      <c r="B101" s="2"/>
      <c r="C101" s="3" t="s">
        <v>55</v>
      </c>
      <c r="D101" s="3" t="s">
        <v>56</v>
      </c>
      <c r="E101" s="15" t="s">
        <v>56</v>
      </c>
      <c r="F101" s="3" t="s">
        <v>59</v>
      </c>
      <c r="G101" s="3" t="s">
        <v>51</v>
      </c>
      <c r="H101" s="3" t="s">
        <v>60</v>
      </c>
      <c r="I101" s="5" t="s">
        <v>62</v>
      </c>
      <c r="J101" s="3" t="s">
        <v>51</v>
      </c>
      <c r="K101" s="3" t="s">
        <v>64</v>
      </c>
      <c r="L101" s="3" t="s">
        <v>65</v>
      </c>
      <c r="M101" s="3" t="s">
        <v>66</v>
      </c>
      <c r="N101" s="3" t="s">
        <v>80</v>
      </c>
    </row>
    <row r="102" spans="1:25" ht="12.75">
      <c r="A102" t="s">
        <v>113</v>
      </c>
      <c r="E102" s="12" t="e">
        <f>+D102/C102*100</f>
        <v>#DIV/0!</v>
      </c>
      <c r="J102" s="8" t="e">
        <f>+G102/C102*100</f>
        <v>#DIV/0!</v>
      </c>
      <c r="K102" s="12" t="e">
        <f>+I102/C102*100</f>
        <v>#DIV/0!</v>
      </c>
      <c r="L102" s="12" t="e">
        <f>+F102/C102</f>
        <v>#DIV/0!</v>
      </c>
      <c r="M102" s="12" t="e">
        <f>100*(S102+U102+W102+Y102)/6</f>
        <v>#DIV/0!</v>
      </c>
      <c r="R102" t="e">
        <f>+(E102-30)/20</f>
        <v>#DIV/0!</v>
      </c>
      <c r="S102" s="2" t="e">
        <f>IF(R102&lt;0,0,IF(R102&gt;2.375,2.375,R102))</f>
        <v>#DIV/0!</v>
      </c>
      <c r="T102" s="6" t="e">
        <f>+(L102-3)/4</f>
        <v>#DIV/0!</v>
      </c>
      <c r="U102" s="2" t="e">
        <f>IF(T102&lt;0,0,IF(T102&gt;2.375,2.375,T102))</f>
        <v>#DIV/0!</v>
      </c>
      <c r="V102" t="e">
        <f>+J102/5</f>
        <v>#DIV/0!</v>
      </c>
      <c r="W102" s="2" t="e">
        <f>IF(V102&lt;0,0,IF(V102&gt;2.375,2.375,V102))</f>
        <v>#DIV/0!</v>
      </c>
      <c r="X102" t="e">
        <f>(9.5-K102)/4</f>
        <v>#DIV/0!</v>
      </c>
      <c r="Y102" s="2" t="e">
        <f>IF(X102&lt;0,0,X102)</f>
        <v>#DIV/0!</v>
      </c>
    </row>
    <row r="103" spans="1:25" ht="12.75">
      <c r="A103" t="s">
        <v>112</v>
      </c>
      <c r="C103">
        <v>24</v>
      </c>
      <c r="D103">
        <v>16</v>
      </c>
      <c r="E103" s="12">
        <f>+D103/C103*100</f>
        <v>66.66666666666666</v>
      </c>
      <c r="F103">
        <v>247</v>
      </c>
      <c r="G103">
        <v>2</v>
      </c>
      <c r="H103">
        <v>34</v>
      </c>
      <c r="I103">
        <v>2</v>
      </c>
      <c r="J103" s="8">
        <f>+G103/C103*100</f>
        <v>8.333333333333332</v>
      </c>
      <c r="K103" s="12">
        <f>+I103/C103*100</f>
        <v>8.333333333333332</v>
      </c>
      <c r="L103" s="12">
        <f>+F103/C103</f>
        <v>10.291666666666666</v>
      </c>
      <c r="M103" s="12">
        <f>100*(S103+U103+W103+Y103)/6</f>
        <v>93.57638888888887</v>
      </c>
      <c r="R103">
        <f>+(E103-30)/20</f>
        <v>1.8333333333333328</v>
      </c>
      <c r="S103" s="2">
        <f>IF(R103&lt;0,0,IF(R103&gt;2.375,2.375,R103))</f>
        <v>1.8333333333333328</v>
      </c>
      <c r="T103" s="6">
        <f>+(L103-3)/4</f>
        <v>1.8229166666666665</v>
      </c>
      <c r="U103" s="2">
        <f>IF(T103&lt;0,0,IF(T103&gt;2.375,2.375,T103))</f>
        <v>1.8229166666666665</v>
      </c>
      <c r="V103">
        <f>+J103/5</f>
        <v>1.6666666666666665</v>
      </c>
      <c r="W103" s="2">
        <f>IF(V103&lt;0,0,IF(V103&gt;2.375,2.375,V103))</f>
        <v>1.6666666666666665</v>
      </c>
      <c r="X103">
        <f>(9.5-K103)/4</f>
        <v>0.29166666666666696</v>
      </c>
      <c r="Y103" s="2">
        <f>IF(X103&lt;0,0,X103)</f>
        <v>0.29166666666666696</v>
      </c>
    </row>
    <row r="104" spans="1:25" ht="12.75">
      <c r="A104" t="s">
        <v>118</v>
      </c>
      <c r="E104" s="12" t="e">
        <f>+D104/C104*100</f>
        <v>#DIV/0!</v>
      </c>
      <c r="J104" s="8" t="e">
        <f>+G104/C104*100</f>
        <v>#DIV/0!</v>
      </c>
      <c r="K104" s="12" t="e">
        <f>+I104/C104*100</f>
        <v>#DIV/0!</v>
      </c>
      <c r="L104" s="12" t="e">
        <f>+F104/C104</f>
        <v>#DIV/0!</v>
      </c>
      <c r="M104" s="12" t="e">
        <f>100*(S104+U104+W104+Y104)/6</f>
        <v>#DIV/0!</v>
      </c>
      <c r="R104" t="e">
        <f>+(E104-30)/20</f>
        <v>#DIV/0!</v>
      </c>
      <c r="S104" s="2" t="e">
        <f>IF(R104&lt;0,0,IF(R104&gt;2.375,2.375,R104))</f>
        <v>#DIV/0!</v>
      </c>
      <c r="T104" s="6" t="e">
        <f>+(L104-3)/4</f>
        <v>#DIV/0!</v>
      </c>
      <c r="U104" s="2" t="e">
        <f>IF(T104&lt;0,0,IF(T104&gt;2.375,2.375,T104))</f>
        <v>#DIV/0!</v>
      </c>
      <c r="V104" t="e">
        <f>+J104/5</f>
        <v>#DIV/0!</v>
      </c>
      <c r="W104" s="2" t="e">
        <f>IF(V104&lt;0,0,IF(V104&gt;2.375,2.375,V104))</f>
        <v>#DIV/0!</v>
      </c>
      <c r="X104" t="e">
        <f>(9.5-K104)/4</f>
        <v>#DIV/0!</v>
      </c>
      <c r="Y104" s="2" t="e">
        <f>IF(X104&lt;0,0,X104)</f>
        <v>#DIV/0!</v>
      </c>
    </row>
    <row r="105" spans="1:25" ht="12.75">
      <c r="A105" t="s">
        <v>116</v>
      </c>
      <c r="E105" s="12" t="e">
        <f>+D105/C105*100</f>
        <v>#DIV/0!</v>
      </c>
      <c r="J105" s="8" t="e">
        <f>+G105/C105*100</f>
        <v>#DIV/0!</v>
      </c>
      <c r="K105" s="12" t="e">
        <f>+I105/C105*100</f>
        <v>#DIV/0!</v>
      </c>
      <c r="L105" s="12" t="e">
        <f>+F105/C105</f>
        <v>#DIV/0!</v>
      </c>
      <c r="M105" s="12" t="e">
        <f>100*(S105+U105+W105+Y105)/6</f>
        <v>#DIV/0!</v>
      </c>
      <c r="R105" t="e">
        <f>+(E105-30)/20</f>
        <v>#DIV/0!</v>
      </c>
      <c r="S105" s="2" t="e">
        <f>IF(R105&lt;0,0,IF(R105&gt;2.375,2.375,R105))</f>
        <v>#DIV/0!</v>
      </c>
      <c r="T105" s="6" t="e">
        <f>+(L105-3)/4</f>
        <v>#DIV/0!</v>
      </c>
      <c r="U105" s="2" t="e">
        <f>IF(T105&lt;0,0,IF(T105&gt;2.375,2.375,T105))</f>
        <v>#DIV/0!</v>
      </c>
      <c r="V105" t="e">
        <f>+J105/5</f>
        <v>#DIV/0!</v>
      </c>
      <c r="W105" s="2" t="e">
        <f>IF(V105&lt;0,0,IF(V105&gt;2.375,2.375,V105))</f>
        <v>#DIV/0!</v>
      </c>
      <c r="X105" t="e">
        <f>(9.5-K105)/4</f>
        <v>#DIV/0!</v>
      </c>
      <c r="Y105" s="2" t="e">
        <f>IF(X105&lt;0,0,X105)</f>
        <v>#DIV/0!</v>
      </c>
    </row>
    <row r="106" spans="1:25" ht="12.75">
      <c r="A106" t="s">
        <v>107</v>
      </c>
      <c r="E106" s="12" t="e">
        <f>+D106/C106*100</f>
        <v>#DIV/0!</v>
      </c>
      <c r="J106" s="8" t="e">
        <f>+G106/C106*100</f>
        <v>#DIV/0!</v>
      </c>
      <c r="K106" s="12" t="e">
        <f>+I106/C106*100</f>
        <v>#DIV/0!</v>
      </c>
      <c r="L106" s="12" t="e">
        <f>+F106/C106</f>
        <v>#DIV/0!</v>
      </c>
      <c r="M106" s="12" t="e">
        <f>100*(S106+U106+W106+Y106)/6</f>
        <v>#DIV/0!</v>
      </c>
      <c r="R106" t="e">
        <f>+(E106-30)/20</f>
        <v>#DIV/0!</v>
      </c>
      <c r="S106" s="2" t="e">
        <f>IF(R106&lt;0,0,IF(R106&gt;2.375,2.375,R106))</f>
        <v>#DIV/0!</v>
      </c>
      <c r="T106" s="6" t="e">
        <f>+(L106-3)/4</f>
        <v>#DIV/0!</v>
      </c>
      <c r="U106" s="2" t="e">
        <f>IF(T106&lt;0,0,IF(T106&gt;2.375,2.375,T106))</f>
        <v>#DIV/0!</v>
      </c>
      <c r="V106" t="e">
        <f>+J106/5</f>
        <v>#DIV/0!</v>
      </c>
      <c r="W106" s="2" t="e">
        <f>IF(V106&lt;0,0,IF(V106&gt;2.375,2.375,V106))</f>
        <v>#DIV/0!</v>
      </c>
      <c r="X106" t="e">
        <f>(9.5-K106)/4</f>
        <v>#DIV/0!</v>
      </c>
      <c r="Y106" s="2" t="e">
        <f>IF(X106&lt;0,0,X106)</f>
        <v>#DIV/0!</v>
      </c>
    </row>
    <row r="109" spans="1:9" ht="12.75">
      <c r="A109" s="2" t="s">
        <v>67</v>
      </c>
      <c r="C109" s="3" t="s">
        <v>68</v>
      </c>
      <c r="D109" s="3" t="s">
        <v>69</v>
      </c>
      <c r="E109" s="3" t="s">
        <v>70</v>
      </c>
      <c r="F109" s="3" t="s">
        <v>49</v>
      </c>
      <c r="G109" s="3" t="s">
        <v>60</v>
      </c>
      <c r="H109" s="3" t="s">
        <v>51</v>
      </c>
      <c r="I109" s="3" t="s">
        <v>80</v>
      </c>
    </row>
    <row r="110" spans="1:9" ht="12.75">
      <c r="A110" t="s">
        <v>124</v>
      </c>
      <c r="C110">
        <v>1</v>
      </c>
      <c r="D110">
        <v>1</v>
      </c>
      <c r="E110">
        <v>1</v>
      </c>
      <c r="F110" s="12">
        <f>+E110/C110</f>
        <v>1</v>
      </c>
      <c r="G110">
        <v>1</v>
      </c>
      <c r="H110">
        <v>0</v>
      </c>
      <c r="I110">
        <v>0</v>
      </c>
    </row>
    <row r="111" spans="1:6" ht="12.75">
      <c r="A111" t="s">
        <v>123</v>
      </c>
      <c r="F111" s="12" t="e">
        <f>+E111/C111</f>
        <v>#DIV/0!</v>
      </c>
    </row>
    <row r="112" spans="1:6" ht="12.75">
      <c r="A112" t="s">
        <v>117</v>
      </c>
      <c r="F112" s="12" t="e">
        <f>+E112/C112</f>
        <v>#DIV/0!</v>
      </c>
    </row>
    <row r="114" spans="1:8" ht="12.75">
      <c r="A114" s="2" t="s">
        <v>30</v>
      </c>
      <c r="C114" s="3" t="s">
        <v>68</v>
      </c>
      <c r="D114" s="3" t="s">
        <v>70</v>
      </c>
      <c r="E114" s="3" t="s">
        <v>49</v>
      </c>
      <c r="F114" s="3" t="s">
        <v>60</v>
      </c>
      <c r="G114" s="3" t="s">
        <v>51</v>
      </c>
      <c r="H114" s="3" t="s">
        <v>80</v>
      </c>
    </row>
    <row r="115" spans="1:8" ht="12.75">
      <c r="A115" t="s">
        <v>114</v>
      </c>
      <c r="C115">
        <v>3</v>
      </c>
      <c r="D115">
        <v>0</v>
      </c>
      <c r="E115" s="12">
        <v>37</v>
      </c>
      <c r="F115">
        <v>16</v>
      </c>
      <c r="G115">
        <v>0</v>
      </c>
      <c r="H115">
        <v>0</v>
      </c>
    </row>
    <row r="116" spans="1:5" ht="12.75">
      <c r="A116" t="s">
        <v>125</v>
      </c>
      <c r="E116" s="12" t="e">
        <f>+D116/C116</f>
        <v>#DIV/0!</v>
      </c>
    </row>
    <row r="117" spans="1:8" ht="12.75">
      <c r="A117" t="s">
        <v>116</v>
      </c>
      <c r="C117">
        <v>2</v>
      </c>
      <c r="D117">
        <v>37</v>
      </c>
      <c r="E117" s="12">
        <f>+D117/C117</f>
        <v>18.5</v>
      </c>
      <c r="F117">
        <v>24</v>
      </c>
      <c r="G117">
        <v>0</v>
      </c>
      <c r="H117">
        <v>0</v>
      </c>
    </row>
    <row r="118" spans="1:5" ht="12.75">
      <c r="A118" t="s">
        <v>108</v>
      </c>
      <c r="E118" s="12" t="e">
        <f>+D118/C118</f>
        <v>#DIV/0!</v>
      </c>
    </row>
    <row r="119" spans="1:8" ht="12.75">
      <c r="A119" t="s">
        <v>115</v>
      </c>
      <c r="C119">
        <v>1</v>
      </c>
      <c r="D119">
        <v>16</v>
      </c>
      <c r="E119" s="12">
        <f>+D119/C119</f>
        <v>16</v>
      </c>
      <c r="F119">
        <v>16</v>
      </c>
      <c r="G119">
        <v>0</v>
      </c>
      <c r="H119">
        <v>0</v>
      </c>
    </row>
    <row r="120" spans="1:5" ht="12.75">
      <c r="A120" t="s">
        <v>121</v>
      </c>
      <c r="E120" s="12" t="e">
        <f>+D120/C120</f>
        <v>#DIV/0!</v>
      </c>
    </row>
    <row r="122" spans="1:7" ht="12.75">
      <c r="A122" s="2" t="s">
        <v>71</v>
      </c>
      <c r="C122" s="3" t="s">
        <v>68</v>
      </c>
      <c r="D122" s="3" t="s">
        <v>70</v>
      </c>
      <c r="E122" s="3" t="s">
        <v>49</v>
      </c>
      <c r="F122" s="3" t="s">
        <v>60</v>
      </c>
      <c r="G122" s="3" t="s">
        <v>72</v>
      </c>
    </row>
    <row r="123" spans="1:7" ht="12.75">
      <c r="A123" t="s">
        <v>126</v>
      </c>
      <c r="C123">
        <v>3</v>
      </c>
      <c r="D123">
        <v>125</v>
      </c>
      <c r="E123" s="12">
        <f>+D123/C123</f>
        <v>41.666666666666664</v>
      </c>
      <c r="F123">
        <v>48</v>
      </c>
      <c r="G123">
        <v>0</v>
      </c>
    </row>
    <row r="124" spans="1:5" ht="12.75">
      <c r="A124" t="s">
        <v>113</v>
      </c>
      <c r="E124" s="12" t="e">
        <f>+D124/C124</f>
        <v>#DIV/0!</v>
      </c>
    </row>
    <row r="125" ht="12.75">
      <c r="I125" s="5" t="s">
        <v>63</v>
      </c>
    </row>
    <row r="126" spans="1:10" ht="12.75">
      <c r="A126" s="4" t="s">
        <v>79</v>
      </c>
      <c r="C126" s="3" t="s">
        <v>73</v>
      </c>
      <c r="D126" s="3" t="s">
        <v>74</v>
      </c>
      <c r="E126" s="3" t="s">
        <v>75</v>
      </c>
      <c r="F126" s="3" t="s">
        <v>76</v>
      </c>
      <c r="G126" s="3" t="s">
        <v>77</v>
      </c>
      <c r="H126" s="3" t="s">
        <v>78</v>
      </c>
      <c r="I126" s="3" t="s">
        <v>82</v>
      </c>
      <c r="J126" s="3" t="s">
        <v>60</v>
      </c>
    </row>
    <row r="127" spans="1:10" ht="12.75">
      <c r="A127" t="s">
        <v>127</v>
      </c>
      <c r="C127">
        <v>5</v>
      </c>
      <c r="D127">
        <v>1</v>
      </c>
      <c r="E127">
        <v>4</v>
      </c>
      <c r="F127">
        <v>4</v>
      </c>
      <c r="G127">
        <v>0</v>
      </c>
      <c r="H127">
        <v>0</v>
      </c>
      <c r="I127" s="12">
        <v>0</v>
      </c>
      <c r="J127">
        <v>0</v>
      </c>
    </row>
    <row r="129" spans="1:8" ht="12.75">
      <c r="A129" s="2" t="s">
        <v>81</v>
      </c>
      <c r="C129" s="3" t="s">
        <v>68</v>
      </c>
      <c r="D129" s="3" t="s">
        <v>70</v>
      </c>
      <c r="E129" s="3" t="s">
        <v>49</v>
      </c>
      <c r="F129" s="3" t="s">
        <v>60</v>
      </c>
      <c r="G129" s="3" t="s">
        <v>51</v>
      </c>
      <c r="H129" s="3" t="s">
        <v>80</v>
      </c>
    </row>
    <row r="130" spans="1:8" ht="12.75">
      <c r="A130" t="s">
        <v>128</v>
      </c>
      <c r="C130">
        <v>1</v>
      </c>
      <c r="D130">
        <v>0</v>
      </c>
      <c r="E130" s="12">
        <f>+D130/C130</f>
        <v>0</v>
      </c>
      <c r="F130">
        <v>0</v>
      </c>
      <c r="G130">
        <v>0</v>
      </c>
      <c r="H130">
        <v>0</v>
      </c>
    </row>
    <row r="131" spans="1:5" ht="12.75">
      <c r="A131" t="s">
        <v>129</v>
      </c>
      <c r="E131" s="12" t="e">
        <f aca="true" t="shared" si="2" ref="E131:E138">+D131/C131</f>
        <v>#DIV/0!</v>
      </c>
    </row>
    <row r="132" spans="1:5" ht="12.75">
      <c r="A132" t="s">
        <v>130</v>
      </c>
      <c r="E132" s="12" t="e">
        <f t="shared" si="2"/>
        <v>#DIV/0!</v>
      </c>
    </row>
    <row r="133" spans="1:8" ht="12.75">
      <c r="A133" t="s">
        <v>124</v>
      </c>
      <c r="C133">
        <v>1</v>
      </c>
      <c r="D133">
        <v>7</v>
      </c>
      <c r="E133" s="12">
        <f t="shared" si="2"/>
        <v>7</v>
      </c>
      <c r="F133">
        <v>7</v>
      </c>
      <c r="G133">
        <v>0</v>
      </c>
      <c r="H133">
        <v>0</v>
      </c>
    </row>
    <row r="134" spans="1:5" ht="12.75">
      <c r="A134" t="s">
        <v>131</v>
      </c>
      <c r="E134" s="12" t="e">
        <f t="shared" si="2"/>
        <v>#DIV/0!</v>
      </c>
    </row>
    <row r="135" spans="1:5" ht="12.75">
      <c r="A135" t="s">
        <v>132</v>
      </c>
      <c r="E135" s="12" t="e">
        <f t="shared" si="2"/>
        <v>#DIV/0!</v>
      </c>
    </row>
    <row r="136" spans="1:5" ht="12.75">
      <c r="A136" t="s">
        <v>133</v>
      </c>
      <c r="E136" s="12" t="e">
        <f t="shared" si="2"/>
        <v>#DIV/0!</v>
      </c>
    </row>
    <row r="137" spans="1:5" ht="12.75">
      <c r="A137" t="s">
        <v>134</v>
      </c>
      <c r="E137" s="12" t="e">
        <f t="shared" si="2"/>
        <v>#DIV/0!</v>
      </c>
    </row>
    <row r="138" spans="1:5" ht="12.75">
      <c r="A138" t="s">
        <v>135</v>
      </c>
      <c r="E138" s="12" t="e">
        <f t="shared" si="2"/>
        <v>#DIV/0!</v>
      </c>
    </row>
    <row r="139" ht="12.75">
      <c r="A139" t="s">
        <v>136</v>
      </c>
    </row>
    <row r="141" spans="1:4" ht="12.75">
      <c r="A141" s="2" t="s">
        <v>90</v>
      </c>
      <c r="C141" s="3" t="s">
        <v>68</v>
      </c>
      <c r="D141" s="3"/>
    </row>
    <row r="142" ht="12.75">
      <c r="A142" t="s">
        <v>137</v>
      </c>
    </row>
    <row r="143" spans="1:3" ht="12.75">
      <c r="A143" t="s">
        <v>134</v>
      </c>
      <c r="C143">
        <v>1</v>
      </c>
    </row>
    <row r="144" ht="12.75">
      <c r="A144" t="s">
        <v>138</v>
      </c>
    </row>
    <row r="145" spans="1:3" ht="12.75">
      <c r="A145" t="s">
        <v>136</v>
      </c>
      <c r="C145">
        <v>1</v>
      </c>
    </row>
    <row r="146" spans="1:3" ht="12.75">
      <c r="A146" t="s">
        <v>139</v>
      </c>
      <c r="C146">
        <v>3</v>
      </c>
    </row>
    <row r="147" ht="12.75">
      <c r="A147" t="s">
        <v>135</v>
      </c>
    </row>
    <row r="148" ht="12.75">
      <c r="A148" t="s">
        <v>133</v>
      </c>
    </row>
    <row r="149" ht="12.75">
      <c r="A149" t="s">
        <v>140</v>
      </c>
    </row>
    <row r="150" ht="12.75">
      <c r="A150" t="s">
        <v>141</v>
      </c>
    </row>
    <row r="151" ht="12.75">
      <c r="A151" t="s">
        <v>142</v>
      </c>
    </row>
    <row r="152" ht="12.75">
      <c r="A152" t="s">
        <v>143</v>
      </c>
    </row>
    <row r="153" ht="12.75">
      <c r="A153" t="s">
        <v>124</v>
      </c>
    </row>
    <row r="154" ht="12.75">
      <c r="A154" t="s">
        <v>129</v>
      </c>
    </row>
    <row r="155" ht="12.75">
      <c r="A155" t="s">
        <v>132</v>
      </c>
    </row>
    <row r="156" ht="12.75">
      <c r="A156" t="s">
        <v>144</v>
      </c>
    </row>
    <row r="158" spans="4:14" ht="12.75">
      <c r="D158" s="2" t="s">
        <v>84</v>
      </c>
      <c r="E158" s="2" t="s">
        <v>85</v>
      </c>
      <c r="M158" s="2" t="s">
        <v>84</v>
      </c>
      <c r="N158" s="2" t="s">
        <v>85</v>
      </c>
    </row>
    <row r="159" spans="1:13" ht="12.75">
      <c r="A159" t="s">
        <v>93</v>
      </c>
      <c r="D159">
        <v>14</v>
      </c>
      <c r="H159" t="s">
        <v>93</v>
      </c>
      <c r="M159">
        <v>14</v>
      </c>
    </row>
    <row r="160" spans="1:13" ht="12.75">
      <c r="A160" t="s">
        <v>94</v>
      </c>
      <c r="D160">
        <v>7</v>
      </c>
      <c r="H160" t="s">
        <v>94</v>
      </c>
      <c r="M160">
        <v>4</v>
      </c>
    </row>
    <row r="161" spans="1:13" ht="12.75">
      <c r="A161" t="s">
        <v>95</v>
      </c>
      <c r="D161" s="8">
        <f>D160/D159*100</f>
        <v>50</v>
      </c>
      <c r="H161" t="s">
        <v>95</v>
      </c>
      <c r="M161" s="8">
        <f>+M160/M159*100</f>
        <v>28.57142857142857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2"/>
  </sheetPr>
  <dimension ref="A1:Y161"/>
  <sheetViews>
    <sheetView zoomScalePageLayoutView="0" workbookViewId="0" topLeftCell="A3">
      <selection activeCell="A73" sqref="A73:M147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109</v>
      </c>
      <c r="E1" s="2" t="s">
        <v>96</v>
      </c>
      <c r="F1" s="2" t="s">
        <v>97</v>
      </c>
    </row>
    <row r="2" ht="12.75">
      <c r="F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f>D7+D8+D9</f>
        <v>24</v>
      </c>
      <c r="H6" s="1" t="s">
        <v>29</v>
      </c>
      <c r="M6" s="2">
        <f>M7+M8+M9</f>
        <v>22</v>
      </c>
    </row>
    <row r="7" spans="1:13" ht="12.75">
      <c r="A7" s="1" t="s">
        <v>103</v>
      </c>
      <c r="D7" s="2">
        <v>5</v>
      </c>
      <c r="H7" s="1" t="s">
        <v>103</v>
      </c>
      <c r="M7" s="2">
        <v>9</v>
      </c>
    </row>
    <row r="8" spans="1:13" ht="12.75">
      <c r="A8" s="1" t="s">
        <v>105</v>
      </c>
      <c r="D8" s="2">
        <v>17</v>
      </c>
      <c r="H8" s="1" t="s">
        <v>105</v>
      </c>
      <c r="M8" s="2">
        <v>11</v>
      </c>
    </row>
    <row r="9" spans="1:13" ht="12.75">
      <c r="A9" s="1" t="s">
        <v>104</v>
      </c>
      <c r="D9" s="2">
        <v>2</v>
      </c>
      <c r="H9" s="1" t="s">
        <v>104</v>
      </c>
      <c r="M9" s="2">
        <v>2</v>
      </c>
    </row>
    <row r="11" spans="1:23" ht="12.75">
      <c r="A11" t="s">
        <v>1</v>
      </c>
      <c r="D11" s="2">
        <v>18</v>
      </c>
      <c r="H11" t="s">
        <v>1</v>
      </c>
      <c r="M11" s="2">
        <v>38</v>
      </c>
      <c r="V11">
        <f>+D11</f>
        <v>18</v>
      </c>
      <c r="W11">
        <f>+M11</f>
        <v>38</v>
      </c>
    </row>
    <row r="12" spans="1:23" ht="12.75">
      <c r="A12" t="s">
        <v>2</v>
      </c>
      <c r="D12" s="2">
        <v>73</v>
      </c>
      <c r="H12" t="s">
        <v>2</v>
      </c>
      <c r="M12" s="2">
        <v>162</v>
      </c>
      <c r="U12" s="13"/>
      <c r="V12">
        <f>+D16</f>
        <v>26</v>
      </c>
      <c r="W12">
        <f>+M16</f>
        <v>15</v>
      </c>
    </row>
    <row r="13" spans="1:23" ht="12.75">
      <c r="A13" s="1" t="s">
        <v>3</v>
      </c>
      <c r="D13" s="8">
        <f>+D12/D11</f>
        <v>4.055555555555555</v>
      </c>
      <c r="H13" s="1" t="s">
        <v>3</v>
      </c>
      <c r="M13" s="8">
        <f>+M12/M11</f>
        <v>4.2631578947368425</v>
      </c>
      <c r="V13">
        <f>+(D15-D16)/2</f>
        <v>6.5</v>
      </c>
      <c r="W13">
        <f>+(M15-M16)/2</f>
        <v>6.5</v>
      </c>
    </row>
    <row r="14" spans="22:23" ht="12.75">
      <c r="V14">
        <f>+D38/2</f>
        <v>2.5</v>
      </c>
      <c r="W14">
        <f>+M38/2</f>
        <v>3</v>
      </c>
    </row>
    <row r="15" spans="1:23" ht="12.75">
      <c r="A15" t="s">
        <v>4</v>
      </c>
      <c r="D15" s="2">
        <v>39</v>
      </c>
      <c r="H15" t="s">
        <v>4</v>
      </c>
      <c r="M15" s="2">
        <v>28</v>
      </c>
      <c r="V15">
        <f>+D42/2</f>
        <v>1</v>
      </c>
      <c r="W15">
        <f>+M42/2</f>
        <v>1</v>
      </c>
    </row>
    <row r="16" spans="1:23" ht="12.75">
      <c r="A16" t="s">
        <v>5</v>
      </c>
      <c r="D16" s="2">
        <v>26</v>
      </c>
      <c r="H16" t="s">
        <v>5</v>
      </c>
      <c r="M16" s="2">
        <v>15</v>
      </c>
      <c r="V16">
        <f>+D48/2</f>
        <v>1.5</v>
      </c>
      <c r="W16">
        <f>+M48/2</f>
        <v>2.5</v>
      </c>
    </row>
    <row r="17" spans="1:13" ht="12.75">
      <c r="A17" t="s">
        <v>6</v>
      </c>
      <c r="D17" s="8">
        <f>+D16/D15*100</f>
        <v>66.66666666666666</v>
      </c>
      <c r="H17" t="s">
        <v>6</v>
      </c>
      <c r="M17" s="8">
        <f>+M16/M15*100</f>
        <v>53.57142857142857</v>
      </c>
    </row>
    <row r="18" spans="1:24" ht="12.75">
      <c r="A18" t="s">
        <v>7</v>
      </c>
      <c r="D18" s="2">
        <v>361</v>
      </c>
      <c r="H18" t="s">
        <v>7</v>
      </c>
      <c r="M18" s="2">
        <v>241</v>
      </c>
      <c r="V18">
        <f>SUM(V11:V16)</f>
        <v>55.5</v>
      </c>
      <c r="W18">
        <f>SUM(W11:W16)</f>
        <v>66</v>
      </c>
      <c r="X18">
        <f>+W18+V18</f>
        <v>121.5</v>
      </c>
    </row>
    <row r="19" spans="1:23" ht="12.75">
      <c r="A19" t="s">
        <v>8</v>
      </c>
      <c r="D19" s="2">
        <v>4</v>
      </c>
      <c r="H19" t="s">
        <v>8</v>
      </c>
      <c r="M19" s="2">
        <v>3</v>
      </c>
      <c r="V19">
        <f>+V18/X18</f>
        <v>0.4567901234567901</v>
      </c>
      <c r="W19">
        <f>+W18/X18</f>
        <v>0.5432098765432098</v>
      </c>
    </row>
    <row r="20" spans="1:23" ht="12.75">
      <c r="A20" t="s">
        <v>9</v>
      </c>
      <c r="D20" s="2">
        <v>42</v>
      </c>
      <c r="H20" t="s">
        <v>9</v>
      </c>
      <c r="M20" s="2">
        <v>28</v>
      </c>
      <c r="V20">
        <f>+V19*60</f>
        <v>27.407407407407405</v>
      </c>
      <c r="W20">
        <f>+W19*60</f>
        <v>32.59259259259259</v>
      </c>
    </row>
    <row r="21" spans="1:23" ht="12.75">
      <c r="A21" t="s">
        <v>10</v>
      </c>
      <c r="D21">
        <f>+D18-D20</f>
        <v>319</v>
      </c>
      <c r="H21" t="s">
        <v>10</v>
      </c>
      <c r="M21">
        <f>+M18-M20</f>
        <v>213</v>
      </c>
      <c r="V21">
        <f>+V20-INT(V20)</f>
        <v>0.4074074074074048</v>
      </c>
      <c r="W21">
        <f>+W20-INT(W20)</f>
        <v>0.5925925925925881</v>
      </c>
    </row>
    <row r="22" spans="1:23" ht="12.75">
      <c r="A22" t="s">
        <v>11</v>
      </c>
      <c r="D22" s="7">
        <f>+D21/(D15+D19)</f>
        <v>7.4186046511627906</v>
      </c>
      <c r="H22" t="s">
        <v>11</v>
      </c>
      <c r="M22" s="7">
        <f>+M21/(M15+M19)</f>
        <v>6.870967741935484</v>
      </c>
      <c r="V22">
        <f>+V21*60</f>
        <v>24.444444444444287</v>
      </c>
      <c r="W22">
        <f>+W21*60</f>
        <v>35.55555555555529</v>
      </c>
    </row>
    <row r="23" spans="1:23" ht="12.75">
      <c r="A23" t="s">
        <v>12</v>
      </c>
      <c r="D23" s="7">
        <f>+D18/D16</f>
        <v>13.884615384615385</v>
      </c>
      <c r="H23" t="s">
        <v>12</v>
      </c>
      <c r="M23" s="7">
        <f>+M18/M16</f>
        <v>16.066666666666666</v>
      </c>
      <c r="U23">
        <v>0</v>
      </c>
      <c r="V23" s="11">
        <f>ROUND(V22,0)</f>
        <v>24</v>
      </c>
      <c r="W23">
        <f>ROUND(W22,0)</f>
        <v>36</v>
      </c>
    </row>
    <row r="24" spans="22:23" ht="12.75">
      <c r="V24">
        <f>INT(V20)</f>
        <v>27</v>
      </c>
      <c r="W24">
        <f>INT(W20)</f>
        <v>32</v>
      </c>
    </row>
    <row r="25" spans="1:23" ht="12.75">
      <c r="A25" t="s">
        <v>13</v>
      </c>
      <c r="H25" t="s">
        <v>13</v>
      </c>
      <c r="V25" t="s">
        <v>87</v>
      </c>
      <c r="W25" t="s">
        <v>87</v>
      </c>
    </row>
    <row r="26" spans="1:23" ht="12.75">
      <c r="A26" t="s">
        <v>14</v>
      </c>
      <c r="D26">
        <f>+D21+D12</f>
        <v>392</v>
      </c>
      <c r="H26" t="s">
        <v>14</v>
      </c>
      <c r="M26">
        <f>+M21+M12</f>
        <v>375</v>
      </c>
      <c r="V26" s="14" t="str">
        <f>+V24&amp;V25&amp;V23</f>
        <v>27:24</v>
      </c>
      <c r="W26" s="9" t="str">
        <f>+W24&amp;W25&amp;W23</f>
        <v>32:36</v>
      </c>
    </row>
    <row r="27" spans="1:23" ht="12.75">
      <c r="A27" t="s">
        <v>15</v>
      </c>
      <c r="D27" s="7">
        <f>+D12/D26*100</f>
        <v>18.622448979591837</v>
      </c>
      <c r="H27" t="s">
        <v>15</v>
      </c>
      <c r="M27" s="7">
        <f>+M12/M26*100</f>
        <v>43.2</v>
      </c>
      <c r="V27" s="9" t="str">
        <f>IF(V23&lt;10,+V24&amp;V25&amp;$U$23&amp;V23,+V24&amp;V25&amp;V23)</f>
        <v>27:24</v>
      </c>
      <c r="W27" s="9" t="str">
        <f>IF(W23&lt;10,+W24&amp;W25&amp;$U$23&amp;W23,+W24&amp;W25&amp;W23)</f>
        <v>32:36</v>
      </c>
    </row>
    <row r="28" spans="1:13" ht="12.75">
      <c r="A28" s="1" t="s">
        <v>86</v>
      </c>
      <c r="D28" s="7">
        <f>+D21/D26*100</f>
        <v>81.37755102040816</v>
      </c>
      <c r="H28" s="1" t="s">
        <v>86</v>
      </c>
      <c r="M28" s="7">
        <f>+M21/M26*100</f>
        <v>56.8</v>
      </c>
    </row>
    <row r="30" spans="1:13" ht="12.75">
      <c r="A30" t="s">
        <v>16</v>
      </c>
      <c r="D30">
        <f>+D11+D15+D19</f>
        <v>61</v>
      </c>
      <c r="H30" t="s">
        <v>16</v>
      </c>
      <c r="M30">
        <f>+M11+M15+M19</f>
        <v>69</v>
      </c>
    </row>
    <row r="31" spans="1:13" ht="12.75">
      <c r="A31" t="s">
        <v>17</v>
      </c>
      <c r="D31" s="8">
        <f>+D26/D30</f>
        <v>6.426229508196721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5.434782608695652</v>
      </c>
    </row>
    <row r="33" spans="1:8" ht="12.75">
      <c r="A33" t="s">
        <v>18</v>
      </c>
      <c r="H33" t="s">
        <v>18</v>
      </c>
    </row>
    <row r="34" spans="1:13" ht="12.75">
      <c r="A34" t="s">
        <v>19</v>
      </c>
      <c r="D34" s="2">
        <v>1</v>
      </c>
      <c r="H34" t="s">
        <v>19</v>
      </c>
      <c r="M34" s="2">
        <v>1</v>
      </c>
    </row>
    <row r="35" spans="1:13" ht="12.75">
      <c r="A35" t="s">
        <v>20</v>
      </c>
      <c r="D35" s="2">
        <v>0</v>
      </c>
      <c r="H35" t="s">
        <v>20</v>
      </c>
      <c r="M35" s="2">
        <v>0</v>
      </c>
    </row>
    <row r="36" spans="1:13" ht="12.75">
      <c r="A36" t="s">
        <v>21</v>
      </c>
      <c r="D36" s="2">
        <v>0</v>
      </c>
      <c r="H36" t="s">
        <v>21</v>
      </c>
      <c r="M36" s="2">
        <v>0</v>
      </c>
    </row>
    <row r="38" spans="1:13" ht="12.75">
      <c r="A38" t="s">
        <v>22</v>
      </c>
      <c r="D38" s="2">
        <v>5</v>
      </c>
      <c r="H38" t="s">
        <v>22</v>
      </c>
      <c r="M38" s="2">
        <v>6</v>
      </c>
    </row>
    <row r="39" spans="1:13" ht="12.75">
      <c r="A39" t="s">
        <v>23</v>
      </c>
      <c r="D39" s="2">
        <v>203</v>
      </c>
      <c r="H39" t="s">
        <v>23</v>
      </c>
      <c r="M39" s="2">
        <v>242</v>
      </c>
    </row>
    <row r="40" spans="1:13" ht="12.75">
      <c r="A40" t="s">
        <v>24</v>
      </c>
      <c r="D40" s="8">
        <f>+D39/D38</f>
        <v>40.6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40.333333333333336</v>
      </c>
    </row>
    <row r="42" spans="1:13" ht="12.75">
      <c r="A42" t="s">
        <v>25</v>
      </c>
      <c r="D42" s="2">
        <v>2</v>
      </c>
      <c r="H42" t="s">
        <v>25</v>
      </c>
      <c r="M42" s="2">
        <v>2</v>
      </c>
    </row>
    <row r="43" spans="1:13" ht="12.75">
      <c r="A43" t="s">
        <v>26</v>
      </c>
      <c r="D43" s="2">
        <v>18</v>
      </c>
      <c r="H43" t="s">
        <v>26</v>
      </c>
      <c r="M43" s="2">
        <v>14</v>
      </c>
    </row>
    <row r="44" spans="1:13" ht="12.75">
      <c r="A44" t="s">
        <v>27</v>
      </c>
      <c r="D44" s="8">
        <f>+D43/D42</f>
        <v>9</v>
      </c>
      <c r="H44" t="s">
        <v>27</v>
      </c>
      <c r="M44" s="8">
        <f>+M43/M42</f>
        <v>7</v>
      </c>
    </row>
    <row r="45" spans="1:13" ht="12.75">
      <c r="A45" t="s">
        <v>106</v>
      </c>
      <c r="D45" s="2">
        <v>1</v>
      </c>
      <c r="H45" t="s">
        <v>106</v>
      </c>
      <c r="M45" s="2">
        <v>2</v>
      </c>
    </row>
    <row r="46" spans="1:13" ht="12.75">
      <c r="A46" t="s">
        <v>28</v>
      </c>
      <c r="D46" s="2">
        <v>0</v>
      </c>
      <c r="H46" t="s">
        <v>28</v>
      </c>
      <c r="M46" s="2">
        <v>0</v>
      </c>
    </row>
    <row r="48" spans="1:13" ht="12.75">
      <c r="A48" t="s">
        <v>30</v>
      </c>
      <c r="D48" s="2">
        <v>3</v>
      </c>
      <c r="H48" t="s">
        <v>30</v>
      </c>
      <c r="M48" s="2">
        <v>5</v>
      </c>
    </row>
    <row r="49" spans="1:13" ht="12.75">
      <c r="A49" t="s">
        <v>26</v>
      </c>
      <c r="D49" s="2">
        <v>37</v>
      </c>
      <c r="H49" t="s">
        <v>26</v>
      </c>
      <c r="M49" s="2">
        <v>162</v>
      </c>
    </row>
    <row r="50" spans="1:13" ht="12.75">
      <c r="A50" t="s">
        <v>27</v>
      </c>
      <c r="D50" s="8">
        <f>+D49/D48</f>
        <v>12.333333333333334</v>
      </c>
      <c r="H50" t="s">
        <v>27</v>
      </c>
      <c r="M50" s="8">
        <f>+M49/M48</f>
        <v>32.4</v>
      </c>
    </row>
    <row r="51" spans="1:13" ht="12.75">
      <c r="A51" t="s">
        <v>28</v>
      </c>
      <c r="D51" s="2">
        <v>0</v>
      </c>
      <c r="H51" t="s">
        <v>28</v>
      </c>
      <c r="M51" s="2">
        <v>1</v>
      </c>
    </row>
    <row r="53" spans="1:13" ht="12.75">
      <c r="A53" t="s">
        <v>31</v>
      </c>
      <c r="D53" s="2">
        <v>4</v>
      </c>
      <c r="H53" t="s">
        <v>31</v>
      </c>
      <c r="M53" s="2">
        <v>12</v>
      </c>
    </row>
    <row r="54" spans="1:13" ht="12.75">
      <c r="A54" t="s">
        <v>32</v>
      </c>
      <c r="D54" s="2">
        <v>30</v>
      </c>
      <c r="H54" t="s">
        <v>32</v>
      </c>
      <c r="M54" s="2">
        <v>110</v>
      </c>
    </row>
    <row r="56" spans="1:13" ht="12.75">
      <c r="A56" t="s">
        <v>33</v>
      </c>
      <c r="D56" s="2">
        <v>1</v>
      </c>
      <c r="H56" t="s">
        <v>33</v>
      </c>
      <c r="M56" s="2">
        <v>0</v>
      </c>
    </row>
    <row r="57" spans="1:13" ht="12.75">
      <c r="A57" t="s">
        <v>101</v>
      </c>
      <c r="D57" s="2">
        <v>1</v>
      </c>
      <c r="H57" t="s">
        <v>101</v>
      </c>
      <c r="M57" s="2">
        <v>0</v>
      </c>
    </row>
    <row r="59" spans="1:13" ht="12.75">
      <c r="A59" t="s">
        <v>34</v>
      </c>
      <c r="D59" s="2">
        <v>23</v>
      </c>
      <c r="H59" t="s">
        <v>34</v>
      </c>
      <c r="M59" s="2">
        <v>27</v>
      </c>
    </row>
    <row r="60" spans="1:13" ht="12.75">
      <c r="A60" t="s">
        <v>35</v>
      </c>
      <c r="D60" s="2">
        <v>3</v>
      </c>
      <c r="H60" t="s">
        <v>35</v>
      </c>
      <c r="M60" s="2">
        <v>3</v>
      </c>
    </row>
    <row r="61" spans="1:13" ht="12.75">
      <c r="A61" t="s">
        <v>36</v>
      </c>
      <c r="D61" s="2">
        <v>0</v>
      </c>
      <c r="H61" t="s">
        <v>36</v>
      </c>
      <c r="M61" s="2">
        <v>2</v>
      </c>
    </row>
    <row r="62" spans="1:13" ht="12.75">
      <c r="A62" t="s">
        <v>37</v>
      </c>
      <c r="D62" s="2">
        <v>3</v>
      </c>
      <c r="H62" t="s">
        <v>37</v>
      </c>
      <c r="M62" s="2">
        <v>0</v>
      </c>
    </row>
    <row r="63" spans="1:13" ht="12.75">
      <c r="A63" t="s">
        <v>38</v>
      </c>
      <c r="D63" s="2">
        <v>0</v>
      </c>
      <c r="H63" t="s">
        <v>38</v>
      </c>
      <c r="M63" s="2">
        <v>1</v>
      </c>
    </row>
    <row r="64" spans="1:13" ht="12.75">
      <c r="A64" t="s">
        <v>39</v>
      </c>
      <c r="D64" s="2">
        <v>2</v>
      </c>
      <c r="H64" t="s">
        <v>39</v>
      </c>
      <c r="M64" s="2">
        <v>3</v>
      </c>
    </row>
    <row r="65" spans="1:13" ht="12.75">
      <c r="A65" t="s">
        <v>40</v>
      </c>
      <c r="D65" s="2">
        <v>0</v>
      </c>
      <c r="H65" t="s">
        <v>40</v>
      </c>
      <c r="M65" s="2">
        <v>0</v>
      </c>
    </row>
    <row r="66" spans="1:13" ht="12.75">
      <c r="A66" t="s">
        <v>41</v>
      </c>
      <c r="D66" s="2">
        <v>1</v>
      </c>
      <c r="H66" t="s">
        <v>41</v>
      </c>
      <c r="M66" s="2">
        <v>2</v>
      </c>
    </row>
    <row r="67" spans="1:13" ht="12.75">
      <c r="A67" t="s">
        <v>42</v>
      </c>
      <c r="D67" s="2">
        <v>1</v>
      </c>
      <c r="H67" t="s">
        <v>42</v>
      </c>
      <c r="M67" s="2">
        <v>2</v>
      </c>
    </row>
    <row r="68" spans="1:13" ht="12.75">
      <c r="A68" t="s">
        <v>43</v>
      </c>
      <c r="D68" s="8">
        <f>+D66/D67*100</f>
        <v>100</v>
      </c>
      <c r="E68" s="7"/>
      <c r="F68" s="7"/>
      <c r="G68" s="7"/>
      <c r="H68" s="7" t="s">
        <v>43</v>
      </c>
      <c r="I68" s="7"/>
      <c r="J68" s="7"/>
      <c r="K68" s="7"/>
      <c r="L68" s="7"/>
      <c r="M68" s="7">
        <f>+M66/M67*100</f>
        <v>100</v>
      </c>
    </row>
    <row r="69" spans="1:13" ht="12.75">
      <c r="A69" t="s">
        <v>89</v>
      </c>
      <c r="D69" s="10" t="str">
        <f>IF(V23&lt;10,V27,V26)</f>
        <v>27:24</v>
      </c>
      <c r="E69" s="8"/>
      <c r="F69" s="8"/>
      <c r="H69" t="s">
        <v>89</v>
      </c>
      <c r="M69" s="10" t="str">
        <f>IF(W23&lt;10,W27,W26)</f>
        <v>32:36</v>
      </c>
    </row>
    <row r="70" spans="1:13" ht="12.75">
      <c r="A70" t="s">
        <v>102</v>
      </c>
      <c r="D70" s="23">
        <f>D161</f>
        <v>40</v>
      </c>
      <c r="E70" s="8"/>
      <c r="F70" s="8"/>
      <c r="H70" t="s">
        <v>102</v>
      </c>
      <c r="M70" s="23">
        <f>M161</f>
        <v>47.05882352941176</v>
      </c>
    </row>
    <row r="72" ht="12.75">
      <c r="A72" t="s">
        <v>45</v>
      </c>
    </row>
    <row r="73" spans="1:8" ht="12.75">
      <c r="A73" s="2" t="s">
        <v>46</v>
      </c>
      <c r="B73" s="2"/>
      <c r="C73" s="3" t="s">
        <v>47</v>
      </c>
      <c r="D73" s="3" t="s">
        <v>48</v>
      </c>
      <c r="E73" s="3" t="s">
        <v>49</v>
      </c>
      <c r="F73" s="3" t="s">
        <v>50</v>
      </c>
      <c r="G73" s="3" t="s">
        <v>51</v>
      </c>
      <c r="H73" s="3" t="s">
        <v>80</v>
      </c>
    </row>
    <row r="74" spans="1:8" ht="12.75">
      <c r="A74" t="s">
        <v>110</v>
      </c>
      <c r="C74">
        <v>13</v>
      </c>
      <c r="D74">
        <v>54</v>
      </c>
      <c r="E74" s="12">
        <f aca="true" t="shared" si="0" ref="E74:E84">+D74/C74</f>
        <v>4.153846153846154</v>
      </c>
      <c r="F74">
        <v>12</v>
      </c>
      <c r="G74">
        <v>0</v>
      </c>
      <c r="H74">
        <v>0</v>
      </c>
    </row>
    <row r="75" spans="1:8" ht="12.75">
      <c r="A75" t="s">
        <v>111</v>
      </c>
      <c r="C75">
        <v>1</v>
      </c>
      <c r="D75">
        <v>4</v>
      </c>
      <c r="E75" s="12">
        <f t="shared" si="0"/>
        <v>4</v>
      </c>
      <c r="F75">
        <v>4</v>
      </c>
      <c r="G75">
        <v>0</v>
      </c>
      <c r="H75">
        <v>0</v>
      </c>
    </row>
    <row r="76" spans="1:5" ht="12.75">
      <c r="A76" t="s">
        <v>112</v>
      </c>
      <c r="E76" s="12" t="e">
        <f t="shared" si="0"/>
        <v>#DIV/0!</v>
      </c>
    </row>
    <row r="77" spans="1:8" ht="12.75">
      <c r="A77" t="s">
        <v>113</v>
      </c>
      <c r="C77">
        <v>2</v>
      </c>
      <c r="D77">
        <v>6</v>
      </c>
      <c r="E77" s="12">
        <f t="shared" si="0"/>
        <v>3</v>
      </c>
      <c r="F77">
        <v>4</v>
      </c>
      <c r="G77">
        <v>0</v>
      </c>
      <c r="H77">
        <v>0</v>
      </c>
    </row>
    <row r="78" spans="1:5" ht="12.75">
      <c r="A78" t="s">
        <v>108</v>
      </c>
      <c r="E78" s="12" t="e">
        <f t="shared" si="0"/>
        <v>#DIV/0!</v>
      </c>
    </row>
    <row r="79" spans="1:8" ht="12.75">
      <c r="A79" t="s">
        <v>114</v>
      </c>
      <c r="C79">
        <v>2</v>
      </c>
      <c r="D79">
        <v>9</v>
      </c>
      <c r="E79" s="12">
        <f t="shared" si="0"/>
        <v>4.5</v>
      </c>
      <c r="F79">
        <v>5</v>
      </c>
      <c r="G79">
        <v>0</v>
      </c>
      <c r="H79">
        <v>0</v>
      </c>
    </row>
    <row r="80" spans="1:5" ht="12.75">
      <c r="A80" t="s">
        <v>115</v>
      </c>
      <c r="E80" s="12" t="e">
        <f t="shared" si="0"/>
        <v>#DIV/0!</v>
      </c>
    </row>
    <row r="81" spans="1:5" ht="12.75">
      <c r="A81" t="s">
        <v>116</v>
      </c>
      <c r="E81" s="12" t="e">
        <f t="shared" si="0"/>
        <v>#DIV/0!</v>
      </c>
    </row>
    <row r="82" spans="1:5" ht="12.75">
      <c r="A82" t="s">
        <v>117</v>
      </c>
      <c r="E82" s="12" t="e">
        <f t="shared" si="0"/>
        <v>#DIV/0!</v>
      </c>
    </row>
    <row r="83" spans="1:5" ht="12.75">
      <c r="A83" t="s">
        <v>118</v>
      </c>
      <c r="E83" s="12" t="e">
        <f t="shared" si="0"/>
        <v>#DIV/0!</v>
      </c>
    </row>
    <row r="84" spans="1:5" ht="12.75">
      <c r="A84" t="s">
        <v>107</v>
      </c>
      <c r="E84" s="12" t="e">
        <f t="shared" si="0"/>
        <v>#DIV/0!</v>
      </c>
    </row>
    <row r="85" ht="12.75">
      <c r="E85" s="8"/>
    </row>
    <row r="86" spans="1:8" ht="12.75">
      <c r="A86" s="2" t="s">
        <v>52</v>
      </c>
      <c r="C86" s="3" t="s">
        <v>53</v>
      </c>
      <c r="D86" s="3" t="s">
        <v>48</v>
      </c>
      <c r="E86" s="15" t="s">
        <v>49</v>
      </c>
      <c r="F86" s="3" t="s">
        <v>50</v>
      </c>
      <c r="G86" s="3" t="s">
        <v>51</v>
      </c>
      <c r="H86" s="3" t="s">
        <v>80</v>
      </c>
    </row>
    <row r="87" spans="1:8" ht="12.75">
      <c r="A87" t="s">
        <v>107</v>
      </c>
      <c r="C87">
        <v>6</v>
      </c>
      <c r="D87">
        <v>83</v>
      </c>
      <c r="E87" s="12">
        <f aca="true" t="shared" si="1" ref="E87:E98">+D87/C87</f>
        <v>13.833333333333334</v>
      </c>
      <c r="F87">
        <v>22</v>
      </c>
      <c r="G87">
        <v>1</v>
      </c>
      <c r="H87">
        <v>0</v>
      </c>
    </row>
    <row r="88" spans="1:8" ht="12.75">
      <c r="A88" t="s">
        <v>119</v>
      </c>
      <c r="C88">
        <v>4</v>
      </c>
      <c r="D88">
        <v>31</v>
      </c>
      <c r="E88" s="12">
        <f t="shared" si="1"/>
        <v>7.75</v>
      </c>
      <c r="F88">
        <v>10</v>
      </c>
      <c r="G88">
        <v>0</v>
      </c>
      <c r="H88">
        <v>0</v>
      </c>
    </row>
    <row r="89" spans="1:8" ht="12.75">
      <c r="A89" t="s">
        <v>120</v>
      </c>
      <c r="C89">
        <v>3</v>
      </c>
      <c r="D89">
        <v>91</v>
      </c>
      <c r="E89" s="12">
        <f t="shared" si="1"/>
        <v>30.333333333333332</v>
      </c>
      <c r="F89">
        <v>36</v>
      </c>
      <c r="G89">
        <v>1</v>
      </c>
      <c r="H89">
        <v>0</v>
      </c>
    </row>
    <row r="90" spans="1:8" ht="12.75">
      <c r="A90" t="s">
        <v>110</v>
      </c>
      <c r="C90">
        <v>8</v>
      </c>
      <c r="D90">
        <v>80</v>
      </c>
      <c r="E90" s="12">
        <f t="shared" si="1"/>
        <v>10</v>
      </c>
      <c r="F90">
        <v>22</v>
      </c>
      <c r="G90">
        <v>1</v>
      </c>
      <c r="H90">
        <v>0</v>
      </c>
    </row>
    <row r="91" spans="1:8" ht="12.75">
      <c r="A91" t="s">
        <v>111</v>
      </c>
      <c r="C91">
        <v>3</v>
      </c>
      <c r="D91">
        <v>35</v>
      </c>
      <c r="E91" s="12">
        <f t="shared" si="1"/>
        <v>11.666666666666666</v>
      </c>
      <c r="F91">
        <v>17</v>
      </c>
      <c r="G91">
        <v>0</v>
      </c>
      <c r="H91">
        <v>0</v>
      </c>
    </row>
    <row r="92" spans="1:5" ht="12.75">
      <c r="A92" t="s">
        <v>116</v>
      </c>
      <c r="E92" s="12" t="e">
        <f t="shared" si="1"/>
        <v>#DIV/0!</v>
      </c>
    </row>
    <row r="93" spans="1:8" ht="12.75">
      <c r="A93" t="s">
        <v>121</v>
      </c>
      <c r="C93">
        <v>2</v>
      </c>
      <c r="D93">
        <v>41</v>
      </c>
      <c r="E93" s="12">
        <f t="shared" si="1"/>
        <v>20.5</v>
      </c>
      <c r="F93">
        <v>34</v>
      </c>
      <c r="G93">
        <v>0</v>
      </c>
      <c r="H93">
        <v>0</v>
      </c>
    </row>
    <row r="94" spans="1:5" ht="12.75">
      <c r="A94" t="s">
        <v>122</v>
      </c>
      <c r="E94" s="12" t="e">
        <f t="shared" si="1"/>
        <v>#DIV/0!</v>
      </c>
    </row>
    <row r="95" spans="1:5" ht="12.75">
      <c r="A95" t="s">
        <v>115</v>
      </c>
      <c r="E95" s="12" t="e">
        <f t="shared" si="1"/>
        <v>#DIV/0!</v>
      </c>
    </row>
    <row r="96" spans="1:5" ht="12.75">
      <c r="A96" t="s">
        <v>123</v>
      </c>
      <c r="E96" s="12" t="e">
        <f t="shared" si="1"/>
        <v>#DIV/0!</v>
      </c>
    </row>
    <row r="97" spans="1:5" ht="12.75">
      <c r="A97" t="s">
        <v>113</v>
      </c>
      <c r="E97" s="12" t="e">
        <f t="shared" si="1"/>
        <v>#DIV/0!</v>
      </c>
    </row>
    <row r="98" spans="1:5" ht="12.75">
      <c r="A98" t="s">
        <v>114</v>
      </c>
      <c r="E98" s="12" t="e">
        <f t="shared" si="1"/>
        <v>#DIV/0!</v>
      </c>
    </row>
    <row r="99" ht="12.75">
      <c r="E99" s="8"/>
    </row>
    <row r="100" spans="1:13" ht="12.75">
      <c r="A100" s="2"/>
      <c r="B100" s="2"/>
      <c r="C100" s="3"/>
      <c r="D100" s="3"/>
      <c r="E100" s="15" t="s">
        <v>57</v>
      </c>
      <c r="F100" s="3" t="s">
        <v>58</v>
      </c>
      <c r="G100" s="3"/>
      <c r="H100" s="3"/>
      <c r="I100" s="3" t="s">
        <v>61</v>
      </c>
      <c r="J100" s="3" t="s">
        <v>63</v>
      </c>
      <c r="K100" s="3" t="s">
        <v>57</v>
      </c>
      <c r="L100" s="3" t="s">
        <v>49</v>
      </c>
      <c r="M100" s="3"/>
    </row>
    <row r="101" spans="1:14" ht="12.75">
      <c r="A101" s="2" t="s">
        <v>54</v>
      </c>
      <c r="B101" s="2"/>
      <c r="C101" s="3" t="s">
        <v>55</v>
      </c>
      <c r="D101" s="3" t="s">
        <v>56</v>
      </c>
      <c r="E101" s="15" t="s">
        <v>56</v>
      </c>
      <c r="F101" s="3" t="s">
        <v>59</v>
      </c>
      <c r="G101" s="3" t="s">
        <v>51</v>
      </c>
      <c r="H101" s="3" t="s">
        <v>60</v>
      </c>
      <c r="I101" s="5" t="s">
        <v>62</v>
      </c>
      <c r="J101" s="3" t="s">
        <v>51</v>
      </c>
      <c r="K101" s="3" t="s">
        <v>64</v>
      </c>
      <c r="L101" s="3" t="s">
        <v>65</v>
      </c>
      <c r="M101" s="3" t="s">
        <v>66</v>
      </c>
      <c r="N101" s="3" t="s">
        <v>80</v>
      </c>
    </row>
    <row r="102" spans="1:25" ht="12.75">
      <c r="A102" t="s">
        <v>113</v>
      </c>
      <c r="C102">
        <v>39</v>
      </c>
      <c r="D102">
        <v>26</v>
      </c>
      <c r="E102" s="12">
        <f>+D102/C102*100</f>
        <v>66.66666666666666</v>
      </c>
      <c r="F102">
        <v>361</v>
      </c>
      <c r="G102">
        <v>3</v>
      </c>
      <c r="H102">
        <v>36</v>
      </c>
      <c r="I102">
        <v>1</v>
      </c>
      <c r="J102" s="8">
        <f>+G102/C102*100</f>
        <v>7.6923076923076925</v>
      </c>
      <c r="K102" s="12">
        <f>+I102/C102*100</f>
        <v>2.564102564102564</v>
      </c>
      <c r="L102" s="12">
        <f>+F102/C102</f>
        <v>9.256410256410257</v>
      </c>
      <c r="M102" s="12">
        <f>100*(S102+U102+W102+Y102)/6</f>
        <v>111.1645299145299</v>
      </c>
      <c r="R102">
        <f>+(E102-30)/20</f>
        <v>1.8333333333333328</v>
      </c>
      <c r="S102" s="2">
        <f>IF(R102&lt;0,0,IF(R102&gt;2.375,2.375,R102))</f>
        <v>1.8333333333333328</v>
      </c>
      <c r="T102" s="6">
        <f>+(L102-3)/4</f>
        <v>1.5641025641025643</v>
      </c>
      <c r="U102" s="2">
        <f>IF(T102&lt;0,0,IF(T102&gt;2.375,2.375,T102))</f>
        <v>1.5641025641025643</v>
      </c>
      <c r="V102">
        <f>+J102/5</f>
        <v>1.5384615384615385</v>
      </c>
      <c r="W102" s="2">
        <f>IF(V102&lt;0,0,IF(V102&gt;2.375,2.375,V102))</f>
        <v>1.5384615384615385</v>
      </c>
      <c r="X102">
        <f>(9.5-K102)/4</f>
        <v>1.733974358974359</v>
      </c>
      <c r="Y102" s="2">
        <f>IF(X102&lt;0,0,X102)</f>
        <v>1.733974358974359</v>
      </c>
    </row>
    <row r="103" spans="1:25" ht="12.75">
      <c r="A103" t="s">
        <v>112</v>
      </c>
      <c r="E103" s="12" t="e">
        <f>+D103/C103*100</f>
        <v>#DIV/0!</v>
      </c>
      <c r="J103" s="8" t="e">
        <f>+G103/C103*100</f>
        <v>#DIV/0!</v>
      </c>
      <c r="K103" s="12" t="e">
        <f>+I103/C103*100</f>
        <v>#DIV/0!</v>
      </c>
      <c r="L103" s="12" t="e">
        <f>+F103/C103</f>
        <v>#DIV/0!</v>
      </c>
      <c r="M103" s="12" t="e">
        <f>100*(S103+U103+W103+Y103)/6</f>
        <v>#DIV/0!</v>
      </c>
      <c r="R103" t="e">
        <f>+(E103-30)/20</f>
        <v>#DIV/0!</v>
      </c>
      <c r="S103" s="2" t="e">
        <f>IF(R103&lt;0,0,IF(R103&gt;2.375,2.375,R103))</f>
        <v>#DIV/0!</v>
      </c>
      <c r="T103" s="6" t="e">
        <f>+(L103-3)/4</f>
        <v>#DIV/0!</v>
      </c>
      <c r="U103" s="2" t="e">
        <f>IF(T103&lt;0,0,IF(T103&gt;2.375,2.375,T103))</f>
        <v>#DIV/0!</v>
      </c>
      <c r="V103" t="e">
        <f>+J103/5</f>
        <v>#DIV/0!</v>
      </c>
      <c r="W103" s="2" t="e">
        <f>IF(V103&lt;0,0,IF(V103&gt;2.375,2.375,V103))</f>
        <v>#DIV/0!</v>
      </c>
      <c r="X103" t="e">
        <f>(9.5-K103)/4</f>
        <v>#DIV/0!</v>
      </c>
      <c r="Y103" s="2" t="e">
        <f>IF(X103&lt;0,0,X103)</f>
        <v>#DIV/0!</v>
      </c>
    </row>
    <row r="104" spans="1:25" ht="12.75">
      <c r="A104" t="s">
        <v>118</v>
      </c>
      <c r="E104" s="12" t="e">
        <f>+D104/C104*100</f>
        <v>#DIV/0!</v>
      </c>
      <c r="J104" s="8" t="e">
        <f>+G104/C104*100</f>
        <v>#DIV/0!</v>
      </c>
      <c r="K104" s="12" t="e">
        <f>+I104/C104*100</f>
        <v>#DIV/0!</v>
      </c>
      <c r="L104" s="12" t="e">
        <f>+F104/C104</f>
        <v>#DIV/0!</v>
      </c>
      <c r="M104" s="12" t="e">
        <f>100*(S104+U104+W104+Y104)/6</f>
        <v>#DIV/0!</v>
      </c>
      <c r="R104" t="e">
        <f>+(E104-30)/20</f>
        <v>#DIV/0!</v>
      </c>
      <c r="S104" s="2" t="e">
        <f>IF(R104&lt;0,0,IF(R104&gt;2.375,2.375,R104))</f>
        <v>#DIV/0!</v>
      </c>
      <c r="T104" s="6" t="e">
        <f>+(L104-3)/4</f>
        <v>#DIV/0!</v>
      </c>
      <c r="U104" s="2" t="e">
        <f>IF(T104&lt;0,0,IF(T104&gt;2.375,2.375,T104))</f>
        <v>#DIV/0!</v>
      </c>
      <c r="V104" t="e">
        <f>+J104/5</f>
        <v>#DIV/0!</v>
      </c>
      <c r="W104" s="2" t="e">
        <f>IF(V104&lt;0,0,IF(V104&gt;2.375,2.375,V104))</f>
        <v>#DIV/0!</v>
      </c>
      <c r="X104" t="e">
        <f>(9.5-K104)/4</f>
        <v>#DIV/0!</v>
      </c>
      <c r="Y104" s="2" t="e">
        <f>IF(X104&lt;0,0,X104)</f>
        <v>#DIV/0!</v>
      </c>
    </row>
    <row r="105" spans="1:25" ht="12.75">
      <c r="A105" t="s">
        <v>116</v>
      </c>
      <c r="E105" s="12" t="e">
        <f>+D105/C105*100</f>
        <v>#DIV/0!</v>
      </c>
      <c r="J105" s="8" t="e">
        <f>+G105/C105*100</f>
        <v>#DIV/0!</v>
      </c>
      <c r="K105" s="12" t="e">
        <f>+I105/C105*100</f>
        <v>#DIV/0!</v>
      </c>
      <c r="L105" s="12" t="e">
        <f>+F105/C105</f>
        <v>#DIV/0!</v>
      </c>
      <c r="M105" s="12" t="e">
        <f>100*(S105+U105+W105+Y105)/6</f>
        <v>#DIV/0!</v>
      </c>
      <c r="R105" t="e">
        <f>+(E105-30)/20</f>
        <v>#DIV/0!</v>
      </c>
      <c r="S105" s="2" t="e">
        <f>IF(R105&lt;0,0,IF(R105&gt;2.375,2.375,R105))</f>
        <v>#DIV/0!</v>
      </c>
      <c r="T105" s="6" t="e">
        <f>+(L105-3)/4</f>
        <v>#DIV/0!</v>
      </c>
      <c r="U105" s="2" t="e">
        <f>IF(T105&lt;0,0,IF(T105&gt;2.375,2.375,T105))</f>
        <v>#DIV/0!</v>
      </c>
      <c r="V105" t="e">
        <f>+J105/5</f>
        <v>#DIV/0!</v>
      </c>
      <c r="W105" s="2" t="e">
        <f>IF(V105&lt;0,0,IF(V105&gt;2.375,2.375,V105))</f>
        <v>#DIV/0!</v>
      </c>
      <c r="X105" t="e">
        <f>(9.5-K105)/4</f>
        <v>#DIV/0!</v>
      </c>
      <c r="Y105" s="2" t="e">
        <f>IF(X105&lt;0,0,X105)</f>
        <v>#DIV/0!</v>
      </c>
    </row>
    <row r="106" spans="1:25" ht="12.75">
      <c r="A106" t="s">
        <v>107</v>
      </c>
      <c r="E106" s="12" t="e">
        <f>+D106/C106*100</f>
        <v>#DIV/0!</v>
      </c>
      <c r="J106" s="8" t="e">
        <f>+G106/C106*100</f>
        <v>#DIV/0!</v>
      </c>
      <c r="K106" s="12" t="e">
        <f>+I106/C106*100</f>
        <v>#DIV/0!</v>
      </c>
      <c r="L106" s="12" t="e">
        <f>+F106/C106</f>
        <v>#DIV/0!</v>
      </c>
      <c r="M106" s="12" t="e">
        <f>100*(S106+U106+W106+Y106)/6</f>
        <v>#DIV/0!</v>
      </c>
      <c r="R106" t="e">
        <f>+(E106-30)/20</f>
        <v>#DIV/0!</v>
      </c>
      <c r="S106" s="2" t="e">
        <f>IF(R106&lt;0,0,IF(R106&gt;2.375,2.375,R106))</f>
        <v>#DIV/0!</v>
      </c>
      <c r="T106" s="6" t="e">
        <f>+(L106-3)/4</f>
        <v>#DIV/0!</v>
      </c>
      <c r="U106" s="2" t="e">
        <f>IF(T106&lt;0,0,IF(T106&gt;2.375,2.375,T106))</f>
        <v>#DIV/0!</v>
      </c>
      <c r="V106" t="e">
        <f>+J106/5</f>
        <v>#DIV/0!</v>
      </c>
      <c r="W106" s="2" t="e">
        <f>IF(V106&lt;0,0,IF(V106&gt;2.375,2.375,V106))</f>
        <v>#DIV/0!</v>
      </c>
      <c r="X106" t="e">
        <f>(9.5-K106)/4</f>
        <v>#DIV/0!</v>
      </c>
      <c r="Y106" s="2" t="e">
        <f>IF(X106&lt;0,0,X106)</f>
        <v>#DIV/0!</v>
      </c>
    </row>
    <row r="109" spans="1:9" ht="12.75">
      <c r="A109" s="2" t="s">
        <v>67</v>
      </c>
      <c r="C109" s="3" t="s">
        <v>68</v>
      </c>
      <c r="D109" s="3" t="s">
        <v>69</v>
      </c>
      <c r="E109" s="3" t="s">
        <v>70</v>
      </c>
      <c r="F109" s="3" t="s">
        <v>49</v>
      </c>
      <c r="G109" s="3" t="s">
        <v>60</v>
      </c>
      <c r="H109" s="3" t="s">
        <v>51</v>
      </c>
      <c r="I109" s="3" t="s">
        <v>80</v>
      </c>
    </row>
    <row r="110" spans="1:9" ht="12.75">
      <c r="A110" t="s">
        <v>124</v>
      </c>
      <c r="C110">
        <v>2</v>
      </c>
      <c r="D110">
        <v>1</v>
      </c>
      <c r="E110">
        <v>18</v>
      </c>
      <c r="F110" s="12">
        <f>+E110/C110</f>
        <v>9</v>
      </c>
      <c r="G110">
        <v>9</v>
      </c>
      <c r="H110">
        <v>0</v>
      </c>
      <c r="I110">
        <v>0</v>
      </c>
    </row>
    <row r="111" spans="1:6" ht="12.75">
      <c r="A111" t="s">
        <v>123</v>
      </c>
      <c r="F111" s="12" t="e">
        <f>+E111/C111</f>
        <v>#DIV/0!</v>
      </c>
    </row>
    <row r="112" spans="1:6" ht="12.75">
      <c r="A112" t="s">
        <v>117</v>
      </c>
      <c r="F112" s="12" t="e">
        <f>+E112/C112</f>
        <v>#DIV/0!</v>
      </c>
    </row>
    <row r="114" spans="1:8" ht="12.75">
      <c r="A114" s="2" t="s">
        <v>30</v>
      </c>
      <c r="C114" s="3" t="s">
        <v>68</v>
      </c>
      <c r="D114" s="3" t="s">
        <v>70</v>
      </c>
      <c r="E114" s="3" t="s">
        <v>49</v>
      </c>
      <c r="F114" s="3" t="s">
        <v>60</v>
      </c>
      <c r="G114" s="3" t="s">
        <v>51</v>
      </c>
      <c r="H114" s="3" t="s">
        <v>80</v>
      </c>
    </row>
    <row r="115" spans="1:8" ht="12.75">
      <c r="A115" t="s">
        <v>114</v>
      </c>
      <c r="C115">
        <v>2</v>
      </c>
      <c r="D115">
        <v>22</v>
      </c>
      <c r="E115" s="12">
        <f aca="true" t="shared" si="2" ref="E115:E120">+D115/C115</f>
        <v>11</v>
      </c>
      <c r="F115">
        <v>22</v>
      </c>
      <c r="G115">
        <v>0</v>
      </c>
      <c r="H115">
        <v>0</v>
      </c>
    </row>
    <row r="116" spans="1:5" ht="12.75">
      <c r="A116" t="s">
        <v>125</v>
      </c>
      <c r="E116" s="12" t="e">
        <f t="shared" si="2"/>
        <v>#DIV/0!</v>
      </c>
    </row>
    <row r="117" spans="1:8" ht="12.75">
      <c r="A117" t="s">
        <v>116</v>
      </c>
      <c r="C117">
        <v>1</v>
      </c>
      <c r="D117">
        <v>15</v>
      </c>
      <c r="E117" s="12">
        <f t="shared" si="2"/>
        <v>15</v>
      </c>
      <c r="F117">
        <v>15</v>
      </c>
      <c r="G117">
        <v>0</v>
      </c>
      <c r="H117">
        <v>0</v>
      </c>
    </row>
    <row r="118" spans="1:5" ht="12.75">
      <c r="A118" t="s">
        <v>108</v>
      </c>
      <c r="E118" s="12" t="e">
        <f t="shared" si="2"/>
        <v>#DIV/0!</v>
      </c>
    </row>
    <row r="119" spans="1:5" ht="12.75">
      <c r="A119" t="s">
        <v>115</v>
      </c>
      <c r="E119" s="12" t="e">
        <f t="shared" si="2"/>
        <v>#DIV/0!</v>
      </c>
    </row>
    <row r="120" spans="1:5" ht="12.75">
      <c r="A120" t="s">
        <v>121</v>
      </c>
      <c r="E120" s="12" t="e">
        <f t="shared" si="2"/>
        <v>#DIV/0!</v>
      </c>
    </row>
    <row r="122" spans="1:8" ht="12.75">
      <c r="A122" s="2" t="s">
        <v>71</v>
      </c>
      <c r="C122" s="3" t="s">
        <v>68</v>
      </c>
      <c r="D122" s="3" t="s">
        <v>70</v>
      </c>
      <c r="E122" s="3" t="s">
        <v>49</v>
      </c>
      <c r="F122" s="3" t="s">
        <v>60</v>
      </c>
      <c r="G122" s="3" t="s">
        <v>72</v>
      </c>
      <c r="H122" s="3" t="s">
        <v>80</v>
      </c>
    </row>
    <row r="123" spans="1:8" ht="12.75">
      <c r="A123" t="s">
        <v>126</v>
      </c>
      <c r="C123">
        <v>5</v>
      </c>
      <c r="D123">
        <v>203</v>
      </c>
      <c r="E123" s="12">
        <f>+D123/C123</f>
        <v>40.6</v>
      </c>
      <c r="F123">
        <v>52</v>
      </c>
      <c r="G123">
        <v>0</v>
      </c>
      <c r="H123">
        <v>0</v>
      </c>
    </row>
    <row r="124" spans="1:5" ht="12.75">
      <c r="A124" t="s">
        <v>113</v>
      </c>
      <c r="E124" s="12" t="e">
        <f>+D124/C124</f>
        <v>#DIV/0!</v>
      </c>
    </row>
    <row r="125" ht="12.75">
      <c r="I125" s="5" t="s">
        <v>63</v>
      </c>
    </row>
    <row r="126" spans="1:10" ht="12.75">
      <c r="A126" s="4" t="s">
        <v>79</v>
      </c>
      <c r="C126" s="3" t="s">
        <v>73</v>
      </c>
      <c r="D126" s="3" t="s">
        <v>74</v>
      </c>
      <c r="E126" s="3" t="s">
        <v>75</v>
      </c>
      <c r="F126" s="3" t="s">
        <v>76</v>
      </c>
      <c r="G126" s="3" t="s">
        <v>77</v>
      </c>
      <c r="H126" s="3" t="s">
        <v>78</v>
      </c>
      <c r="I126" s="3" t="s">
        <v>82</v>
      </c>
      <c r="J126" s="3" t="s">
        <v>60</v>
      </c>
    </row>
    <row r="127" spans="1:10" ht="12.75">
      <c r="A127" t="s">
        <v>127</v>
      </c>
      <c r="C127">
        <v>5</v>
      </c>
      <c r="D127">
        <v>0</v>
      </c>
      <c r="E127">
        <v>3</v>
      </c>
      <c r="F127">
        <v>2</v>
      </c>
      <c r="G127">
        <v>1</v>
      </c>
      <c r="H127">
        <v>1</v>
      </c>
      <c r="I127" s="12">
        <f>+H127/G127*100</f>
        <v>100</v>
      </c>
      <c r="J127">
        <v>34</v>
      </c>
    </row>
    <row r="129" spans="1:8" ht="12.75">
      <c r="A129" s="2" t="s">
        <v>81</v>
      </c>
      <c r="C129" s="3" t="s">
        <v>68</v>
      </c>
      <c r="D129" s="3" t="s">
        <v>70</v>
      </c>
      <c r="E129" s="3" t="s">
        <v>49</v>
      </c>
      <c r="F129" s="3" t="s">
        <v>60</v>
      </c>
      <c r="G129" s="3" t="s">
        <v>51</v>
      </c>
      <c r="H129" s="3" t="s">
        <v>80</v>
      </c>
    </row>
    <row r="130" spans="1:5" ht="12.75">
      <c r="A130" t="s">
        <v>128</v>
      </c>
      <c r="E130" s="12" t="e">
        <f>+D130/C130</f>
        <v>#DIV/0!</v>
      </c>
    </row>
    <row r="131" spans="1:5" ht="12.75">
      <c r="A131" t="s">
        <v>129</v>
      </c>
      <c r="E131" s="12" t="e">
        <f aca="true" t="shared" si="3" ref="E131:E138">+D131/C131</f>
        <v>#DIV/0!</v>
      </c>
    </row>
    <row r="132" spans="1:5" ht="12.75">
      <c r="A132" t="s">
        <v>130</v>
      </c>
      <c r="E132" s="12" t="e">
        <f t="shared" si="3"/>
        <v>#DIV/0!</v>
      </c>
    </row>
    <row r="133" spans="1:5" ht="12.75">
      <c r="A133" t="s">
        <v>124</v>
      </c>
      <c r="E133" s="12" t="e">
        <f t="shared" si="3"/>
        <v>#DIV/0!</v>
      </c>
    </row>
    <row r="134" spans="1:5" ht="12.75">
      <c r="A134" t="s">
        <v>131</v>
      </c>
      <c r="E134" s="12" t="e">
        <f t="shared" si="3"/>
        <v>#DIV/0!</v>
      </c>
    </row>
    <row r="135" spans="1:5" ht="12.75">
      <c r="A135" t="s">
        <v>132</v>
      </c>
      <c r="E135" s="12" t="e">
        <f t="shared" si="3"/>
        <v>#DIV/0!</v>
      </c>
    </row>
    <row r="136" spans="1:8" ht="12.75">
      <c r="A136" t="s">
        <v>133</v>
      </c>
      <c r="C136">
        <v>1</v>
      </c>
      <c r="D136">
        <v>0</v>
      </c>
      <c r="E136" s="12">
        <f t="shared" si="3"/>
        <v>0</v>
      </c>
      <c r="F136">
        <v>0</v>
      </c>
      <c r="G136">
        <v>0</v>
      </c>
      <c r="H136">
        <v>0</v>
      </c>
    </row>
    <row r="137" spans="1:5" ht="12.75">
      <c r="A137" t="s">
        <v>134</v>
      </c>
      <c r="E137" s="12" t="e">
        <f t="shared" si="3"/>
        <v>#DIV/0!</v>
      </c>
    </row>
    <row r="138" spans="1:5" ht="12.75">
      <c r="A138" t="s">
        <v>135</v>
      </c>
      <c r="E138" s="12" t="e">
        <f t="shared" si="3"/>
        <v>#DIV/0!</v>
      </c>
    </row>
    <row r="139" ht="12.75">
      <c r="A139" t="s">
        <v>136</v>
      </c>
    </row>
    <row r="141" spans="1:4" ht="12.75">
      <c r="A141" s="2" t="s">
        <v>90</v>
      </c>
      <c r="C141" s="3" t="s">
        <v>68</v>
      </c>
      <c r="D141" s="3"/>
    </row>
    <row r="142" ht="12.75">
      <c r="A142" t="s">
        <v>137</v>
      </c>
    </row>
    <row r="143" ht="12.75">
      <c r="A143" t="s">
        <v>134</v>
      </c>
    </row>
    <row r="144" ht="12.75">
      <c r="A144" t="s">
        <v>138</v>
      </c>
    </row>
    <row r="145" spans="1:3" ht="12.75">
      <c r="A145" t="s">
        <v>136</v>
      </c>
      <c r="C145">
        <v>1</v>
      </c>
    </row>
    <row r="146" spans="1:3" ht="12.75">
      <c r="A146" t="s">
        <v>139</v>
      </c>
      <c r="C146">
        <v>1</v>
      </c>
    </row>
    <row r="147" spans="1:3" ht="12.75">
      <c r="A147" t="s">
        <v>135</v>
      </c>
      <c r="C147">
        <v>1</v>
      </c>
    </row>
    <row r="148" ht="12.75">
      <c r="A148" t="s">
        <v>133</v>
      </c>
    </row>
    <row r="149" ht="12.75">
      <c r="A149" t="s">
        <v>140</v>
      </c>
    </row>
    <row r="150" ht="12.75">
      <c r="A150" t="s">
        <v>141</v>
      </c>
    </row>
    <row r="151" ht="12.75">
      <c r="A151" t="s">
        <v>142</v>
      </c>
    </row>
    <row r="152" ht="12.75">
      <c r="A152" t="s">
        <v>143</v>
      </c>
    </row>
    <row r="153" ht="12.75">
      <c r="A153" t="s">
        <v>124</v>
      </c>
    </row>
    <row r="154" ht="12.75">
      <c r="A154" t="s">
        <v>129</v>
      </c>
    </row>
    <row r="155" ht="12.75">
      <c r="A155" t="s">
        <v>132</v>
      </c>
    </row>
    <row r="156" ht="12.75">
      <c r="A156" t="s">
        <v>144</v>
      </c>
    </row>
    <row r="158" spans="4:14" ht="12.75">
      <c r="D158" s="2" t="s">
        <v>84</v>
      </c>
      <c r="E158" s="2" t="s">
        <v>85</v>
      </c>
      <c r="M158" s="2" t="s">
        <v>84</v>
      </c>
      <c r="N158" s="2" t="s">
        <v>85</v>
      </c>
    </row>
    <row r="159" spans="1:13" ht="12.75">
      <c r="A159" t="s">
        <v>93</v>
      </c>
      <c r="D159">
        <v>10</v>
      </c>
      <c r="H159" t="s">
        <v>93</v>
      </c>
      <c r="M159">
        <v>17</v>
      </c>
    </row>
    <row r="160" spans="1:13" ht="12.75">
      <c r="A160" t="s">
        <v>94</v>
      </c>
      <c r="D160">
        <v>4</v>
      </c>
      <c r="H160" t="s">
        <v>94</v>
      </c>
      <c r="M160">
        <v>8</v>
      </c>
    </row>
    <row r="161" spans="1:13" ht="12.75">
      <c r="A161" t="s">
        <v>95</v>
      </c>
      <c r="D161">
        <f>D160/D159*100</f>
        <v>40</v>
      </c>
      <c r="H161" t="s">
        <v>95</v>
      </c>
      <c r="M161">
        <f>+M160/M159*100</f>
        <v>47.05882352941176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Zarb</dc:creator>
  <cp:keywords/>
  <dc:description/>
  <cp:lastModifiedBy>Owner</cp:lastModifiedBy>
  <dcterms:created xsi:type="dcterms:W3CDTF">2004-12-04T00:48:17Z</dcterms:created>
  <dcterms:modified xsi:type="dcterms:W3CDTF">2015-03-24T02:56:21Z</dcterms:modified>
  <cp:category/>
  <cp:version/>
  <cp:contentType/>
  <cp:contentStatus/>
</cp:coreProperties>
</file>