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umulative Stats" sheetId="1" r:id="rId1"/>
    <sheet name="@MIN" sheetId="2" r:id="rId2"/>
    <sheet name="ATL" sheetId="3" r:id="rId3"/>
    <sheet name="@LAR" sheetId="4" r:id="rId4"/>
    <sheet name="NOS" sheetId="5" r:id="rId5"/>
    <sheet name="@ATL" sheetId="6" r:id="rId6"/>
    <sheet name="CHI" sheetId="7" r:id="rId7"/>
    <sheet name="@DET" sheetId="8" r:id="rId8"/>
    <sheet name="@RAMS" sheetId="9" r:id="rId9"/>
    <sheet name="PHI" sheetId="10" r:id="rId10"/>
    <sheet name="@DEN" sheetId="11" r:id="rId11"/>
    <sheet name="KCC" sheetId="12" r:id="rId12"/>
    <sheet name="SEA" sheetId="13" r:id="rId13"/>
    <sheet name="@WAS" sheetId="14" r:id="rId14"/>
    <sheet name="RAMS" sheetId="15" r:id="rId15"/>
    <sheet name="@NOS" sheetId="16" r:id="rId16"/>
    <sheet name="DAL" sheetId="17" r:id="rId17"/>
  </sheets>
  <definedNames/>
  <calcPr fullCalcOnLoad="1"/>
</workbook>
</file>

<file path=xl/sharedStrings.xml><?xml version="1.0" encoding="utf-8"?>
<sst xmlns="http://schemas.openxmlformats.org/spreadsheetml/2006/main" count="4374" uniqueCount="144">
  <si>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</si>
  <si>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</si>
  <si>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</si>
  <si>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</si>
  <si>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</si>
  <si>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</si>
  <si>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</si>
  <si>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</si>
  <si>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</si>
  <si>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</si>
  <si>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</si>
  <si>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</si>
  <si>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</si>
  <si>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</si>
  <si>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</si>
  <si>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</si>
  <si>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</si>
  <si>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</si>
  <si>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</si>
  <si>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</si>
  <si>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</si>
  <si>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</si>
  <si>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</si>
  <si>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</si>
  <si>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</si>
  <si>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</si>
  <si>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</si>
  <si>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</si>
  <si>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</si>
  <si>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</si>
  <si>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</si>
  <si>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</si>
  <si>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</si>
  <si>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</si>
  <si>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</si>
  <si>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</si>
  <si>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</si>
  <si>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</si>
  <si>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</si>
  <si>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</si>
  <si>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</si>
  <si>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</si>
  <si>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</si>
  <si>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</si>
  <si>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</si>
  <si>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</si>
  <si>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</si>
  <si>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</si>
  <si>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</si>
  <si>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</si>
  <si>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</si>
  <si>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</si>
  <si>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</si>
  <si>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</si>
  <si>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</si>
  <si>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</si>
  <si>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</si>
  <si>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</si>
  <si>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</si>
  <si>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</si>
  <si>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</si>
  <si>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</si>
  <si>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</si>
  <si>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</si>
  <si>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</si>
  <si>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</si>
  <si>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</si>
  <si>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</si>
  <si>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</si>
  <si>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</si>
  <si>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</si>
  <si>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</si>
  <si>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</si>
  <si>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</si>
  <si>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</si>
  <si>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</si>
  <si>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</si>
  <si>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</si>
  <si>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</si>
  <si>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</si>
  <si>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</si>
  <si>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</si>
  <si>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</si>
  <si>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</si>
  <si>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</si>
  <si>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</si>
  <si>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</si>
  <si>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</si>
  <si>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</si>
  <si>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</si>
  <si>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</si>
  <si>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</si>
  <si>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</si>
  <si>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</si>
  <si>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</si>
  <si>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</si>
  <si>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</si>
  <si>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</si>
  <si>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</si>
  <si>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</si>
  <si>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</si>
  <si>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Lost</t>
  </si>
  <si>
    <t>Third Down Efficiency</t>
  </si>
  <si>
    <t xml:space="preserve">    Rushing</t>
  </si>
  <si>
    <t xml:space="preserve">    Penalty</t>
  </si>
  <si>
    <t xml:space="preserve">    Passing</t>
  </si>
  <si>
    <t>Fair Catch</t>
  </si>
  <si>
    <t>Johnson</t>
  </si>
  <si>
    <t>1985 San Francisco 49ers</t>
  </si>
  <si>
    <t>Craig</t>
  </si>
  <si>
    <t>Tyler</t>
  </si>
  <si>
    <t>Montana</t>
  </si>
  <si>
    <t>Harmon</t>
  </si>
  <si>
    <t>Rice</t>
  </si>
  <si>
    <t>Ring</t>
  </si>
  <si>
    <t>Cooper</t>
  </si>
  <si>
    <t>Solomon</t>
  </si>
  <si>
    <t>Cavanaugh</t>
  </si>
  <si>
    <t>Clark</t>
  </si>
  <si>
    <t>Francis</t>
  </si>
  <si>
    <t>Wilson</t>
  </si>
  <si>
    <t>Monroe</t>
  </si>
  <si>
    <t>Frank</t>
  </si>
  <si>
    <t>McLemore</t>
  </si>
  <si>
    <t>Lott</t>
  </si>
  <si>
    <t>Runager</t>
  </si>
  <si>
    <t>Wersching</t>
  </si>
  <si>
    <t>Hicks</t>
  </si>
  <si>
    <t>Williamson</t>
  </si>
  <si>
    <t>Kovach</t>
  </si>
  <si>
    <t>Shell</t>
  </si>
  <si>
    <t>Fuller</t>
  </si>
  <si>
    <t>Walter</t>
  </si>
  <si>
    <t>Wright</t>
  </si>
  <si>
    <t>Board</t>
  </si>
  <si>
    <t>Stover</t>
  </si>
  <si>
    <t>Carter</t>
  </si>
  <si>
    <t>Turner</t>
  </si>
  <si>
    <t>Dean</t>
  </si>
  <si>
    <t>Tuiasosopo</t>
  </si>
  <si>
    <t>Stuckey</t>
  </si>
  <si>
    <t>Ellison</t>
  </si>
  <si>
    <t>Garnett</t>
  </si>
  <si>
    <t>Ayers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</si>
</sst>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zoomScalePageLayoutView="0" workbookViewId="0" topLeftCell="A78">
      <selection activeCell="R90" sqref="R90:V9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spans="1:6" ht="12.75">
      <c r="A2" t="s">
        <v>83</v>
      </c>
      <c r="B2" s="2">
        <v>16</v>
      </c>
      <c r="E2">
        <f>'@MIN'!E2+ATL!E2+'@LAR'!E2+NOS!E2+'@ATL'!E2+CHI!E2+'@DET'!E2+'@RAMS'!E2+PHI!E2+'@DEN'!E2+KCC!E2+SEA!E2+'@WAS'!E2+RAMS!E2+'@NOS'!E2+DAL!E2</f>
        <v>10</v>
      </c>
      <c r="F2">
        <f>'@MIN'!F2+ATL!F2+'@LAR'!F2+NOS!F2+'@ATL'!F2+CHI!F2+'@DET'!F2+'@RAMS'!F2+PHI!F2+'@DEN'!F2+KCC!F2+SEA!F2+'@WAS'!F2+RAMS!F2+'@NOS'!F2+DAL!F2</f>
        <v>6</v>
      </c>
    </row>
    <row r="3" spans="1:8" ht="12.75">
      <c r="A3" s="2" t="s">
        <v>0</v>
      </c>
      <c r="H3" s="2" t="s">
        <v>44</v>
      </c>
    </row>
    <row r="4" spans="5:15" ht="12.75">
      <c r="E4" s="3" t="s">
        <v>84</v>
      </c>
      <c r="F4" s="3" t="s">
        <v>85</v>
      </c>
      <c r="N4" s="3" t="s">
        <v>84</v>
      </c>
      <c r="O4" s="3" t="s">
        <v>85</v>
      </c>
    </row>
    <row r="6" spans="1:15" ht="12.75">
      <c r="A6" s="1" t="s">
        <v>29</v>
      </c>
      <c r="D6" s="2">
        <f>D7+D8+D9</f>
        <v>328</v>
      </c>
      <c r="E6" s="8">
        <f>+D6/$B$2</f>
        <v>20.5</v>
      </c>
      <c r="F6" s="8">
        <f>340/16</f>
        <v>21.25</v>
      </c>
      <c r="H6" s="1" t="s">
        <v>29</v>
      </c>
      <c r="M6" s="2">
        <f>M7+M8+M9</f>
        <v>260</v>
      </c>
      <c r="N6" s="8">
        <f>+M6/$B$2</f>
        <v>16.25</v>
      </c>
      <c r="O6" s="8">
        <f>293/16</f>
        <v>18.3125</v>
      </c>
    </row>
    <row r="7" spans="1:15" ht="12.75">
      <c r="A7" s="1" t="s">
        <v>103</v>
      </c>
      <c r="D7" s="2">
        <f>+'@MIN'!D7+ATL!D7+'@LAR'!D7+NOS!D7+'@ATL'!D7+CHI!D7+'@DET'!D7+'@RAMS'!D7+PHI!D7+'@DEN'!D7+KCC!D7+SEA!D7+'@WAS'!D7+RAMS!D7+'@NOS'!D7+DAL!D7</f>
        <v>134</v>
      </c>
      <c r="E7" s="8">
        <f>+D7/$B$2</f>
        <v>8.375</v>
      </c>
      <c r="F7" s="8">
        <f>137/16</f>
        <v>8.5625</v>
      </c>
      <c r="H7" s="1" t="s">
        <v>103</v>
      </c>
      <c r="M7" s="2">
        <f>+'@MIN'!M7+ATL!M7+'@LAR'!M7+NOS!M7+'@ATL'!M7+CHI!M7+'@DET'!M7+'@RAMS'!M7+PHI!M7+'@DEN'!M7+KCC!M7+SEA!M7+'@WAS'!M7+RAMS!M7+'@NOS'!M7+DAL!M7</f>
        <v>84</v>
      </c>
      <c r="N7" s="8">
        <f>+M7/$B$2</f>
        <v>5.25</v>
      </c>
      <c r="O7" s="21">
        <f>89/16</f>
        <v>5.5625</v>
      </c>
    </row>
    <row r="8" spans="1:15" ht="12.75">
      <c r="A8" s="1" t="s">
        <v>105</v>
      </c>
      <c r="D8" s="2">
        <f>+'@MIN'!D8+ATL!D8+'@LAR'!D8+NOS!D8+'@ATL'!D8+CHI!D8+'@DET'!D8+'@RAMS'!D8+PHI!D8+'@DEN'!D8+KCC!D8+SEA!D8+'@WAS'!D8+RAMS!D8+'@NOS'!D8+DAL!D8</f>
        <v>164</v>
      </c>
      <c r="E8" s="8">
        <f>+D8/$B$2</f>
        <v>10.25</v>
      </c>
      <c r="F8" s="8">
        <f>179/16</f>
        <v>11.1875</v>
      </c>
      <c r="H8" s="1" t="s">
        <v>105</v>
      </c>
      <c r="M8" s="2">
        <f>+'@MIN'!M8+ATL!M8+'@LAR'!M8+NOS!M8+'@ATL'!M8+CHI!M8+'@DET'!M8+'@RAMS'!M8+PHI!M8+'@DEN'!M8+KCC!M8+SEA!M8+'@WAS'!M8+RAMS!M8+'@NOS'!M8+DAL!M8</f>
        <v>155</v>
      </c>
      <c r="N8" s="8">
        <f>+M8/$B$2</f>
        <v>9.6875</v>
      </c>
      <c r="O8" s="21">
        <f>183/16</f>
        <v>11.4375</v>
      </c>
    </row>
    <row r="9" spans="1:15" ht="12.75">
      <c r="A9" s="1" t="s">
        <v>104</v>
      </c>
      <c r="D9" s="2">
        <f>+'@MIN'!D9+ATL!D9+'@LAR'!D9+NOS!D9+'@ATL'!D9+CHI!D9+'@DET'!D9+'@RAMS'!D9+PHI!D9+'@DEN'!D9+KCC!D9+SEA!D9+'@WAS'!D9+RAMS!D9+'@NOS'!D9+DAL!D9</f>
        <v>30</v>
      </c>
      <c r="E9" s="8">
        <f>+D9/$B$2</f>
        <v>1.875</v>
      </c>
      <c r="F9" s="8">
        <f>24/16</f>
        <v>1.5</v>
      </c>
      <c r="H9" s="1" t="s">
        <v>104</v>
      </c>
      <c r="M9" s="2">
        <f>+'@MIN'!M9+ATL!M9+'@LAR'!M9+NOS!M9+'@ATL'!M9+CHI!M9+'@DET'!M9+'@RAMS'!M9+PHI!M9+'@DEN'!M9+KCC!M9+SEA!M9+'@WAS'!M9+RAMS!M9+'@NOS'!M9+DAL!M9</f>
        <v>21</v>
      </c>
      <c r="N9" s="8">
        <f>+M9/$B$2</f>
        <v>1.3125</v>
      </c>
      <c r="O9" s="21">
        <f>21/16</f>
        <v>1.3125</v>
      </c>
    </row>
    <row r="10" spans="5:15" ht="12.75">
      <c r="E10" s="8"/>
      <c r="F10" s="8"/>
      <c r="N10" s="8"/>
      <c r="O10" s="21"/>
    </row>
    <row r="11" spans="1:23" ht="12.75">
      <c r="A11" t="s">
        <v>1</v>
      </c>
      <c r="D11" s="2">
        <f>+'@MIN'!D11+ATL!D11+'@LAR'!D11+NOS!D11+'@ATL'!D11+CHI!D11+'@DET'!D11+'@RAMS'!D11+PHI!D11+'@DEN'!D11+KCC!D11+SEA!D11+'@WAS'!D11+RAMS!D11+'@NOS'!D11+DAL!D11</f>
        <v>440</v>
      </c>
      <c r="E11" s="8">
        <f>+D11/$B$2</f>
        <v>27.5</v>
      </c>
      <c r="F11" s="8">
        <f>477/16</f>
        <v>29.8125</v>
      </c>
      <c r="H11" t="s">
        <v>1</v>
      </c>
      <c r="M11" s="2">
        <f>+'@MIN'!M11+ATL!M11+'@LAR'!M11+NOS!M11+'@ATL'!M11+CHI!M11+'@DET'!M11+'@RAMS'!M11+PHI!M11+'@DEN'!M11+KCC!M11+SEA!M11+'@WAS'!M11+RAMS!M11+'@NOS'!M11+DAL!M11</f>
        <v>438</v>
      </c>
      <c r="N11" s="8">
        <f>+M11/$B$2</f>
        <v>27.375</v>
      </c>
      <c r="O11" s="21">
        <f>435/16</f>
        <v>27.1875</v>
      </c>
      <c r="V11">
        <f>+D11</f>
        <v>440</v>
      </c>
      <c r="W11">
        <f>+M11</f>
        <v>438</v>
      </c>
    </row>
    <row r="12" spans="1:23" ht="12.75">
      <c r="A12" t="s">
        <v>2</v>
      </c>
      <c r="D12" s="2">
        <f>+'@MIN'!D12+ATL!D12+'@LAR'!D12+NOS!D12+'@ATL'!D12+CHI!D12+'@DET'!D12+'@RAMS'!D12+PHI!D12+'@DEN'!D12+KCC!D12+SEA!D12+'@WAS'!D12+RAMS!D12+'@NOS'!D12+DAL!D12</f>
        <v>2156</v>
      </c>
      <c r="E12" s="8">
        <f>+D12/$B$2</f>
        <v>134.75</v>
      </c>
      <c r="F12" s="8">
        <f>2232/16</f>
        <v>139.5</v>
      </c>
      <c r="H12" t="s">
        <v>2</v>
      </c>
      <c r="M12" s="2">
        <f>+'@MIN'!M12+ATL!M12+'@LAR'!M12+NOS!M12+'@ATL'!M12+CHI!M12+'@DET'!M12+'@RAMS'!M12+PHI!M12+'@DEN'!M12+KCC!M12+SEA!M12+'@WAS'!M12+RAMS!M12+'@NOS'!M12+DAL!M12</f>
        <v>1490</v>
      </c>
      <c r="N12" s="8">
        <f>+M12/$B$2</f>
        <v>93.125</v>
      </c>
      <c r="O12" s="21">
        <f>1683/16</f>
        <v>105.1875</v>
      </c>
      <c r="U12" s="13"/>
      <c r="V12">
        <f>+D16</f>
        <v>316</v>
      </c>
      <c r="W12">
        <f>+M16</f>
        <v>296</v>
      </c>
    </row>
    <row r="13" spans="1:23" ht="12.75">
      <c r="A13" s="1" t="s">
        <v>3</v>
      </c>
      <c r="D13" s="8">
        <f>+D12/D11</f>
        <v>4.9</v>
      </c>
      <c r="E13" s="8"/>
      <c r="F13" s="8">
        <f>F12/F11</f>
        <v>4.679245283018868</v>
      </c>
      <c r="H13" s="1" t="s">
        <v>3</v>
      </c>
      <c r="M13" s="8">
        <f>+M12/M11</f>
        <v>3.401826484018265</v>
      </c>
      <c r="N13" s="8"/>
      <c r="O13" s="21">
        <f>+O12/O11</f>
        <v>3.8689655172413793</v>
      </c>
      <c r="V13">
        <f>+(D15-D16)/2</f>
        <v>111</v>
      </c>
      <c r="W13">
        <f>+(M15-M16)/2</f>
        <v>117</v>
      </c>
    </row>
    <row r="14" spans="5:23" ht="12.75">
      <c r="E14" s="8"/>
      <c r="F14" s="8"/>
      <c r="N14" s="8"/>
      <c r="O14" s="21"/>
      <c r="V14">
        <f>+D38/2</f>
        <v>44</v>
      </c>
      <c r="W14">
        <f>+M38/2</f>
        <v>57</v>
      </c>
    </row>
    <row r="15" spans="1:23" ht="12.75">
      <c r="A15" t="s">
        <v>4</v>
      </c>
      <c r="D15" s="2">
        <f>+'@MIN'!D15+ATL!D15+'@LAR'!D15+NOS!D15+'@ATL'!D15+CHI!D15+'@DET'!D15+'@RAMS'!D15+PHI!D15+'@DEN'!D15+KCC!D15+SEA!D15+'@WAS'!D15+RAMS!D15+'@NOS'!D15+DAL!D15</f>
        <v>538</v>
      </c>
      <c r="E15" s="8">
        <f>+D15/$B$2</f>
        <v>33.625</v>
      </c>
      <c r="F15" s="8">
        <f>550/16</f>
        <v>34.375</v>
      </c>
      <c r="H15" t="s">
        <v>4</v>
      </c>
      <c r="M15" s="2">
        <f>+'@MIN'!M15+ATL!M15+'@LAR'!M15+NOS!M15+'@ATL'!M15+CHI!M15+'@DET'!M15+'@RAMS'!M15+PHI!M15+'@DEN'!M15+KCC!M15+SEA!M15+'@WAS'!M15+RAMS!M15+'@NOS'!M15+DAL!M15</f>
        <v>530</v>
      </c>
      <c r="N15" s="8">
        <f>+M15/$B$2</f>
        <v>33.125</v>
      </c>
      <c r="O15" s="21">
        <f>621/16</f>
        <v>38.8125</v>
      </c>
      <c r="V15">
        <f>+D42/2</f>
        <v>30</v>
      </c>
      <c r="W15">
        <f>+M42/2</f>
        <v>27</v>
      </c>
    </row>
    <row r="16" spans="1:23" ht="12.75">
      <c r="A16" t="s">
        <v>5</v>
      </c>
      <c r="D16" s="2">
        <f>+'@MIN'!D16+ATL!D16+'@LAR'!D16+NOS!D16+'@ATL'!D16+CHI!D16+'@DET'!D16+'@RAMS'!D16+PHI!D16+'@DEN'!D16+KCC!D16+SEA!D16+'@WAS'!D16+RAMS!D16+'@NOS'!D16+DAL!D16</f>
        <v>316</v>
      </c>
      <c r="E16" s="8">
        <f>+D16/$B$2</f>
        <v>19.75</v>
      </c>
      <c r="F16" s="8">
        <f>331/16</f>
        <v>20.6875</v>
      </c>
      <c r="H16" t="s">
        <v>5</v>
      </c>
      <c r="M16" s="2">
        <f>+'@MIN'!M16+ATL!M16+'@LAR'!M16+NOS!M16+'@ATL'!M16+CHI!M16+'@DET'!M16+'@RAMS'!M16+PHI!M16+'@DEN'!M16+KCC!M16+SEA!M16+'@WAS'!M16+RAMS!M16+'@NOS'!M15+DAL!M15</f>
        <v>296</v>
      </c>
      <c r="N16" s="8">
        <f>+M16/$B$2</f>
        <v>18.5</v>
      </c>
      <c r="O16" s="21">
        <f>346/16</f>
        <v>21.625</v>
      </c>
      <c r="V16">
        <f>+D48/2</f>
        <v>28.5</v>
      </c>
      <c r="W16">
        <f>+M48/2</f>
        <v>34</v>
      </c>
    </row>
    <row r="17" spans="1:15" ht="12.75">
      <c r="A17" t="s">
        <v>6</v>
      </c>
      <c r="D17" s="8">
        <f>+D16/D15*100</f>
        <v>58.7360594795539</v>
      </c>
      <c r="E17" s="8">
        <f>+E16/E15*100</f>
        <v>58.7360594795539</v>
      </c>
      <c r="F17" s="8">
        <f>+F16/F15*100</f>
        <v>60.18181818181818</v>
      </c>
      <c r="H17" t="s">
        <v>6</v>
      </c>
      <c r="M17" s="8">
        <f>+M16/M15*100</f>
        <v>55.84905660377358</v>
      </c>
      <c r="N17" s="8">
        <f>+N16/N15*100</f>
        <v>55.84905660377358</v>
      </c>
      <c r="O17" s="21">
        <f>+O16/O15*100</f>
        <v>55.716586151368766</v>
      </c>
    </row>
    <row r="18" spans="1:24" ht="12.75">
      <c r="A18" t="s">
        <v>7</v>
      </c>
      <c r="D18" s="2">
        <f>+'@MIN'!D18+ATL!D18+'@LAR'!D18+NOS!D18+'@ATL'!D18+CHI!D18+'@DET'!D18+'@RAMS'!D18+PHI!D18+'@DEN'!D18+KCC!D18+SEA!D18+'@WAS'!D18+RAMS!D18+'@NOS'!D18+DAL!D18</f>
        <v>4040</v>
      </c>
      <c r="E18" s="8">
        <f>+D18/$B$2</f>
        <v>252.5</v>
      </c>
      <c r="F18" s="8">
        <f>3987/16</f>
        <v>249.1875</v>
      </c>
      <c r="H18" t="s">
        <v>7</v>
      </c>
      <c r="M18" s="2">
        <f>+'@MIN'!M18+ATL!M18+'@LAR'!M18+NOS!M18+'@ATL'!M18+CHI!M18+'@DET'!M18+'@RAMS'!M18+PHI!M18+'@DEN'!M18+KCC!M18+SEA!M18+'@WAS'!M18+RAMS!M18+'@NOS'!M18+DAL!M18</f>
        <v>3278</v>
      </c>
      <c r="N18" s="8">
        <f>+M18/$B$2</f>
        <v>204.875</v>
      </c>
      <c r="O18" s="21">
        <f>3965/16</f>
        <v>247.8125</v>
      </c>
      <c r="V18">
        <f>SUM(V11:V16)</f>
        <v>969.5</v>
      </c>
      <c r="W18">
        <f>SUM(W11:W16)</f>
        <v>969</v>
      </c>
      <c r="X18">
        <f>+W18+V18</f>
        <v>1938.5</v>
      </c>
    </row>
    <row r="19" spans="1:23" ht="12.75">
      <c r="A19" t="s">
        <v>8</v>
      </c>
      <c r="D19" s="2">
        <f>+'@MIN'!D19+ATL!D19+'@LAR'!D19+NOS!D19+'@ATL'!D19+CHI!D19+'@DET'!D19+'@RAMS'!D19+PHI!D19+'@DEN'!D19+KCC!D19+SEA!D19+'@WAS'!D19+RAMS!D19+'@NOS'!D19+DAL!D19</f>
        <v>50</v>
      </c>
      <c r="E19" s="8">
        <f>+D19/$B$2</f>
        <v>3.125</v>
      </c>
      <c r="F19" s="8">
        <f>42/16</f>
        <v>2.625</v>
      </c>
      <c r="H19" t="s">
        <v>8</v>
      </c>
      <c r="M19" s="2">
        <f>+'@MIN'!M19+ATL!M19+'@LAR'!M19+NOS!M19+'@ATL'!M19+CHI!M19+'@DET'!M19+'@RAMS'!M19+PHI!M19+'@DEN'!M19+KCC!M19+SEA!M19+'@WAS'!M19+RAMS!M19+'@NOS'!M19+DAL!M19</f>
        <v>78</v>
      </c>
      <c r="N19" s="8">
        <f>+M19/$B$2</f>
        <v>4.875</v>
      </c>
      <c r="O19" s="21">
        <f>60/16</f>
        <v>3.75</v>
      </c>
      <c r="V19">
        <f>+V18/X18</f>
        <v>0.5001289656951251</v>
      </c>
      <c r="W19">
        <f>+W18/X18</f>
        <v>0.4998710343048749</v>
      </c>
    </row>
    <row r="20" spans="1:23" ht="12.75">
      <c r="A20" t="s">
        <v>9</v>
      </c>
      <c r="D20" s="2">
        <f>+'@MIN'!D20+ATL!D20+'@LAR'!D20+NOS!D20+'@ATL'!D20+CHI!D20+'@DET'!D20+'@RAMS'!D20+PHI!D20+'@DEN'!D20+KCC!D20+SEA!D20+'@WAS'!D20+RAMS!D20+'@NOS'!D20+DAL!D20</f>
        <v>397</v>
      </c>
      <c r="E20" s="8"/>
      <c r="F20" s="8">
        <f>299/16</f>
        <v>18.6875</v>
      </c>
      <c r="H20" t="s">
        <v>9</v>
      </c>
      <c r="M20" s="2">
        <f>+'@MIN'!M20+ATL!M20+'@LAR'!M20+NOS!M20+'@ATL'!M20+CHI!M20+'@DET'!M20+'@RAMS'!M20+PHI!M20+'@DEN'!M20+KCC!M20+SEA!M20+'@WAS'!M20+RAMS!M20+'@NOS'!M20+DAL!M20</f>
        <v>585</v>
      </c>
      <c r="N20" s="8"/>
      <c r="O20" s="21">
        <f>457/16</f>
        <v>28.5625</v>
      </c>
      <c r="V20">
        <f>+V19*60</f>
        <v>30.007737941707507</v>
      </c>
      <c r="W20">
        <f>+W19*60</f>
        <v>29.992262058292493</v>
      </c>
    </row>
    <row r="21" spans="1:23" ht="12.75">
      <c r="A21" t="s">
        <v>10</v>
      </c>
      <c r="D21">
        <f>+D18-D20</f>
        <v>3643</v>
      </c>
      <c r="E21" s="8">
        <f>+D21/B2</f>
        <v>227.6875</v>
      </c>
      <c r="F21" s="8">
        <f>F18-F20</f>
        <v>230.5</v>
      </c>
      <c r="H21" t="s">
        <v>10</v>
      </c>
      <c r="M21">
        <f>+M18-M20</f>
        <v>2693</v>
      </c>
      <c r="N21" s="8">
        <f>+M21/B2</f>
        <v>168.3125</v>
      </c>
      <c r="O21" s="21">
        <f>O18-O20</f>
        <v>219.25</v>
      </c>
      <c r="V21">
        <f>+V20-INT(V20)</f>
        <v>0.00773794170750719</v>
      </c>
      <c r="W21">
        <f>+W20-INT(W20)</f>
        <v>0.9922620582924928</v>
      </c>
    </row>
    <row r="22" spans="1:23" ht="12.75">
      <c r="A22" t="s">
        <v>11</v>
      </c>
      <c r="D22" s="7">
        <f>+D21/(D15+D19)</f>
        <v>6.195578231292517</v>
      </c>
      <c r="E22" s="8"/>
      <c r="F22" s="8">
        <f>F21/(F15+F19)</f>
        <v>6.22972972972973</v>
      </c>
      <c r="H22" t="s">
        <v>11</v>
      </c>
      <c r="M22" s="7">
        <f>+M21/(M15+M19)</f>
        <v>4.4292763157894735</v>
      </c>
      <c r="N22" s="8"/>
      <c r="O22" s="21">
        <f>O21/(O15+O19)</f>
        <v>5.151248164464024</v>
      </c>
      <c r="V22">
        <f>+V21*60</f>
        <v>0.4642765024504314</v>
      </c>
      <c r="W22">
        <f>+W21*60</f>
        <v>59.53572349754957</v>
      </c>
    </row>
    <row r="23" spans="1:23" ht="12.75">
      <c r="A23" t="s">
        <v>12</v>
      </c>
      <c r="D23" s="7">
        <f>+D18/D16</f>
        <v>12.784810126582279</v>
      </c>
      <c r="E23" s="8"/>
      <c r="F23" s="8">
        <f>F18/F16</f>
        <v>12.045317220543806</v>
      </c>
      <c r="H23" t="s">
        <v>12</v>
      </c>
      <c r="M23" s="7">
        <f>+M18/M16</f>
        <v>11.074324324324325</v>
      </c>
      <c r="N23" s="8"/>
      <c r="O23" s="21">
        <f>O18/O16</f>
        <v>11.459537572254336</v>
      </c>
      <c r="U23">
        <v>0</v>
      </c>
      <c r="V23" s="11">
        <f>ROUND(V22,0)</f>
        <v>0</v>
      </c>
      <c r="W23">
        <f>ROUND(W22,0)</f>
        <v>60</v>
      </c>
    </row>
    <row r="24" spans="5:23" ht="12.75">
      <c r="E24" s="8"/>
      <c r="F24" s="8"/>
      <c r="N24" s="8"/>
      <c r="O24" s="21"/>
      <c r="V24">
        <f>INT(V20)</f>
        <v>30</v>
      </c>
      <c r="W24">
        <f>INT(W20)</f>
        <v>29</v>
      </c>
    </row>
    <row r="25" spans="1:23" ht="12.75">
      <c r="A25" t="s">
        <v>13</v>
      </c>
      <c r="E25" s="8"/>
      <c r="F25" s="8"/>
      <c r="H25" t="s">
        <v>13</v>
      </c>
      <c r="N25" s="8"/>
      <c r="O25" s="21"/>
      <c r="V25" t="s">
        <v>87</v>
      </c>
      <c r="W25" t="s">
        <v>87</v>
      </c>
    </row>
    <row r="26" spans="1:23" ht="12.75">
      <c r="A26" t="s">
        <v>14</v>
      </c>
      <c r="D26">
        <f>+D21+D12</f>
        <v>5799</v>
      </c>
      <c r="E26" s="8">
        <f>+D26/B2</f>
        <v>362.4375</v>
      </c>
      <c r="F26" s="8">
        <f>F12+F21</f>
        <v>370</v>
      </c>
      <c r="H26" t="s">
        <v>14</v>
      </c>
      <c r="M26">
        <f>+M21+M12</f>
        <v>4183</v>
      </c>
      <c r="N26" s="8">
        <f>+M26/B2</f>
        <v>261.4375</v>
      </c>
      <c r="O26" s="21">
        <f>O12+O21</f>
        <v>324.4375</v>
      </c>
      <c r="V26" s="14" t="str">
        <f>+V24&amp;V25&amp;V23</f>
        <v>30:0</v>
      </c>
      <c r="W26" s="9" t="str">
        <f>+W24&amp;W25&amp;W23</f>
        <v>29:60</v>
      </c>
    </row>
    <row r="27" spans="1:23" ht="12.75">
      <c r="A27" t="s">
        <v>15</v>
      </c>
      <c r="D27" s="7">
        <f>+D12/D26*100</f>
        <v>37.17882393516124</v>
      </c>
      <c r="E27" s="8"/>
      <c r="F27" s="8">
        <f>+F12/F26*100</f>
        <v>37.7027027027027</v>
      </c>
      <c r="H27" t="s">
        <v>15</v>
      </c>
      <c r="M27" s="7">
        <f>+M12/M26*100</f>
        <v>35.62036815682524</v>
      </c>
      <c r="N27" s="8"/>
      <c r="O27" s="21">
        <f>+O12/O26*100</f>
        <v>32.421498747832786</v>
      </c>
      <c r="V27" s="9" t="str">
        <f>IF(V23&lt;10,+V24&amp;V25&amp;$U$23&amp;V23,+V24&amp;V25&amp;V23)</f>
        <v>30:00</v>
      </c>
      <c r="W27" s="9" t="str">
        <f>IF(W23&lt;10,+W24&amp;W25&amp;$U$23&amp;W23,+W24&amp;W25&amp;W23)</f>
        <v>29:60</v>
      </c>
    </row>
    <row r="28" spans="1:15" ht="12.75">
      <c r="A28" s="1" t="s">
        <v>86</v>
      </c>
      <c r="D28" s="7">
        <f>+D21/D26*100</f>
        <v>62.82117606483877</v>
      </c>
      <c r="E28" s="8"/>
      <c r="F28" s="8">
        <f>+F21/F26*100</f>
        <v>62.29729729729729</v>
      </c>
      <c r="H28" s="1" t="s">
        <v>86</v>
      </c>
      <c r="M28" s="7">
        <f>+M21/M26*100</f>
        <v>64.37963184317475</v>
      </c>
      <c r="N28" s="8"/>
      <c r="O28" s="21">
        <f>O21/O26*100</f>
        <v>67.57850125216721</v>
      </c>
    </row>
    <row r="29" spans="5:15" ht="12.75">
      <c r="E29" s="8"/>
      <c r="F29" s="8"/>
      <c r="N29" s="8"/>
      <c r="O29" s="21"/>
    </row>
    <row r="30" spans="1:15" ht="12.75">
      <c r="A30" t="s">
        <v>16</v>
      </c>
      <c r="D30">
        <f>+D11+D15+D19</f>
        <v>1028</v>
      </c>
      <c r="E30" s="8">
        <f>+D30/$B$2</f>
        <v>64.25</v>
      </c>
      <c r="F30" s="8">
        <f>F11+F15+F19</f>
        <v>66.8125</v>
      </c>
      <c r="H30" t="s">
        <v>16</v>
      </c>
      <c r="M30">
        <f>+M11+M15+M19</f>
        <v>1046</v>
      </c>
      <c r="N30" s="8">
        <f>+M30/$B$2</f>
        <v>65.375</v>
      </c>
      <c r="O30" s="21">
        <f>O11+O15+O19</f>
        <v>69.75</v>
      </c>
    </row>
    <row r="31" spans="1:15" ht="12.75">
      <c r="A31" t="s">
        <v>17</v>
      </c>
      <c r="D31" s="8">
        <f>+D26/D30</f>
        <v>5.641050583657588</v>
      </c>
      <c r="E31" s="8"/>
      <c r="F31" s="8">
        <f>+F26/F30</f>
        <v>5.537885874649205</v>
      </c>
      <c r="G31" s="7"/>
      <c r="H31" s="7" t="s">
        <v>17</v>
      </c>
      <c r="I31" s="7"/>
      <c r="J31" s="7"/>
      <c r="K31" s="7"/>
      <c r="L31" s="7"/>
      <c r="M31" s="8">
        <f>+M26/M30</f>
        <v>3.9990439770554493</v>
      </c>
      <c r="N31" s="8"/>
      <c r="O31" s="21">
        <f>+O26/O30</f>
        <v>4.651433691756273</v>
      </c>
    </row>
    <row r="32" spans="5:15" ht="12.75">
      <c r="E32" s="8"/>
      <c r="F32" s="8"/>
      <c r="N32" s="8"/>
      <c r="O32" s="21"/>
    </row>
    <row r="33" spans="1:15" ht="12.75">
      <c r="A33" t="s">
        <v>18</v>
      </c>
      <c r="E33" s="8"/>
      <c r="F33" s="8"/>
      <c r="H33" t="s">
        <v>18</v>
      </c>
      <c r="N33" s="8"/>
      <c r="O33" s="21"/>
    </row>
    <row r="34" spans="1:15" ht="12.75">
      <c r="A34" t="s">
        <v>19</v>
      </c>
      <c r="D34" s="2">
        <f>+'@MIN'!D34+ATL!D34+'@LAR'!D34+NOS!D34+'@ATL'!D34+CHI!D34+'@DET'!D34+'@RAMS'!D34+PHI!D34+'@DEN'!D34+KCC!D34+SEA!D34+'@WAS'!D34+RAMS!D34+'@NOS'!D34+DAL!D34</f>
        <v>21</v>
      </c>
      <c r="E34" s="8">
        <f>+D34/$B$2</f>
        <v>1.3125</v>
      </c>
      <c r="F34" s="8">
        <f>14/16</f>
        <v>0.875</v>
      </c>
      <c r="H34" t="s">
        <v>19</v>
      </c>
      <c r="M34" s="2">
        <f>+'@MIN'!M34+ATL!M34+'@LAR'!M34+NOS!M34+'@ATL'!M34+CHI!M34+'@DET'!M34+'@RAMS'!M34+PHI!M34+'@DEN'!M34+KCC!M34+SEA!M34+'@WAS'!M34+RAMS!M34+'@NOS'!M34+DAL!M34</f>
        <v>21</v>
      </c>
      <c r="N34" s="8">
        <f>+M34/$B$2</f>
        <v>1.3125</v>
      </c>
      <c r="O34" s="21">
        <f>18/16</f>
        <v>1.125</v>
      </c>
    </row>
    <row r="35" spans="1:15" ht="12.75">
      <c r="A35" t="s">
        <v>20</v>
      </c>
      <c r="D35" s="2">
        <f>+'@MIN'!D35+ATL!D35+'@LAR'!D35+NOS!D35+'@ATL'!D35+CHI!D35+'@DET'!D35+'@RAMS'!D35+PHI!D35+'@DEN'!D35+KCC!D35+SEA!D35+'@WAS'!D35+RAMS!D35+'@NOS'!D35+DAL!D35</f>
        <v>249</v>
      </c>
      <c r="E35" s="8"/>
      <c r="F35" s="8">
        <f>80/16</f>
        <v>5</v>
      </c>
      <c r="H35" t="s">
        <v>20</v>
      </c>
      <c r="M35" s="2">
        <f>+'@MIN'!M35+ATL!M35+'@LAR'!M35+NOS!M35+'@ATL'!M35+CHI!M35+'@DET'!M35+'@RAMS'!M35+PHI!M35+'@DEN'!M35+KCC!M35+SEA!M35+'@WAS'!M35+RAMS!M35+'@NOS'!M35+DAL!M35</f>
        <v>344</v>
      </c>
      <c r="N35" s="8"/>
      <c r="O35" s="21">
        <f>310/16</f>
        <v>19.375</v>
      </c>
    </row>
    <row r="36" spans="1:15" ht="12.75">
      <c r="A36" t="s">
        <v>21</v>
      </c>
      <c r="D36" s="2">
        <f>+'@MIN'!D36+ATL!D36+'@LAR'!D36+NOS!D36+'@ATL'!D36+CHI!D36+'@DET'!D36+'@RAMS'!D36+PHI!D36+'@DEN'!D36+KCC!D36+SEA!D36+'@WAS'!D36+RAMS!D36+'@NOS'!D36+DAL!D36</f>
        <v>1</v>
      </c>
      <c r="E36" s="8"/>
      <c r="F36" s="8">
        <f>1/16</f>
        <v>0.0625</v>
      </c>
      <c r="H36" t="s">
        <v>21</v>
      </c>
      <c r="M36" s="2">
        <f>+'@MIN'!M36+ATL!M36+'@LAR'!M36+NOS!M36+'@ATL'!M36+CHI!M36+'@DET'!M36+'@RAMS'!M36+PHI!M36+'@DEN'!M36+KCC!M36+SEA!M36+'@WAS'!M36+RAMS!M36+'@NOS'!M36+DAL!M36</f>
        <v>1</v>
      </c>
      <c r="N36" s="8"/>
      <c r="O36" s="21">
        <f>1/16</f>
        <v>0.0625</v>
      </c>
    </row>
    <row r="37" spans="5:15" ht="12.75">
      <c r="E37" s="8"/>
      <c r="F37" s="8"/>
      <c r="N37" s="8"/>
      <c r="O37" s="21"/>
    </row>
    <row r="38" spans="1:15" ht="12.75">
      <c r="A38" t="s">
        <v>22</v>
      </c>
      <c r="D38" s="2">
        <f>+'@MIN'!D38+ATL!D38+'@LAR'!D38+NOS!D38+'@ATL'!D38+CHI!D38+'@DET'!D38+'@RAMS'!D38+PHI!D38+'@DEN'!D38+KCC!D38+SEA!D38+'@WAS'!D38+RAMS!D38+'@NOS'!D38+DAL!D38</f>
        <v>88</v>
      </c>
      <c r="E38" s="8">
        <f>+D38/$B$2</f>
        <v>5.5</v>
      </c>
      <c r="F38" s="21">
        <f>87/16</f>
        <v>5.4375</v>
      </c>
      <c r="H38" t="s">
        <v>22</v>
      </c>
      <c r="M38" s="2">
        <f>+'@MIN'!M38+ATL!M38+'@LAR'!M38+NOS!M38+'@ATL'!M38+CHI!M38+'@DET'!M38+'@RAMS'!M38+PHI!M38+'@DEN'!M38+KCC!M38+SEA!M38+'@WAS'!M38+RAMS!M38+'@NOS'!M38+DAL!M38</f>
        <v>114</v>
      </c>
      <c r="N38" s="8">
        <f>+M38/$B$2</f>
        <v>7.125</v>
      </c>
      <c r="O38" s="21">
        <f>92/16</f>
        <v>5.75</v>
      </c>
    </row>
    <row r="39" spans="1:15" ht="12.75">
      <c r="A39" t="s">
        <v>23</v>
      </c>
      <c r="D39" s="2">
        <f>+'@MIN'!D39+ATL!D39+'@LAR'!D39+NOS!D39+'@ATL'!D39+CHI!D39+'@DET'!D39+'@RAMS'!D39+PHI!D39+'@DEN'!D39+KCC!D39+SEA!D39+'@WAS'!D39+RAMS!D39+'@NOS'!D39+DAL!D39</f>
        <v>3594</v>
      </c>
      <c r="E39" s="8">
        <f>+D39/$B$2</f>
        <v>224.625</v>
      </c>
      <c r="F39" s="21">
        <f>3422/16</f>
        <v>213.875</v>
      </c>
      <c r="H39" t="s">
        <v>23</v>
      </c>
      <c r="M39" s="2">
        <f>+'@MIN'!M39+ATL!M39+'@LAR'!M39+NOS!M39+'@ATL'!M39+CHI!M39+'@DET'!M39+'@RAMS'!M39+PHI!M39+'@DEN'!M39+KCC!M39+SEA!M39+'@WAS'!M39+RAMS!M39+'@NOS'!M39+DAL!M39</f>
        <v>4784</v>
      </c>
      <c r="N39" s="8">
        <f>+M39/$B$2</f>
        <v>299</v>
      </c>
      <c r="O39" s="21">
        <f>3644/16</f>
        <v>227.75</v>
      </c>
    </row>
    <row r="40" spans="1:15" ht="12.75">
      <c r="A40" t="s">
        <v>24</v>
      </c>
      <c r="D40" s="8">
        <f>+D39/D38</f>
        <v>40.84090909090909</v>
      </c>
      <c r="E40" s="8"/>
      <c r="F40" s="21">
        <f>F39/F38</f>
        <v>39.333333333333336</v>
      </c>
      <c r="G40" s="7"/>
      <c r="H40" s="7" t="s">
        <v>24</v>
      </c>
      <c r="I40" s="7"/>
      <c r="J40" s="7"/>
      <c r="K40" s="7"/>
      <c r="L40" s="7"/>
      <c r="M40" s="8">
        <f>+M39/M38</f>
        <v>41.96491228070175</v>
      </c>
      <c r="N40" s="8"/>
      <c r="O40" s="21">
        <f>O39/O38</f>
        <v>39.608695652173914</v>
      </c>
    </row>
    <row r="41" spans="5:15" ht="12.75">
      <c r="E41" s="8"/>
      <c r="F41" s="21"/>
      <c r="N41" s="8"/>
      <c r="O41" s="21"/>
    </row>
    <row r="42" spans="1:15" ht="12.75">
      <c r="A42" t="s">
        <v>25</v>
      </c>
      <c r="D42" s="2">
        <f>+'@MIN'!D42+ATL!D42+'@LAR'!D42+NOS!D42+'@ATL'!D42+CHI!D42+'@DET'!D42+'@RAMS'!D42+PHI!D42+'@DEN'!D42+KCC!D42+SEA!D42+'@WAS'!D42+RAMS!D42+'@NOS'!D42+DAL!D42</f>
        <v>60</v>
      </c>
      <c r="E42" s="8">
        <f>+D42/$B$2</f>
        <v>3.75</v>
      </c>
      <c r="F42" s="21">
        <f>38/16</f>
        <v>2.375</v>
      </c>
      <c r="H42" t="s">
        <v>25</v>
      </c>
      <c r="M42" s="2">
        <f>+'@MIN'!M42+ATL!M42+'@LAR'!M42+NOS!M42+'@ATL'!M42+CHI!M42+'@DET'!M42+'@RAMS'!M42+PHI!M42+'@DEN'!M42+KCC!M42+SEA!M42+'@WAS'!M42+RAMS!M42+'@NOS'!M42+DAL!M42</f>
        <v>54</v>
      </c>
      <c r="N42" s="8">
        <f>+M42/$B$2</f>
        <v>3.375</v>
      </c>
      <c r="O42" s="21">
        <f>33/16</f>
        <v>2.0625</v>
      </c>
    </row>
    <row r="43" spans="1:15" ht="12.75">
      <c r="A43" t="s">
        <v>26</v>
      </c>
      <c r="D43" s="2">
        <f>+'@MIN'!D43+ATL!D43+'@LAR'!D43+NOS!D43+'@ATL'!D43+CHI!D43+'@DET'!D43+'@RAMS'!D43+PHI!D43+'@DEN'!D43+KCC!D43+SEA!D43+'@WAS'!D43+RAMS!D43+'@NOS'!D43+DAL!D43</f>
        <v>476</v>
      </c>
      <c r="E43" s="8">
        <f>+D43/$B$2</f>
        <v>29.75</v>
      </c>
      <c r="F43" s="21">
        <f>258/16</f>
        <v>16.125</v>
      </c>
      <c r="H43" t="s">
        <v>26</v>
      </c>
      <c r="M43" s="2">
        <f>+'@MIN'!M43+ATL!M43+'@LAR'!M43+NOS!M43+'@ATL'!M43+CHI!M43+'@DET'!M43+'@RAMS'!M43+PHI!M43+'@DEN'!M43+KCC!M43+SEA!M43+'@WAS'!M43+RAMS!M43+'@NOS'!M43+DAL!M43</f>
        <v>493</v>
      </c>
      <c r="N43" s="8">
        <f>+M43/$B$2</f>
        <v>30.8125</v>
      </c>
      <c r="O43" s="21">
        <f>294/16</f>
        <v>18.375</v>
      </c>
    </row>
    <row r="44" spans="1:15" ht="12.75">
      <c r="A44" t="s">
        <v>27</v>
      </c>
      <c r="D44" s="8">
        <f>+D43/D42</f>
        <v>7.933333333333334</v>
      </c>
      <c r="E44" s="8">
        <f>+D44/$B$2</f>
        <v>0.49583333333333335</v>
      </c>
      <c r="F44" s="21">
        <f>F43/F42</f>
        <v>6.7894736842105265</v>
      </c>
      <c r="H44" t="s">
        <v>27</v>
      </c>
      <c r="M44" s="8">
        <f>+M43/M42</f>
        <v>9.12962962962963</v>
      </c>
      <c r="N44" s="8">
        <f>+M44/$B$2</f>
        <v>0.5706018518518519</v>
      </c>
      <c r="O44" s="21">
        <f>O43/O42</f>
        <v>8.909090909090908</v>
      </c>
    </row>
    <row r="45" spans="1:15" ht="12.75">
      <c r="A45" t="s">
        <v>106</v>
      </c>
      <c r="D45" s="2">
        <f>+'@MIN'!D45+ATL!D45+'@LAR'!D45+NOS!D45+'@ATL'!D45+CHI!D45+'@DET'!D45+'@RAMS'!D45+PHI!D45+'@DEN'!D45+KCC!D45+SEA!D45+'@WAS'!D45+RAMS!D45+'@NOS'!D45+DAL!D45</f>
        <v>23</v>
      </c>
      <c r="E45" s="8">
        <f>+D45/$B$2</f>
        <v>1.4375</v>
      </c>
      <c r="F45" s="21">
        <f>14/16</f>
        <v>0.875</v>
      </c>
      <c r="H45" t="s">
        <v>106</v>
      </c>
      <c r="M45" s="2">
        <f>+'@MIN'!M45+ATL!M45+'@LAR'!M45+NOS!M45+'@ATL'!M45+CHI!M45+'@DET'!M45+'@RAMS'!M45+PHI!M45+'@DEN'!M45+KCC!M45+SEA!M45+'@WAS'!M45+RAMS!M45+'@NOS'!M45+DAL!M45</f>
        <v>16</v>
      </c>
      <c r="N45" s="8">
        <f>+M45/$B$2</f>
        <v>1</v>
      </c>
      <c r="O45" s="21">
        <f>6/16</f>
        <v>0.375</v>
      </c>
    </row>
    <row r="46" spans="1:15" ht="12.75">
      <c r="A46" t="s">
        <v>28</v>
      </c>
      <c r="D46" s="2">
        <f>+'@MIN'!D46+ATL!D46+'@LAR'!D46+NOS!D46+'@ATL'!D46+CHI!D46+'@DET'!D46+'@RAMS'!D46+PHI!D46+'@DEN'!D46+KCC!D46+SEA!D46+'@WAS'!D46+RAMS!D46+'@NOS'!D46+DAL!D46</f>
        <v>0</v>
      </c>
      <c r="E46" s="8">
        <f>+D46/$B$2</f>
        <v>0</v>
      </c>
      <c r="F46" s="21">
        <f>0/16</f>
        <v>0</v>
      </c>
      <c r="H46" t="s">
        <v>28</v>
      </c>
      <c r="M46" s="2">
        <f>+'@MIN'!M46+ATL!M46+'@LAR'!M46+NOS!M46+'@ATL'!M46+CHI!M46+'@DET'!M46+'@RAMS'!M46+PHI!M46+'@DEN'!M46+KCC!M46+SEA!M46+'@WAS'!M46+RAMS!M46+'@NOS'!M46+DAL!M46</f>
        <v>1</v>
      </c>
      <c r="N46" s="8">
        <f>+M46/$B$2</f>
        <v>0.0625</v>
      </c>
      <c r="O46" s="21">
        <f>1/16</f>
        <v>0.0625</v>
      </c>
    </row>
    <row r="47" spans="5:15" ht="12.75">
      <c r="E47" s="8"/>
      <c r="F47" s="21"/>
      <c r="N47" s="8"/>
      <c r="O47" s="21"/>
    </row>
    <row r="48" spans="1:15" ht="12.75">
      <c r="A48" t="s">
        <v>30</v>
      </c>
      <c r="D48" s="2">
        <f>+'@MIN'!D48+ATL!D48+'@LAR'!D48+NOS!D48+'@ATL'!D48+CHI!D48+'@DET'!D48+'@RAMS'!D48+PHI!D48+'@DEN'!D48+KCC!D48+SEA!D48+'@WAS'!D48+RAMS!D48+'@NOS'!D48+DAL!D48</f>
        <v>57</v>
      </c>
      <c r="E48" s="8">
        <f>+D48/$B$2</f>
        <v>3.5625</v>
      </c>
      <c r="F48" s="21">
        <f>58/16</f>
        <v>3.625</v>
      </c>
      <c r="H48" t="s">
        <v>30</v>
      </c>
      <c r="M48" s="2">
        <f>+'@MIN'!M48+ATL!M48+'@LAR'!M48+NOS!M48+'@ATL'!M48+CHI!M48+'@DET'!M48+'@RAMS'!M48+PHI!M48+'@DEN'!M48+KCC!M48+SEA!M48+'@WAS'!M48+RAMS!M48+'@NOS'!M48+DAL!M48</f>
        <v>68</v>
      </c>
      <c r="N48" s="8">
        <f>+M48/$B$2</f>
        <v>4.25</v>
      </c>
      <c r="O48" s="21">
        <f>72/16</f>
        <v>4.5</v>
      </c>
    </row>
    <row r="49" spans="1:15" ht="12.75">
      <c r="A49" t="s">
        <v>26</v>
      </c>
      <c r="D49" s="2">
        <f>+'@MIN'!D49+ATL!D49+'@LAR'!D49+NOS!D49+'@ATL'!D49+CHI!D49+'@DET'!D49+'@RAMS'!D49+PHI!D49+'@DEN'!D49+KCC!D49+SEA!D49+'@WAS'!D49+RAMS!D49+'@NOS'!D49+DAL!D49</f>
        <v>1088</v>
      </c>
      <c r="E49" s="8">
        <f>+D49/$B$2</f>
        <v>68</v>
      </c>
      <c r="F49" s="21">
        <f>1269/16</f>
        <v>79.3125</v>
      </c>
      <c r="H49" t="s">
        <v>26</v>
      </c>
      <c r="M49" s="2">
        <f>+'@MIN'!M49+ATL!M49+'@LAR'!M49+NOS!M49+'@ATL'!M49+CHI!M49+'@DET'!M49+'@RAMS'!M49+PHI!M49+'@DEN'!M49+KCC!M49+SEA!M49+'@WAS'!M49+RAMS!M49+'@NOS'!M49+DAL!M49</f>
        <v>1483</v>
      </c>
      <c r="N49" s="8">
        <f>+M49/$B$2</f>
        <v>92.6875</v>
      </c>
      <c r="O49" s="21">
        <f>1485/16</f>
        <v>92.8125</v>
      </c>
    </row>
    <row r="50" spans="1:15" ht="12.75">
      <c r="A50" t="s">
        <v>27</v>
      </c>
      <c r="D50" s="8">
        <f>+D49/D48</f>
        <v>19.087719298245613</v>
      </c>
      <c r="E50" s="8"/>
      <c r="F50" s="21">
        <f>F49/F48</f>
        <v>21.879310344827587</v>
      </c>
      <c r="H50" t="s">
        <v>27</v>
      </c>
      <c r="M50" s="8">
        <f>+M49/M48</f>
        <v>21.808823529411764</v>
      </c>
      <c r="N50" s="8"/>
      <c r="O50" s="21">
        <f>O49/O48</f>
        <v>20.625</v>
      </c>
    </row>
    <row r="51" spans="1:15" ht="12.75">
      <c r="A51" t="s">
        <v>28</v>
      </c>
      <c r="D51" s="2">
        <f>+'@MIN'!D51+ATL!D51+'@LAR'!D51+NOS!D51+'@ATL'!D51+CHI!D51+'@DET'!D51+'@RAMS'!D51+PHI!D51+'@DEN'!D51+KCC!D51+SEA!D51+'@WAS'!D51+RAMS!D51+'@NOS'!D51+DAL!D51</f>
        <v>1</v>
      </c>
      <c r="E51" s="8"/>
      <c r="F51" s="21">
        <f>1/16</f>
        <v>0.0625</v>
      </c>
      <c r="H51" t="s">
        <v>28</v>
      </c>
      <c r="M51" s="2">
        <f>+'@MIN'!M51+ATL!M51+'@LAR'!M51+NOS!M51+'@ATL'!M51+CHI!M51+'@DET'!M51+'@RAMS'!M51+PHI!M51+'@DEN'!M51+KCC!M51+SEA!M51+'@WAS'!M51+RAMS!M51+'@NOS'!M51+DAL!M51</f>
        <v>0</v>
      </c>
      <c r="N51" s="8"/>
      <c r="O51" s="21">
        <f>1/16</f>
        <v>0.0625</v>
      </c>
    </row>
    <row r="52" spans="5:15" ht="12.75">
      <c r="E52" s="8"/>
      <c r="F52" s="8"/>
      <c r="N52" s="8"/>
      <c r="O52" s="21"/>
    </row>
    <row r="53" spans="1:15" ht="12.75">
      <c r="A53" t="s">
        <v>31</v>
      </c>
      <c r="D53" s="2">
        <f>+'@MIN'!D53+ATL!D53+'@LAR'!D53+NOS!D53+'@ATL'!D53+CHI!D53+'@DET'!D53+'@RAMS'!D53+PHI!D53+'@DEN'!D53+KCC!D53+SEA!D53+'@WAS'!D53+RAMS!D53+'@NOS'!D53+DAL!D53</f>
        <v>107</v>
      </c>
      <c r="E53" s="8">
        <f>+D53/$B$2</f>
        <v>6.6875</v>
      </c>
      <c r="F53" s="21">
        <f>105/16</f>
        <v>6.5625</v>
      </c>
      <c r="H53" t="s">
        <v>31</v>
      </c>
      <c r="M53" s="2">
        <f>+'@MIN'!M53+ATL!M53+'@LAR'!M53+NOS!M53+'@ATL'!M53+CHI!M53+'@DET'!M53+'@RAMS'!M53+PHI!M53+'@DEN'!M53+KCC!M53+SEA!M53+'@WAS'!M53+RAMS!M53+'@NOS'!M53+DAL!M53</f>
        <v>91</v>
      </c>
      <c r="N53" s="8">
        <f>+M53/$B$2</f>
        <v>5.6875</v>
      </c>
      <c r="O53" s="21">
        <f>106/16</f>
        <v>6.625</v>
      </c>
    </row>
    <row r="54" spans="1:15" ht="12.75">
      <c r="A54" t="s">
        <v>32</v>
      </c>
      <c r="D54" s="2">
        <f>+'@MIN'!D54+ATL!D54+'@LAR'!D54+NOS!D54+'@ATL'!D54+CHI!D54+'@DET'!D54+'@RAMS'!D54+PHI!D54+'@DEN'!D54+KCC!D54+SEA!D54+'@WAS'!D54+RAMS!D54+'@NOS'!D54+DAL!D54</f>
        <v>927</v>
      </c>
      <c r="E54" s="8">
        <f>+D54/$B$2</f>
        <v>57.9375</v>
      </c>
      <c r="F54" s="21">
        <f>868/16</f>
        <v>54.25</v>
      </c>
      <c r="H54" t="s">
        <v>32</v>
      </c>
      <c r="M54" s="2">
        <f>+'@MIN'!M54+ATL!M54+'@LAR'!M54+NOS!M54+'@ATL'!M54+CHI!M54+'@DET'!M54+'@RAMS'!M54+PHI!M54+'@DEN'!M54+KCC!M54+SEA!M54+'@WAS'!M54+RAMS!M54+'@NOS'!M54+DAL!M54</f>
        <v>693</v>
      </c>
      <c r="N54" s="8">
        <f>+M54/$B$2</f>
        <v>43.3125</v>
      </c>
      <c r="O54" s="21">
        <f>778/16</f>
        <v>48.625</v>
      </c>
    </row>
    <row r="55" spans="5:15" ht="12.75">
      <c r="E55" s="8"/>
      <c r="F55" s="21"/>
      <c r="N55" s="8"/>
      <c r="O55" s="21"/>
    </row>
    <row r="56" spans="1:15" ht="12.75">
      <c r="A56" t="s">
        <v>33</v>
      </c>
      <c r="D56" s="2">
        <f>+'@MIN'!D56+ATL!D56+'@LAR'!D56+NOS!D56+'@ATL'!D56+CHI!D56+'@DET'!D56+'@RAMS'!D56+PHI!D56+'@DEN'!D56+KCC!D56+SEA!D56+'@WAS'!D56+RAMS!D56+'@NOS'!D56+DAL!D56</f>
        <v>25</v>
      </c>
      <c r="E56" s="8">
        <f>+D56/$B$2</f>
        <v>1.5625</v>
      </c>
      <c r="F56" s="21">
        <f>29/16</f>
        <v>1.8125</v>
      </c>
      <c r="H56" t="s">
        <v>33</v>
      </c>
      <c r="M56" s="2">
        <f>+'@MIN'!M56+ATL!M56+'@LAR'!M56+NOS!M56+'@ATL'!M56+CHI!M56+'@DET'!M56+'@RAMS'!M56+PHI!M56+'@DEN'!M56+KCC!M56+SEA!M56+'@WAS'!M56+RAMS!M56+'@NOS'!M56+DAL!M56</f>
        <v>13</v>
      </c>
      <c r="N56" s="8">
        <f>+M56/$B$2</f>
        <v>0.8125</v>
      </c>
      <c r="O56" s="21">
        <f>31/16</f>
        <v>1.9375</v>
      </c>
    </row>
    <row r="57" spans="1:15" ht="12.75">
      <c r="A57" t="s">
        <v>101</v>
      </c>
      <c r="D57" s="2">
        <f>+'@MIN'!D57+ATL!D57+'@LAR'!D57+NOS!D57+'@ATL'!D57+CHI!D57+'@DET'!D57+'@RAMS'!D57+PHI!D57+'@DEN'!D57+KCC!D57+SEA!D57+'@WAS'!D57+RAMS!D57+'@NOS'!D57+DAL!D57</f>
        <v>17</v>
      </c>
      <c r="E57" s="8">
        <f>+D57/$B$2</f>
        <v>1.0625</v>
      </c>
      <c r="F57" s="21">
        <f>20/16</f>
        <v>1.25</v>
      </c>
      <c r="H57" t="s">
        <v>101</v>
      </c>
      <c r="M57" s="2">
        <f>+'@MIN'!M57+ATL!M57+'@LAR'!M57+NOS!M57+'@ATL'!M57+CHI!M57+'@DET'!M57+'@RAMS'!M57+PHI!M57+'@DEN'!M57+KCC!M57+SEA!M57+'@WAS'!M57+RAMS!M57+'@NOS'!M57+DAL!M57</f>
        <v>7</v>
      </c>
      <c r="N57" s="8">
        <f>+M57/$B$2</f>
        <v>0.4375</v>
      </c>
      <c r="O57" s="21">
        <f>17/16</f>
        <v>1.0625</v>
      </c>
    </row>
    <row r="58" spans="5:15" ht="12.75">
      <c r="E58" s="8"/>
      <c r="F58" s="21"/>
      <c r="N58" s="8"/>
      <c r="O58" s="21"/>
    </row>
    <row r="59" spans="1:15" ht="12.75">
      <c r="A59" t="s">
        <v>34</v>
      </c>
      <c r="D59" s="2">
        <f>+'@MIN'!D59+ATL!D59+'@LAR'!D59+NOS!D59+'@ATL'!D59+CHI!D59+'@DET'!D59+'@RAMS'!D59+PHI!D59+'@DEN'!D59+KCC!D59+SEA!D59+'@WAS'!D59+RAMS!D59+'@NOS'!D59+DAL!D59</f>
        <v>421</v>
      </c>
      <c r="E59" s="8">
        <f aca="true" t="shared" si="0" ref="E59:E67">+D59/$B$2</f>
        <v>26.3125</v>
      </c>
      <c r="F59" s="21">
        <f>411/16</f>
        <v>25.6875</v>
      </c>
      <c r="H59" t="s">
        <v>34</v>
      </c>
      <c r="M59" s="2">
        <f>+'@MIN'!M59+ATL!M59+'@LAR'!M59+NOS!M59+'@ATL'!M59+CHI!M59+'@DET'!M59+'@RAMS'!M59+PHI!M59+'@DEN'!M59+KCC!M59+SEA!M59+'@WAS'!M59+RAMS!M59+'@NOS'!M59+DAL!M59</f>
        <v>279</v>
      </c>
      <c r="N59" s="8">
        <f aca="true" t="shared" si="1" ref="N59:N67">+M59/$B$2</f>
        <v>17.4375</v>
      </c>
      <c r="O59" s="21">
        <f>263/16</f>
        <v>16.4375</v>
      </c>
    </row>
    <row r="60" spans="1:15" ht="12.75">
      <c r="A60" t="s">
        <v>35</v>
      </c>
      <c r="D60" s="2">
        <f>+'@MIN'!D60+ATL!D60+'@LAR'!D60+NOS!D60+'@ATL'!D60+CHI!D60+'@DET'!D60+'@RAMS'!D60+PHI!D60+'@DEN'!D60+KCC!D60+SEA!D60+'@WAS'!D60+RAMS!D60+'@NOS'!D60+DAL!D60</f>
        <v>50</v>
      </c>
      <c r="E60" s="8">
        <f t="shared" si="0"/>
        <v>3.125</v>
      </c>
      <c r="F60" s="21">
        <f>53/16</f>
        <v>3.3125</v>
      </c>
      <c r="H60" t="s">
        <v>35</v>
      </c>
      <c r="M60" s="2">
        <f>+'@MIN'!M60+ATL!M60+'@LAR'!M60+NOS!M60+'@ATL'!M60+CHI!M60+'@DET'!M60+'@RAMS'!M60+PHI!M60+'@DEN'!M60+KCC!M60+SEA!M60+'@WAS'!M60+RAMS!M60+'@NOS'!M60+DAL!M60</f>
        <v>27</v>
      </c>
      <c r="N60" s="8">
        <f t="shared" si="1"/>
        <v>1.6875</v>
      </c>
      <c r="O60" s="21">
        <f>26/16</f>
        <v>1.625</v>
      </c>
    </row>
    <row r="61" spans="1:15" ht="12.75">
      <c r="A61" t="s">
        <v>36</v>
      </c>
      <c r="D61" s="2">
        <f>+'@MIN'!D61+ATL!D61+'@LAR'!D61+NOS!D61+'@ATL'!D61+CHI!D61+'@DET'!D61+'@RAMS'!D61+PHI!D61+'@DEN'!D61+KCC!D61+SEA!D61+'@WAS'!D61+RAMS!D61+'@NOS'!D61+'@NOS'!D61</f>
        <v>22</v>
      </c>
      <c r="E61" s="8">
        <f t="shared" si="0"/>
        <v>1.375</v>
      </c>
      <c r="F61" s="21">
        <f>20/16</f>
        <v>1.25</v>
      </c>
      <c r="H61" t="s">
        <v>36</v>
      </c>
      <c r="M61" s="2">
        <f>+'@MIN'!M61+ATL!M61+'@LAR'!M61+NOS!M61+'@ATL'!M61+CHI!M61+'@DET'!M61+'@RAMS'!M61+PHI!M61+'@DEN'!M61+KCC!M61+SEA!M61+'@WAS'!M61+RAMS!M61+'@WAS'!M61+RAMS!M61</f>
        <v>10</v>
      </c>
      <c r="N61" s="8">
        <f t="shared" si="1"/>
        <v>0.625</v>
      </c>
      <c r="O61" s="21">
        <f>10/16</f>
        <v>0.625</v>
      </c>
    </row>
    <row r="62" spans="1:15" ht="12.75">
      <c r="A62" t="s">
        <v>37</v>
      </c>
      <c r="D62" s="2">
        <f>+'@MIN'!D62+ATL!D62+'@LAR'!D62+NOS!D62+'@ATL'!D62+CHI!D62+'@DET'!D62+'@RAMS'!D62+PHI!D62+'@DEN'!D62+KCC!D62+SEA!D62+'@WAS'!D62+RAMS!D62+'@NOS'!D62+DAL!D62</f>
        <v>22</v>
      </c>
      <c r="E62" s="8">
        <f t="shared" si="0"/>
        <v>1.375</v>
      </c>
      <c r="F62" s="21">
        <f>28/16</f>
        <v>1.75</v>
      </c>
      <c r="H62" t="s">
        <v>37</v>
      </c>
      <c r="M62" s="2">
        <f>+'@MIN'!M62+ATL!M62+'@LAR'!M62+NOS!M62+'@ATL'!M62+CHI!M62+'@DET'!M62+'@RAMS'!M62+PHI!M62+'@DEN'!M62+KCC!M62+SEA!M62+'@WAS'!M62+RAMS!M62+'@NOS'!M62+DAL!M62</f>
        <v>14</v>
      </c>
      <c r="N62" s="8">
        <f t="shared" si="1"/>
        <v>0.875</v>
      </c>
      <c r="O62" s="21">
        <f>11/16</f>
        <v>0.6875</v>
      </c>
    </row>
    <row r="63" spans="1:15" ht="12.75">
      <c r="A63" t="s">
        <v>38</v>
      </c>
      <c r="D63" s="2">
        <f>+'@MIN'!D63+ATL!D63+'@LAR'!D63+NOS!D63+'@ATL'!D63+CHI!D63+'@DET'!D63+'@RAMS'!D63+PHI!D63+'@DEN'!D63+KCC!D63+SEA!D63+'@WAS'!D63+RAMS!D63+'@NOS'!D63+DAL!D63</f>
        <v>4</v>
      </c>
      <c r="E63" s="8">
        <f t="shared" si="0"/>
        <v>0.25</v>
      </c>
      <c r="F63" s="21">
        <f>5/16</f>
        <v>0.3125</v>
      </c>
      <c r="H63" t="s">
        <v>38</v>
      </c>
      <c r="M63" s="2">
        <f>+'@MIN'!M63+ATL!M63+'@LAR'!M63+NOS!M63+'@ATL'!M63+CHI!M63+'@DET'!M63+'@RAMS'!M63+PHI!M63+'@DEN'!M63+KCC!M63+SEA!M63+'@WAS'!M63+RAMS!M63+'@NOS'!M63+DAL!M63</f>
        <v>2</v>
      </c>
      <c r="N63" s="8">
        <f t="shared" si="1"/>
        <v>0.125</v>
      </c>
      <c r="O63" s="21">
        <f>5/16</f>
        <v>0.3125</v>
      </c>
    </row>
    <row r="64" spans="1:15" ht="12.75">
      <c r="A64" t="s">
        <v>39</v>
      </c>
      <c r="D64" s="2">
        <f>+'@MIN'!D64+ATL!D64+'@LAR'!D64+NOS!D64+'@ATL'!D64+CHI!D64+'@DET'!D64+'@RAMS'!D64+PHI!D64+'@DEN'!D64+KCC!D64+SEA!D64+'@WAS'!D64+RAMS!D64+'@NOS'!D64+DAL!D64</f>
        <v>49</v>
      </c>
      <c r="E64" s="8">
        <f t="shared" si="0"/>
        <v>3.0625</v>
      </c>
      <c r="F64" s="21">
        <f>52/16</f>
        <v>3.25</v>
      </c>
      <c r="H64" t="s">
        <v>39</v>
      </c>
      <c r="M64" s="2">
        <f>+'@MIN'!M64+ATL!M64+'@LAR'!M64+NOS!M64+'@ATL'!M64+CHI!M64+'@DET'!M64+'@RAMS'!M64+PHI!M64+'@DEN'!M64+KCC!M64+SEA!M64+'@WAS'!M64+RAMS!M64+'@NOS'!M64+DAL!M64</f>
        <v>27</v>
      </c>
      <c r="N64" s="8">
        <f t="shared" si="1"/>
        <v>1.6875</v>
      </c>
      <c r="O64" s="21">
        <f>24/16</f>
        <v>1.5</v>
      </c>
    </row>
    <row r="65" spans="1:15" ht="12.75">
      <c r="A65" t="s">
        <v>40</v>
      </c>
      <c r="D65" s="2">
        <f>+'@MIN'!D65+ATL!D65+'@LAR'!D65+NOS!D65+'@ATL'!D65+CHI!D65+'@DET'!D65+'@RAMS'!D65+PHI!D65+'@DEN'!D65+KCC!D65+SEA!D65+'@WAS'!D65+RAMS!D65+'@NOS'!D65+DAL!D65</f>
        <v>0</v>
      </c>
      <c r="E65" s="8">
        <f t="shared" si="0"/>
        <v>0</v>
      </c>
      <c r="F65" s="21">
        <f>1/16</f>
        <v>0.0625</v>
      </c>
      <c r="H65" t="s">
        <v>40</v>
      </c>
      <c r="M65" s="2">
        <f>+'@MIN'!M65+ATL!M65+'@LAR'!M65+NOS!M65+'@ATL'!M65+CHI!M65+'@DET'!M65+'@RAMS'!M65+PHI!M65+'@DEN'!M65+KCC!M65+SEA!M65+'@WAS'!M65+RAMS!M65+'@NOS'!M65+DAL!M65</f>
        <v>0</v>
      </c>
      <c r="N65" s="8">
        <f t="shared" si="1"/>
        <v>0</v>
      </c>
      <c r="O65" s="21">
        <f>1/16</f>
        <v>0.0625</v>
      </c>
    </row>
    <row r="66" spans="1:15" ht="12.75">
      <c r="A66" t="s">
        <v>41</v>
      </c>
      <c r="D66" s="2">
        <f>+'@MIN'!D66+ATL!D66+'@LAR'!D66+NOS!D66+'@ATL'!D66+CHI!D66+'@DET'!D66+'@RAMS'!D66+PHI!D66+'@DEN'!D66+KCC!D66+SEA!D66+'@WAS'!D66+RAMS!D66+'@NOS'!D66+DAL!D66</f>
        <v>24</v>
      </c>
      <c r="E66" s="8">
        <f t="shared" si="0"/>
        <v>1.5</v>
      </c>
      <c r="F66" s="21">
        <f>13/16</f>
        <v>0.8125</v>
      </c>
      <c r="H66" t="s">
        <v>41</v>
      </c>
      <c r="M66" s="2">
        <f>+'@MIN'!M66+ATL!M66+'@LAR'!M66+NOS!M66+'@ATL'!M66+CHI!M66+'@DET'!M66+'@RAMS'!M66+PHI!M66+'@DEN'!M66+KCC!M66+SEA!M66+'@WAS'!M66+RAMS!M66+'@NOS'!M66+DAL!M66</f>
        <v>30</v>
      </c>
      <c r="N66" s="8">
        <f t="shared" si="1"/>
        <v>1.875</v>
      </c>
      <c r="O66" s="21">
        <f>27/16</f>
        <v>1.6875</v>
      </c>
    </row>
    <row r="67" spans="1:15" ht="12.75">
      <c r="A67" t="s">
        <v>42</v>
      </c>
      <c r="D67" s="2">
        <f>+'@MIN'!D67+ATL!D67+'@LAR'!D67+NOS!D67+'@ATL'!D67+CHI!D67+'@DET'!D67+'@RAMS'!D67+PHI!D67+'@DEN'!D67+KCC!D67+SEA!D67+'@WAS'!D67+RAMS!D67</f>
        <v>30</v>
      </c>
      <c r="E67" s="8">
        <f t="shared" si="0"/>
        <v>1.875</v>
      </c>
      <c r="F67" s="21">
        <f>21/16</f>
        <v>1.3125</v>
      </c>
      <c r="H67" t="s">
        <v>42</v>
      </c>
      <c r="M67" s="2">
        <f>+'@MIN'!M67+ATL!M67+'@LAR'!M67+NOS!M67+'@ATL'!M67+CHI!M67+'@DET'!M67+'@RAMS'!M67+PHI!M67+'@DEN'!M67+KCC!M67+SEA!M67+'@WAS'!M67+RAMS!M67+'@NOS'!M67+DAL!M67</f>
        <v>38</v>
      </c>
      <c r="N67" s="8">
        <f t="shared" si="1"/>
        <v>2.375</v>
      </c>
      <c r="O67" s="21">
        <f>35/16</f>
        <v>2.1875</v>
      </c>
    </row>
    <row r="68" spans="1:15" ht="12.75">
      <c r="A68" t="s">
        <v>43</v>
      </c>
      <c r="D68" s="8">
        <f>+D66/D67*100</f>
        <v>80</v>
      </c>
      <c r="E68" s="8">
        <f>E66/E67*100</f>
        <v>80</v>
      </c>
      <c r="F68" s="21">
        <f>F66/F67*100</f>
        <v>61.904761904761905</v>
      </c>
      <c r="G68" s="7"/>
      <c r="H68" s="7" t="s">
        <v>43</v>
      </c>
      <c r="I68" s="7"/>
      <c r="J68" s="7"/>
      <c r="K68" s="7"/>
      <c r="L68" s="7"/>
      <c r="M68" s="8">
        <f>+M66/M67*100</f>
        <v>78.94736842105263</v>
      </c>
      <c r="N68" s="8">
        <f>N66/N67*100</f>
        <v>78.94736842105263</v>
      </c>
      <c r="O68" s="21">
        <f>O66/O67*100</f>
        <v>77.14285714285715</v>
      </c>
    </row>
    <row r="69" spans="1:15" ht="12.75">
      <c r="A69" t="s">
        <v>88</v>
      </c>
      <c r="D69" s="10" t="str">
        <f>IF(V23&lt;10,V27,V26)</f>
        <v>30:00</v>
      </c>
      <c r="E69" s="8"/>
      <c r="F69" s="21">
        <v>28.4</v>
      </c>
      <c r="H69" t="s">
        <v>88</v>
      </c>
      <c r="M69" s="10" t="str">
        <f>IF(W23&lt;10,W27,W26)</f>
        <v>29:60</v>
      </c>
      <c r="N69" s="8"/>
      <c r="O69" s="21">
        <v>31.1</v>
      </c>
    </row>
    <row r="70" spans="1:15" ht="12.75">
      <c r="A70" t="s">
        <v>102</v>
      </c>
      <c r="D70" s="23">
        <f>D154</f>
        <v>33.33333333333333</v>
      </c>
      <c r="E70" s="8">
        <f>D70</f>
        <v>33.33333333333333</v>
      </c>
      <c r="F70" s="21">
        <v>38.8</v>
      </c>
      <c r="H70" t="s">
        <v>102</v>
      </c>
      <c r="M70" s="23">
        <f>M154</f>
        <v>30.038022813688215</v>
      </c>
      <c r="N70" s="8">
        <f>M70</f>
        <v>30.038022813688215</v>
      </c>
      <c r="O70" s="21">
        <v>32.7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15" ht="12.75">
      <c r="A74" t="s">
        <v>109</v>
      </c>
      <c r="C74">
        <f>+'@MIN'!C74+ATL!C74+'@LAR'!C74+NOS!C74+'@ATL'!C74+CHI!C74+'@DET'!C74+'@RAMS'!C74+PHI!C74+'@DEN'!C74+KCC!C74+SEA!C74+'@WAS'!C74+RAMS!C74+'@NOS'!C74+DAL!C74</f>
        <v>207</v>
      </c>
      <c r="D74">
        <f>+'@MIN'!D74+ATL!D74+'@LAR'!D74+NOS!D74+'@ATL'!D74+CHI!D74+'@DET'!D74+'@RAMS'!D74+PHI!D74+'@DEN'!D74+KCC!D74+SEA!D74+'@WAS'!D74+RAMS!D74+'@NOS'!D74+DAL!D74</f>
        <v>1196</v>
      </c>
      <c r="E74" s="12">
        <f aca="true" t="shared" si="2" ref="E74:E82">+D74/C74</f>
        <v>5.777777777777778</v>
      </c>
      <c r="F74">
        <f>MAX('@MIN'!F74,ATL!F74,'@LAR'!F74,NOS!F74,'@ATL'!F74,CHI!F74,'@DET'!F74,PHI!F74,'@DEN'!F74,KCC!F74,SEA!F74,'@WAS'!F74,RAMS!F74,RAMS!F74,'@NOS'!F74,DAL!F74,+'@RAMS'!F74)</f>
        <v>62</v>
      </c>
      <c r="G74">
        <f>+'@MIN'!G74+ATL!G74+'@LAR'!G74+NOS!G74+'@ATL'!G74+CHI!G74+'@DET'!G74+'@RAMS'!G74+PHI!G74+'@DEN'!G74+KCC!G74+SEA!G74+'@WAS'!G74+RAMS!G74+'@NOS'!G74+DAL!G74</f>
        <v>11</v>
      </c>
      <c r="H74">
        <f>'@MIN'!H74+ATL!H74+'@LAR'!H74+NOS!H74+'@ATL'!H74+CHI!H74+'@DET'!H74+'@RAMS'!H74+PHI!H74+'@DEN'!H74+KCC!H74+SEA!H74+'@WAS'!H74+RAMS!H74+'@NOS'!H74+DAL!H74</f>
        <v>1</v>
      </c>
      <c r="O74" s="24"/>
    </row>
    <row r="75" spans="1:15" ht="12.75">
      <c r="A75" t="s">
        <v>110</v>
      </c>
      <c r="C75">
        <f>+'@MIN'!C75+ATL!C75+'@LAR'!C75+NOS!C75+'@ATL'!C75+CHI!C75+'@DET'!C75+'@RAMS'!C75+PHI!C75+'@DEN'!C75+KCC!C75+SEA!C75+'@WAS'!C75+RAMS!C75+'@NOS'!C75+'@NOS'!C75</f>
        <v>170</v>
      </c>
      <c r="D75">
        <f>+'@MIN'!D75+ATL!D75+'@LAR'!D75+NOS!D75+'@ATL'!D75+CHI!D75+'@DET'!D75+'@RAMS'!D75+PHI!D75+'@DEN'!D75+KCC!D75+SEA!D75+'@WAS'!D75+RAMS!D75+'@NOS'!D75+DAL!D75</f>
        <v>745</v>
      </c>
      <c r="E75" s="12">
        <f t="shared" si="2"/>
        <v>4.382352941176471</v>
      </c>
      <c r="F75">
        <f>MAX('@MIN'!F75,ATL!F75,'@LAR'!F75,NOS!F75,'@ATL'!F75,CHI!F75,'@DET'!F75,PHI!F75,'@DEN'!F75,KCC!F75,SEA!F75,'@WAS'!F75,RAMS!F75,RAMS!F75,'@NOS'!F75,DAL!F75,+'@RAMS'!F75)</f>
        <v>30</v>
      </c>
      <c r="G75">
        <f>+'@MIN'!G75+ATL!G75+'@LAR'!G75+NOS!G75+'@ATL'!G75+CHI!G75+'@DET'!G75+'@RAMS'!G75+PHI!G75+'@DEN'!G75+KCC!G75+SEA!G75+'@WAS'!G75+RAMS!G75+'@NOS'!G75+DAL!G75</f>
        <v>5</v>
      </c>
      <c r="H75">
        <f>'@MIN'!H75+ATL!H75+'@LAR'!H75+NOS!H75+'@ATL'!H75+CHI!H75+'@DET'!H75+'@RAMS'!H75+PHI!H75+'@DEN'!H75+KCC!H75+SEA!H75+'@WAS'!H75+RAMS!H75+'@NOS'!H75+DAL!H75</f>
        <v>6</v>
      </c>
      <c r="O75" s="24"/>
    </row>
    <row r="76" spans="1:15" ht="12.75">
      <c r="A76" t="s">
        <v>111</v>
      </c>
      <c r="C76">
        <f>+'@MIN'!C76+ATL!C76+'@LAR'!C76+NOS!C76+'@ATL'!C76+CHI!C76+'@DET'!C76+'@RAMS'!C76+PHI!C76+'@DEN'!C76+KCC!C76+SEA!C76+'@WAS'!C76+RAMS!C76+'@NOS'!C76+DAL!C76</f>
        <v>18</v>
      </c>
      <c r="D76">
        <f>+'@MIN'!D76+ATL!D76+'@LAR'!D76+NOS!D76+'@ATL'!D76+CHI!D76+'@DET'!D76+'@RAMS'!D76+PHI!D76+'@DEN'!D76+KCC!D76+SEA!D76+'@WAS'!D76+RAMS!D76+'@NOS'!D76+DAL!D76</f>
        <v>54</v>
      </c>
      <c r="E76" s="12">
        <f t="shared" si="2"/>
        <v>3</v>
      </c>
      <c r="F76">
        <f>MAX('@MIN'!F76,ATL!F76,'@LAR'!F76,NOS!F76,'@ATL'!F76,CHI!F76,'@DET'!F76,PHI!F76,'@DEN'!F76,KCC!F76,SEA!F76,'@WAS'!F76,RAMS!F76,RAMS!F76,'@NOS'!F76,DAL!F76,+'@RAMS'!F76)</f>
        <v>17</v>
      </c>
      <c r="G76">
        <f>+'@MIN'!G76+ATL!G76+'@LAR'!G76+NOS!G76+'@ATL'!G76+CHI!G76+'@DET'!G76+'@RAMS'!G76+PHI!G76+'@DEN'!G76+KCC!G76+SEA!G76+'@WAS'!G76+RAMS!G76+'@NOS'!G76+DAL!G76</f>
        <v>0</v>
      </c>
      <c r="H76">
        <f>'@MIN'!H76+ATL!H76+'@LAR'!H76+NOS!H76+'@ATL'!H76+CHI!H76+'@DET'!H76+'@RAMS'!H76+PHI!H76+'@DEN'!H76+KCC!H76+SEA!H76+'@WAS'!H76+RAMS!H76+'@NOS'!H76+DAL!H76</f>
        <v>0</v>
      </c>
      <c r="O76" s="24"/>
    </row>
    <row r="77" spans="1:15" ht="12.75">
      <c r="A77" t="s">
        <v>112</v>
      </c>
      <c r="C77">
        <f>+'@MIN'!C77+ATL!C77+'@LAR'!C77+NOS!C77+'@ATL'!C77+CHI!C77+'@DET'!C77+'@RAMS'!C77+PHI!C77+'@DEN'!C77+KCC!C77+SEA!C77+'@WAS'!C77+RAMS!C77+'@NOS'!C77+DAL!C77</f>
        <v>21</v>
      </c>
      <c r="D77">
        <f>+'@MIN'!D77+ATL!D77+'@LAR'!D77+NOS!D77+'@ATL'!D77+CHI!D77+'@DET'!D77+'@RAMS'!D77+PHI!D77+'@DEN'!D77+KCC!D77+SEA!D77+'@WAS'!D77+RAMS!D77+'@NOS'!D77+DAL!D77</f>
        <v>41</v>
      </c>
      <c r="E77" s="12">
        <f t="shared" si="2"/>
        <v>1.9523809523809523</v>
      </c>
      <c r="F77">
        <f>MAX('@MIN'!F77,ATL!F77,'@LAR'!F77,NOS!F77,'@ATL'!F77,CHI!F77,'@DET'!F77,PHI!F77,'@DEN'!F77,KCC!F77,SEA!F77,'@WAS'!F77,RAMS!F77,RAMS!F77,'@NOS'!F77,DAL!F77,+'@RAMS'!F77)</f>
        <v>6</v>
      </c>
      <c r="G77">
        <f>+'@MIN'!G77+ATL!G77+'@LAR'!G77+NOS!G77+'@ATL'!G77+CHI!G77+'@DET'!G77+'@RAMS'!G77+PHI!G77+'@DEN'!G77+KCC!G77+SEA!G77+'@WAS'!G77+RAMS!G77+'@NOS'!G77+DAL!G77</f>
        <v>3</v>
      </c>
      <c r="H77">
        <f>'@MIN'!H77+ATL!H77+'@LAR'!H77+NOS!H77+'@ATL'!H77+CHI!H77+'@DET'!H77+'@RAMS'!H77+PHI!H77+'@DEN'!H77+KCC!H77+SEA!H77+'@WAS'!H77+RAMS!H77+'@NOS'!H77+DAL!H77</f>
        <v>0</v>
      </c>
      <c r="O77" s="24"/>
    </row>
    <row r="78" spans="1:15" ht="12.75">
      <c r="A78" t="s">
        <v>113</v>
      </c>
      <c r="C78">
        <f>+'@MIN'!C78+ATL!C78+'@LAR'!C78+NOS!C78+'@ATL'!C78+CHI!C78+'@DET'!C78+'@RAMS'!C78+PHI!C78+'@DEN'!C78+KCC!C78+SEA!C78+'@WAS'!C78+RAMS!C78+'@NOS'!C78+DAL!C78</f>
        <v>6</v>
      </c>
      <c r="D78">
        <f>+'@MIN'!D78+ATL!D78+'@LAR'!D78+NOS!D78+'@ATL'!D78+CHI!D78+'@DET'!D78+'@RAMS'!D78+PHI!D78+'@DEN'!D78+KCC!D78+SEA!D78+'@WAS'!D78+RAMS!D78+'@NOS'!D78+DAL!D78</f>
        <v>22</v>
      </c>
      <c r="E78" s="12">
        <f t="shared" si="2"/>
        <v>3.6666666666666665</v>
      </c>
      <c r="F78">
        <f>MAX('@MIN'!F78,ATL!F78,'@LAR'!F78,NOS!F78,'@ATL'!F78,CHI!F78,'@DET'!F78,PHI!F78,'@DEN'!F78,KCC!F78,SEA!F78,'@WAS'!F78,RAMS!F78,RAMS!F78,'@NOS'!F78,DAL!F78,+'@RAMS'!F78)</f>
        <v>15</v>
      </c>
      <c r="G78">
        <f>+'@MIN'!G78+ATL!G78+'@LAR'!G78+NOS!G78+'@ATL'!G78+CHI!G78+'@DET'!G78+'@RAMS'!G78+PHI!G78+'@DEN'!G78+KCC!G78+SEA!G78+'@WAS'!G78+RAMS!G78+'@NOS'!G78+DAL!G78</f>
        <v>0</v>
      </c>
      <c r="H78">
        <f>'@MIN'!H78+ATL!H78+'@LAR'!H78+NOS!H78+'@ATL'!H78+CHI!H78+'@DET'!H78+'@RAMS'!H78+PHI!H78+'@DEN'!H78+KCC!H78+SEA!H78+'@WAS'!H78+RAMS!H78+'@NOS'!H78+DAL!H78</f>
        <v>0</v>
      </c>
      <c r="O78" s="24"/>
    </row>
    <row r="79" spans="1:15" ht="12.75">
      <c r="A79" t="s">
        <v>114</v>
      </c>
      <c r="C79">
        <f>+'@MIN'!C79+ATL!C79+'@LAR'!C79+NOS!C79+'@ATL'!C79+CHI!C79+'@DET'!C79+'@RAMS'!C79+PHI!C79+'@DEN'!C79+KCC!C79+SEA!C79+'@WAS'!C79+RAMS!C79+'@NOS'!C79+DAL!C79</f>
        <v>7</v>
      </c>
      <c r="D79">
        <f>+'@MIN'!D79+ATL!D79+'@LAR'!D79+NOS!D79+'@ATL'!D79+CHI!D79+'@DET'!D79+'@RAMS'!D79+PHI!D79+'@DEN'!D79+KCC!D79+SEA!D79+'@WAS'!D79+RAMS!D79+'@NOS'!D79+DAL!D79</f>
        <v>21</v>
      </c>
      <c r="E79" s="12">
        <f t="shared" si="2"/>
        <v>3</v>
      </c>
      <c r="F79">
        <f>MAX('@MIN'!F79,ATL!F79,'@LAR'!F79,NOS!F79,'@ATL'!F79,CHI!F79,'@DET'!F79,PHI!F79,'@DEN'!F79,KCC!F79,SEA!F79,'@WAS'!F79,RAMS!F79,RAMS!F79,'@NOS'!F79,DAL!F79,+'@RAMS'!F79)</f>
        <v>5</v>
      </c>
      <c r="G79">
        <f>+'@MIN'!G79+ATL!G79+'@LAR'!G79+NOS!G79+'@ATL'!G79+CHI!G79+'@DET'!G79+'@RAMS'!G79+PHI!G79+'@DEN'!G79+KCC!G79+SEA!G79+'@WAS'!G79+RAMS!G79+'@NOS'!G79+DAL!G79</f>
        <v>1</v>
      </c>
      <c r="H79">
        <f>'@MIN'!H79+ATL!H79+'@LAR'!H79+NOS!H79+'@ATL'!H79+CHI!H79+'@DET'!H79+'@RAMS'!H79+PHI!H79+'@DEN'!H79+KCC!H79+SEA!H79+'@WAS'!H79+RAMS!H79+'@NOS'!H79+DAL!H79</f>
        <v>0</v>
      </c>
      <c r="O79" s="24"/>
    </row>
    <row r="80" spans="1:15" ht="12.75">
      <c r="A80" t="s">
        <v>115</v>
      </c>
      <c r="C80">
        <f>+'@MIN'!C80+ATL!C80+'@LAR'!C80+NOS!C80+'@ATL'!C80+CHI!C80+'@DET'!C80+'@RAMS'!C80+PHI!C80+'@DEN'!C80+KCC!C80+SEA!C80+'@WAS'!C80+RAMS!C80+'@NOS'!C80+DAL!C80</f>
        <v>8</v>
      </c>
      <c r="D80">
        <f>+'@MIN'!D80+ATL!D80+'@LAR'!D80+NOS!D80+'@ATL'!D80+CHI!D80+'@DET'!D80+'@RAMS'!D80+PHI!D80+'@DEN'!D80+KCC!D80+SEA!D80+'@WAS'!D80+RAMS!D80+'@NOS'!D80+DAL!D80</f>
        <v>51</v>
      </c>
      <c r="E80" s="12">
        <f t="shared" si="2"/>
        <v>6.375</v>
      </c>
      <c r="F80">
        <f>MAX('@MIN'!F80,ATL!F80,'@LAR'!F80,NOS!F80,'@ATL'!F80,CHI!F80,'@DET'!F80,PHI!F80,'@DEN'!F80,KCC!F80,SEA!F80,'@WAS'!F80,RAMS!F80,RAMS!F80,'@NOS'!F80,DAL!F80,+'@RAMS'!F80)</f>
        <v>13</v>
      </c>
      <c r="G80">
        <f>+'@MIN'!G80+ATL!G80+'@LAR'!G80+NOS!G80+'@ATL'!G80+CHI!G80+'@DET'!G80+'@RAMS'!G80+PHI!G80+'@DEN'!G80+KCC!G80+SEA!G80+'@WAS'!G80+RAMS!G80+'@NOS'!G80+DAL!G80</f>
        <v>2</v>
      </c>
      <c r="H80">
        <f>'@MIN'!H80+ATL!H80+'@LAR'!H80+NOS!H80+'@ATL'!H80+CHI!H80+'@DET'!H80+'@RAMS'!H80+PHI!H80+'@DEN'!H80+KCC!H80+SEA!H80+'@WAS'!H80+RAMS!H80+'@NOS'!H80+DAL!H80</f>
        <v>0</v>
      </c>
      <c r="O80" s="24"/>
    </row>
    <row r="81" spans="1:15" ht="12.75">
      <c r="A81" t="s">
        <v>117</v>
      </c>
      <c r="C81">
        <f>+'@MIN'!C81+ATL!C81+'@LAR'!C81+NOS!C81+'@ATL'!C81+CHI!C81+'@DET'!C81+'@RAMS'!C81+PHI!C81+'@DEN'!C81+KCC!C81+SEA!C81+'@WAS'!C81+RAMS!C81+'@NOS'!C81+DAL!C81</f>
        <v>1</v>
      </c>
      <c r="D81">
        <f>+'@MIN'!D81+ATL!D81+'@LAR'!D81+NOS!D81+'@ATL'!D81+CHI!D81+'@DET'!D81+'@RAMS'!D81+PHI!D81+'@DEN'!D81+KCC!D81+SEA!D81+'@WAS'!D81+RAMS!D81+'@NOS'!D81+DAL!D81</f>
        <v>4</v>
      </c>
      <c r="E81" s="12">
        <f t="shared" si="2"/>
        <v>4</v>
      </c>
      <c r="F81">
        <f>MAX('@MIN'!F81,ATL!F81,'@LAR'!F81,NOS!F81,'@ATL'!F81,CHI!F81,'@DET'!F81,PHI!F81,'@DEN'!F81,KCC!F81,SEA!F81,'@WAS'!F81,RAMS!F81,RAMS!F81,'@NOS'!F81,DAL!F81,+'@RAMS'!F81)</f>
        <v>4</v>
      </c>
      <c r="G81">
        <f>+'@MIN'!G81+ATL!G81+'@LAR'!G81+NOS!G81+'@ATL'!G81+CHI!G81+'@DET'!G81+'@RAMS'!G81+PHI!G81+'@DEN'!G81+KCC!G81+SEA!G81+'@WAS'!G81+RAMS!G81+'@NOS'!G81+DAL!G81</f>
        <v>0</v>
      </c>
      <c r="H81">
        <f>'@MIN'!H81+ATL!H81+'@LAR'!H81+NOS!H81+'@ATL'!H81+CHI!H81+'@DET'!H81+'@RAMS'!H81+PHI!H81+'@DEN'!H81+KCC!H81+SEA!H81+'@WAS'!H81+RAMS!H81+'@NOS'!H81+DAL!H81</f>
        <v>0</v>
      </c>
      <c r="O81" s="24"/>
    </row>
    <row r="82" spans="1:15" ht="12.75">
      <c r="A82" t="s">
        <v>116</v>
      </c>
      <c r="C82">
        <f>+'@MIN'!C82+ATL!C82+'@LAR'!C82+NOS!C82+'@ATL'!C82+CHI!C82+'@DET'!C82+'@RAMS'!C82+PHI!C82+'@DEN'!C82+KCC!C82+SEA!C82+'@WAS'!C82+RAMS!C82+'@NOS'!C82+DAL!C82</f>
        <v>2</v>
      </c>
      <c r="D82">
        <f>+'@MIN'!D82+ATL!D82+'@LAR'!D82+NOS!D82+'@ATL'!D82+CHI!D82+'@DET'!D82+'@RAMS'!D82+PHI!D82+'@DEN'!D82+KCC!D82+SEA!D82+'@WAS'!D82+RAMS!D82+'@NOS'!D82+DAL!D82</f>
        <v>3</v>
      </c>
      <c r="E82" s="12">
        <f t="shared" si="2"/>
        <v>1.5</v>
      </c>
      <c r="F82">
        <f>MAX('@MIN'!F82,ATL!F82,'@LAR'!F82,NOS!F82,'@ATL'!F82,CHI!F82,'@DET'!F82,PHI!F82,'@DEN'!F82,KCC!F82,SEA!F82,'@WAS'!F82,RAMS!F82,RAMS!F82,'@NOS'!F82,DAL!F82,+'@RAMS'!F82)</f>
        <v>10</v>
      </c>
      <c r="G82">
        <f>+'@MIN'!G82+ATL!G82+'@LAR'!G82+NOS!G82+'@ATL'!G82+CHI!G82+'@DET'!G82+'@RAMS'!G82+PHI!G82+'@DEN'!G82+KCC!G82+SEA!G82+'@WAS'!G82+RAMS!G82+'@NOS'!G82+DAL!G82</f>
        <v>0</v>
      </c>
      <c r="H82">
        <f>'@MIN'!H82+ATL!H82+'@LAR'!H82+NOS!H82+'@ATL'!H82+CHI!H82+'@DET'!H82+'@RAMS'!H82+PHI!H82+'@DEN'!H82+KCC!H82+SEA!H82+'@WAS'!H82+RAMS!H82+'@NOS'!H82+DAL!H82</f>
        <v>0</v>
      </c>
      <c r="O82" s="24"/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f>+'@MIN'!C85+ATL!C85+'@LAR'!C85+NOS!C85+'@ATL'!C85+CHI!C85+'@DET'!C85+'@RAMS'!C85+PHI!C85+'@DEN'!C85+KCC!C85+SEA!C85+'@WAS'!C85+RAMS!C85+'@NOS'!C85+DAL!C85</f>
        <v>108</v>
      </c>
      <c r="D85">
        <f>+'@MIN'!D85+ATL!D85+'@LAR'!D85+NOS!D85+'@ATL'!D85+CHI!D85+'@DET'!D85+'@RAMS'!D85+PHI!D85+'@DEN'!D85+KCC!D85+SEA!D85+'@WAS'!D85+RAMS!D85+'@NOS'!D85+DAL!D85</f>
        <v>1330</v>
      </c>
      <c r="E85" s="12">
        <f aca="true" t="shared" si="3" ref="E85:E96">+D85/C85</f>
        <v>12.314814814814815</v>
      </c>
      <c r="F85">
        <f>MAX('@MIN'!F85,ATL!F85,'@LAR'!F85,NOS!F85,'@ATL'!F85,CHI!F85,'@DET'!F85,PHI!F85,'@DEN'!F85,KCC!F85,SEA!F85,'@WAS'!F85,RAMS!F85,'@NOS'!F85,DAL!F85,+'@RAMS'!F85)</f>
        <v>73</v>
      </c>
      <c r="G85">
        <f>+'@MIN'!G85+ATL!G85+'@LAR'!G85+NOS!G85+'@ATL'!G85+CHI!G85+'@DET'!G85+'@RAMS'!G85+PHI!G85+'@DEN'!G85+KCC!G85+SEA!G85+'@WAS'!G85+RAMS!G85+'@NOS'!G85+DAL!G85</f>
        <v>6</v>
      </c>
      <c r="H85">
        <f>+'@MIN'!H85+ATL!H85+'@LAR'!H85+NOS!H85+'@ATL'!H85+CHI!H85+'@DET'!H85+'@RAMS'!H85+PHI!H85+'@DEN'!H85+KCC!H85+SEA!H85+'@WAS'!H85+RAMS!H85+'@NOS'!H85+DAL!H85</f>
        <v>2</v>
      </c>
    </row>
    <row r="86" spans="1:8" ht="12.75">
      <c r="A86" t="s">
        <v>118</v>
      </c>
      <c r="C86">
        <f>+'@MIN'!C86+ATL!C86+'@LAR'!C86+NOS!C86+'@ATL'!C86+CHI!C86+'@DET'!C86+'@RAMS'!C86+PHI!C86+'@DEN'!C86+KCC!C86+SEA!C86+'@WAS'!C86+RAMS!C86+'@NOS'!C86+DAL!C86</f>
        <v>55</v>
      </c>
      <c r="D86">
        <f>+'@MIN'!D86+ATL!D86+'@LAR'!D86+NOS!D86+'@ATL'!D86+CHI!D86+'@DET'!D86+'@RAMS'!D86+PHI!D86+'@DEN'!D86+KCC!D86+SEA!D86+'@WAS'!D86+RAMS!D86+'@NOS'!D86+DAL!D86</f>
        <v>801</v>
      </c>
      <c r="E86" s="12">
        <f t="shared" si="3"/>
        <v>14.563636363636364</v>
      </c>
      <c r="F86">
        <f>MAX('@MIN'!F86,ATL!F86,'@LAR'!F86,NOS!F86,'@ATL'!F86,CHI!F86,'@DET'!F86,PHI!F86,'@DEN'!F86,KCC!F86,SEA!F86,'@WAS'!F86,RAMS!F86,'@NOS'!F86,DAL!F86,+'@RAMS'!F86)</f>
        <v>51</v>
      </c>
      <c r="G86">
        <f>+'@MIN'!G86+ATL!G86+'@LAR'!G86+NOS!G86+'@ATL'!G86+CHI!G86+'@DET'!G86+'@RAMS'!G86+PHI!G86+'@DEN'!G86+KCC!G86+SEA!G86+'@WAS'!G86+RAMS!G86+'@NOS'!G86+DAL!G86</f>
        <v>6</v>
      </c>
      <c r="H86">
        <f>+'@MIN'!H86+ATL!H86+'@LAR'!H86+NOS!H86+'@ATL'!H86+CHI!H86+'@DET'!H86+'@RAMS'!H86+PHI!H86+'@DEN'!H86+KCC!H86+SEA!H86+'@WAS'!H86+RAMS!H86+'@NOS'!H86+DAL!H86</f>
        <v>0</v>
      </c>
    </row>
    <row r="87" spans="1:8" ht="12.75">
      <c r="A87" t="s">
        <v>113</v>
      </c>
      <c r="C87">
        <f>+'@MIN'!C87+ATL!C87+'@LAR'!C87+NOS!C87+'@ATL'!C87+CHI!C87+'@DET'!C87+'@RAMS'!C87+PHI!C87+'@DEN'!C87+KCC!C87+SEA!C87+'@WAS'!C87+RAMS!C87+'@NOS'!C87+DAL!C87</f>
        <v>42</v>
      </c>
      <c r="D87">
        <f>+'@MIN'!D87+ATL!D87+'@LAR'!D87+NOS!D87+'@ATL'!D87+CHI!D87+'@DET'!D87+'@RAMS'!D87+PHI!D87+'@DEN'!D87+KCC!D87+SEA!D87+'@WAS'!D87+RAMS!D87+'@NOS'!D87+DAL!D87</f>
        <v>796</v>
      </c>
      <c r="E87" s="12">
        <f t="shared" si="3"/>
        <v>18.952380952380953</v>
      </c>
      <c r="F87">
        <f>MAX('@MIN'!F87,ATL!F87,'@LAR'!F87,NOS!F87,'@ATL'!F87,CHI!F87,'@DET'!F87,PHI!F87,'@DEN'!F87,KCC!F87,SEA!F87,'@WAS'!F87,RAMS!F87,'@NOS'!F87,DAL!F87,+'@RAMS'!F87)</f>
        <v>44</v>
      </c>
      <c r="G87">
        <f>+'@MIN'!G87+ATL!G87+'@LAR'!G87+NOS!G87+'@ATL'!G87+CHI!G87+'@DET'!G87+'@RAMS'!G87+PHI!G87+'@DEN'!G87+KCC!G87+SEA!G87+'@WAS'!G87+RAMS!G87+'@NOS'!G87+DAL!G87</f>
        <v>3</v>
      </c>
      <c r="H87">
        <f>+'@MIN'!H87+ATL!H87+'@LAR'!H87+NOS!H87+'@ATL'!H87+CHI!H87+'@DET'!H87+'@RAMS'!H87+PHI!H87+'@DEN'!H87+KCC!H87+SEA!H87+'@WAS'!H87+RAMS!H87+'@NOS'!H87+DAL!H87</f>
        <v>0</v>
      </c>
    </row>
    <row r="88" spans="1:8" ht="12.75">
      <c r="A88" t="s">
        <v>119</v>
      </c>
      <c r="C88">
        <f>+'@MIN'!C88+ATL!C88+'@LAR'!C88+NOS!C88+'@ATL'!C88+CHI!C88+'@DET'!C88+'@RAMS'!C88+PHI!C88+'@DEN'!C88+KCC!C88+SEA!C88+'@WAS'!C88+RAMS!C88+'@NOS'!C88+DAL!C88</f>
        <v>31</v>
      </c>
      <c r="D88">
        <f>+'@MIN'!D88+ATL!D88+'@LAR'!D88+NOS!D88+'@ATL'!D88+CHI!D88+'@DET'!D88+'@RAMS'!D88+PHI!D88+'@DEN'!D88+KCC!D88+SEA!D88+'@WAS'!D88+RAMS!D88+'@NOS'!D88+DAL!D88</f>
        <v>353</v>
      </c>
      <c r="E88" s="12">
        <f t="shared" si="3"/>
        <v>11.387096774193548</v>
      </c>
      <c r="F88">
        <f>MAX('@MIN'!F88,ATL!F88,'@LAR'!F88,NOS!F88,'@ATL'!F88,CHI!F88,'@DET'!F88,PHI!F88,'@DEN'!F88,KCC!F88,SEA!F88,'@WAS'!F88,RAMS!F88,'@NOS'!F88,DAL!F88,+'@RAMS'!F88)</f>
        <v>38</v>
      </c>
      <c r="G88">
        <f>+'@MIN'!G88+ATL!G88+'@LAR'!G88+NOS!G88+'@ATL'!G88+CHI!G88+'@DET'!G88+'@RAMS'!G88+PHI!G88+'@DEN'!G88+KCC!G88+SEA!G88+'@WAS'!G88+RAMS!G88+'@NOS'!G88+DAL!G88</f>
        <v>2</v>
      </c>
      <c r="H88">
        <f>+'@MIN'!H88+ATL!H88+'@LAR'!H88+NOS!H88+'@ATL'!H88+CHI!H88+'@DET'!H88+'@RAMS'!H88+PHI!H88+'@DEN'!H88+KCC!H88+SEA!H88+'@WAS'!H88+RAMS!H88+'@NOS'!H88+DAL!H88</f>
        <v>0</v>
      </c>
    </row>
    <row r="89" spans="1:8" ht="12.75">
      <c r="A89" t="s">
        <v>116</v>
      </c>
      <c r="C89">
        <f>+'@MIN'!C89+ATL!C89+'@LAR'!C89+NOS!C89+'@ATL'!C89+CHI!C89+'@DET'!C89+'@RAMS'!C89+PHI!C89+'@DEN'!C89+KCC!C89+SEA!C89+'@WAS'!C89+RAMS!C89+'@NOS'!C89+DAL!C89</f>
        <v>30</v>
      </c>
      <c r="D89">
        <f>+'@MIN'!D89+ATL!D89+'@LAR'!D89+NOS!D89+'@ATL'!D89+CHI!D89+'@DET'!D89+'@RAMS'!D89+PHI!D89+'@DEN'!D89+KCC!D89+SEA!D89+'@WAS'!D89+RAMS!D89+'@NOS'!D89+DAL!D89</f>
        <v>367</v>
      </c>
      <c r="E89" s="12">
        <f t="shared" si="3"/>
        <v>12.233333333333333</v>
      </c>
      <c r="F89">
        <f>MAX('@MIN'!F89,ATL!F89,'@LAR'!F89,NOS!F89,'@ATL'!F89,CHI!F89,'@DET'!F89,PHI!F89,'@DEN'!F89,KCC!F89,SEA!F89,'@WAS'!F89,RAMS!F89,'@NOS'!F89,DAL!F89,+'@RAMS'!F89)</f>
        <v>42</v>
      </c>
      <c r="G89">
        <f>+'@MIN'!G89+ATL!G89+'@LAR'!G89+NOS!G89+'@ATL'!G89+CHI!G89+'@DET'!G89+'@RAMS'!G89+PHI!G89+'@DEN'!G89+KCC!G89+SEA!G89+'@WAS'!G89+RAMS!G89+'@NOS'!G89+DAL!G89</f>
        <v>4</v>
      </c>
      <c r="H89">
        <f>+'@MIN'!H89+ATL!H89+'@LAR'!H89+NOS!H89+'@ATL'!H89+CHI!H89+'@DET'!H89+'@RAMS'!H89+PHI!H89+'@DEN'!H89+KCC!H89+SEA!H89+'@WAS'!H89+RAMS!H89+'@NOS'!H89+DAL!H89</f>
        <v>1</v>
      </c>
    </row>
    <row r="90" spans="1:8" ht="12.75">
      <c r="A90" t="s">
        <v>110</v>
      </c>
      <c r="C90">
        <f>+'@MIN'!C90+ATL!C90+'@LAR'!C90+NOS!C90+'@ATL'!C90+CHI!C90+'@DET'!C90+'@RAMS'!C90+PHI!C90+'@DEN'!C90+KCC!C90+SEA!C90+'@WAS'!C90+RAMS!C90+'@NOS'!C90+DAL!C90</f>
        <v>11</v>
      </c>
      <c r="D90">
        <f>+'@MIN'!D90+ATL!D90+'@LAR'!D90+NOS!D90+'@ATL'!D90+CHI!D90+'@DET'!D90+'@RAMS'!D90+PHI!D90+'@DEN'!D90+KCC!D90+SEA!D90+'@WAS'!D90+RAMS!D90+'@NOS'!D90+DAL!D90</f>
        <v>71</v>
      </c>
      <c r="E90" s="12">
        <f t="shared" si="3"/>
        <v>6.454545454545454</v>
      </c>
      <c r="F90">
        <f>MAX('@MIN'!F90,ATL!F90,'@LAR'!F90,NOS!F90,'@ATL'!F90,CHI!F90,'@DET'!F90,PHI!F90,'@DEN'!F90,KCC!F90,SEA!F90,'@WAS'!F90,RAMS!F90,'@NOS'!F90,DAL!F90,+'@RAMS'!F90)</f>
        <v>24</v>
      </c>
      <c r="G90">
        <f>+'@MIN'!G90+ATL!G90+'@LAR'!G90+NOS!G90+'@ATL'!G90+CHI!G90+'@DET'!G90+'@RAMS'!G90+PHI!G90+'@DEN'!G90+KCC!G90+SEA!G90+'@WAS'!G90+RAMS!G90+'@NOS'!G90+DAL!G90</f>
        <v>0</v>
      </c>
      <c r="H90">
        <f>+'@MIN'!H90+ATL!H90+'@LAR'!H90+NOS!H90+'@ATL'!H90+CHI!H90+'@DET'!H90+'@RAMS'!H90+PHI!H90+'@DEN'!H90+KCC!H90+SEA!H90+'@WAS'!H90+RAMS!H90+'@NOS'!H90+DAL!H90</f>
        <v>0</v>
      </c>
    </row>
    <row r="91" spans="1:8" ht="12.75">
      <c r="A91" t="s">
        <v>112</v>
      </c>
      <c r="C91">
        <f>+'@MIN'!C91+ATL!C91+'@LAR'!C91+NOS!C91+'@ATL'!C91+CHI!C91+'@DET'!C91+'@RAMS'!C91+PHI!C91+'@DEN'!C91+KCC!C91+SEA!C91+'@WAS'!C91+RAMS!C91+'@NOS'!C91+DAL!C91</f>
        <v>17</v>
      </c>
      <c r="D91">
        <f>+'@MIN'!D91+ATL!D91+'@LAR'!D91+NOS!D91+'@ATL'!D91+CHI!D91+'@DET'!D91+'@RAMS'!D91+PHI!D91+'@DEN'!D91+KCC!D91+SEA!D91+'@WAS'!D91+RAMS!D91+'@NOS'!D91+DAL!D91</f>
        <v>109</v>
      </c>
      <c r="E91" s="12">
        <f t="shared" si="3"/>
        <v>6.411764705882353</v>
      </c>
      <c r="F91">
        <f>MAX('@MIN'!F91,ATL!F91,'@LAR'!F91,NOS!F91,'@ATL'!F91,CHI!F91,'@DET'!F91,PHI!F91,'@DEN'!F91,KCC!F91,SEA!F91,'@WAS'!F91,RAMS!F91,'@NOS'!F91,DAL!F91,+'@RAMS'!F91)</f>
        <v>21</v>
      </c>
      <c r="G91">
        <f>+'@MIN'!G91+ATL!G91+'@LAR'!G91+NOS!G91+'@ATL'!G91+CHI!G91+'@DET'!G91+'@RAMS'!G91+PHI!G91+'@DEN'!G91+KCC!G91+SEA!G91+'@WAS'!G91+RAMS!G91+'@NOS'!G91+DAL!G91</f>
        <v>1</v>
      </c>
      <c r="H91">
        <f>+'@MIN'!H91+ATL!H91+'@LAR'!H91+NOS!H91+'@ATL'!H91+CHI!H91+'@DET'!H91+'@RAMS'!H91+PHI!H91+'@DEN'!H91+KCC!H91+SEA!H91+'@WAS'!H91+RAMS!H91+'@NOS'!H91+DAL!H91</f>
        <v>0</v>
      </c>
    </row>
    <row r="92" spans="1:8" ht="12.75">
      <c r="A92" t="s">
        <v>120</v>
      </c>
      <c r="C92">
        <f>+'@MIN'!C92+ATL!C92+'@LAR'!C92+NOS!C92+'@ATL'!C92+CHI!C92+'@DET'!C92+'@RAMS'!C92+PHI!C92+'@DEN'!C92+KCC!C92+SEA!C92+'@WAS'!C92+RAMS!C92+'@NOS'!C92+DAL!C92</f>
        <v>7</v>
      </c>
      <c r="D92">
        <f>+'@MIN'!D92+ATL!D92+'@LAR'!D92+NOS!D92+'@ATL'!D92+CHI!D92+'@DET'!D92+'@RAMS'!D92+PHI!D92+'@DEN'!D92+KCC!D92+SEA!D92+'@WAS'!D92+RAMS!D92+'@NOS'!D92+DAL!D92</f>
        <v>107</v>
      </c>
      <c r="E92" s="12">
        <f t="shared" si="3"/>
        <v>15.285714285714286</v>
      </c>
      <c r="F92">
        <f>MAX('@MIN'!F92,ATL!F92,'@LAR'!F92,NOS!F92,'@ATL'!F92,CHI!F92,'@DET'!F92,PHI!F92,'@DEN'!F92,KCC!F92,SEA!F92,'@WAS'!F92,RAMS!F92,'@NOS'!F92,DAL!F92,+'@RAMS'!F92)</f>
        <v>28</v>
      </c>
      <c r="G92">
        <f>+'@MIN'!G92+ATL!G92+'@LAR'!G92+NOS!G92+'@ATL'!G92+CHI!G92+'@DET'!G92+'@RAMS'!G92+PHI!G92+'@DEN'!G92+KCC!G92+SEA!G92+'@WAS'!G92+RAMS!G92+'@NOS'!G92+DAL!G92</f>
        <v>0</v>
      </c>
      <c r="H92">
        <f>+'@MIN'!H92+ATL!H92+'@LAR'!H92+NOS!H92+'@ATL'!H92+CHI!H92+'@DET'!H92+'@RAMS'!H92+PHI!H92+'@DEN'!H92+KCC!H92+SEA!H92+'@WAS'!H92+RAMS!H92+'@NOS'!H92+DAL!H92</f>
        <v>0</v>
      </c>
    </row>
    <row r="93" spans="1:8" ht="12.75">
      <c r="A93" t="s">
        <v>121</v>
      </c>
      <c r="C93">
        <f>+'@MIN'!C93+ATL!C93+'@LAR'!C93+NOS!C93+'@ATL'!C93+CHI!C93+'@DET'!C93+'@RAMS'!C93+PHI!C93+'@DEN'!C93+KCC!C93+SEA!C93+'@WAS'!C93+RAMS!C93+'@NOS'!C93+DAL!C93</f>
        <v>8</v>
      </c>
      <c r="D93">
        <f>+'@MIN'!D93+ATL!D93+'@LAR'!D93+NOS!D93+'@ATL'!D93+CHI!D93+'@DET'!D93+'@RAMS'!D93+PHI!D93+'@DEN'!D93+KCC!D93+SEA!D93+'@WAS'!D93+RAMS!D93+'@NOS'!D93+DAL!D93</f>
        <v>40</v>
      </c>
      <c r="E93" s="12">
        <f t="shared" si="3"/>
        <v>5</v>
      </c>
      <c r="F93">
        <f>MAX('@MIN'!F93,ATL!F93,'@LAR'!F93,NOS!F93,'@ATL'!F93,CHI!F93,'@DET'!F93,PHI!F93,'@DEN'!F93,KCC!F93,SEA!F93,'@WAS'!F93,RAMS!F93,'@NOS'!F93,DAL!F93,+'@RAMS'!F93)</f>
        <v>11</v>
      </c>
      <c r="G93">
        <f>+'@MIN'!G93+ATL!G93+'@LAR'!G93+NOS!G93+'@ATL'!G93+CHI!G93+'@DET'!G93+'@RAMS'!G93+PHI!G93+'@DEN'!G93+KCC!G93+SEA!G93+'@WAS'!G93+RAMS!G93+'@NOS'!G93+DAL!G93</f>
        <v>0</v>
      </c>
      <c r="H93">
        <f>+'@MIN'!H93+ATL!H93+'@LAR'!H93+NOS!H93+'@ATL'!H93+CHI!H93+'@DET'!H93+'@RAMS'!H93+PHI!H93+'@DEN'!H93+KCC!H93+SEA!H93+'@WAS'!H93+RAMS!H93+'@NOS'!H93+DAL!H93</f>
        <v>0</v>
      </c>
    </row>
    <row r="94" spans="1:18" ht="12.75">
      <c r="A94" t="s">
        <v>122</v>
      </c>
      <c r="C94">
        <f>+'@MIN'!C94+ATL!C94+'@LAR'!C94+NOS!C94+'@ATL'!C94+CHI!C94+'@DET'!C94+'@RAMS'!C94+PHI!C94+'@DEN'!C94+KCC!C94+SEA!C94+'@WAS'!C94+RAMS!C94+'@NOS'!C94+DAL!C94</f>
        <v>7</v>
      </c>
      <c r="D94">
        <f>+'@MIN'!D94+ATL!D94+'@LAR'!D94+NOS!D94+'@ATL'!D94+CHI!D94+'@DET'!D94+'@RAMS'!D94+PHI!D94+'@DEN'!D94+KCC!D94+SEA!D94+'@WAS'!D94+RAMS!D94+'@NOS'!D94+DAL!D94</f>
        <v>61</v>
      </c>
      <c r="E94" s="12">
        <f t="shared" si="3"/>
        <v>8.714285714285714</v>
      </c>
      <c r="F94">
        <f>MAX('@MIN'!F94,ATL!F94,'@LAR'!F94,NOS!F94,'@ATL'!F94,CHI!F94,'@DET'!F94,PHI!F94,'@DEN'!F94,KCC!F94,SEA!F94,'@WAS'!F94,RAMS!F94,'@NOS'!F94,DAL!F94,+'@RAMS'!F94)</f>
        <v>33</v>
      </c>
      <c r="G94">
        <f>+'@MIN'!G94+ATL!G94+'@LAR'!G94+NOS!G94+'@ATL'!G94+CHI!G94+'@DET'!G94+'@RAMS'!G94+PHI!G94+'@DEN'!G94+KCC!G94+SEA!G94+'@WAS'!G94+RAMS!G94+'@NOS'!G94+DAL!G94</f>
        <v>0</v>
      </c>
      <c r="H94">
        <f>+'@MIN'!H94+ATL!H94+'@LAR'!H94+NOS!H94+'@ATL'!H94+CHI!H94+'@DET'!H94+'@RAMS'!H94+PHI!H94+'@DEN'!H94+KCC!H94+SEA!H94+'@WAS'!H94+RAMS!H94+'@NOS'!H94+DAL!H94</f>
        <v>0</v>
      </c>
      <c r="R94" s="25"/>
    </row>
    <row r="95" spans="1:8" ht="12.75">
      <c r="A95" t="s">
        <v>115</v>
      </c>
      <c r="C95">
        <f>+'@MIN'!C95+ATL!C95+'@LAR'!C95+NOS!C95+'@ATL'!C95+CHI!C95+'@DET'!C95+'@RAMS'!C95+PHI!C95+'@DEN'!C95+KCC!C95+SEA!C95+'@WAS'!C95+RAMS!C95+'@NOS'!C95+DAL!C95</f>
        <v>0</v>
      </c>
      <c r="D95">
        <f>+'@MIN'!D95+ATL!D95+'@LAR'!D95+NOS!D95+'@ATL'!D95+CHI!D95+'@DET'!D95+'@RAMS'!D95+PHI!D95+'@DEN'!D95+KCC!D95+SEA!D95+'@WAS'!D95+RAMS!D95+'@NOS'!D95+DAL!D95</f>
        <v>0</v>
      </c>
      <c r="E95" s="12" t="e">
        <f t="shared" si="3"/>
        <v>#DIV/0!</v>
      </c>
      <c r="F95">
        <f>MAX('@MIN'!F95,ATL!F95,'@LAR'!F95,NOS!F95,'@ATL'!F95,CHI!F95,'@DET'!F95,PHI!F95,'@DEN'!F95,KCC!F95,SEA!F95,'@WAS'!F95,RAMS!F95,'@NOS'!F95,DAL!F95,+'@RAMS'!F95)</f>
        <v>0</v>
      </c>
      <c r="G95">
        <f>+'@MIN'!G95+ATL!G95+'@LAR'!G95+NOS!G95+'@ATL'!G95+CHI!G95+'@DET'!G95+'@RAMS'!G95+PHI!G95+'@DEN'!G95+KCC!G95+SEA!G95+'@WAS'!G95+RAMS!G95+'@NOS'!G95+DAL!G95</f>
        <v>0</v>
      </c>
      <c r="H95">
        <f>+'@MIN'!H95+ATL!H95+'@LAR'!H95+NOS!H95+'@ATL'!H95+CHI!H95+'@DET'!H95+'@RAMS'!H95+PHI!H95+'@DEN'!H95+KCC!H95+SEA!H95+'@WAS'!H95+RAMS!H95+'@NOS'!H95+DAL!H95</f>
        <v>0</v>
      </c>
    </row>
    <row r="96" spans="1:22" ht="12.75">
      <c r="A96" t="s">
        <v>114</v>
      </c>
      <c r="C96">
        <f>+'@MIN'!C96+ATL!C96+'@LAR'!C96+NOS!C96+'@ATL'!C96+CHI!C96+'@DET'!C96+'@RAMS'!C96+PHI!C96+'@DEN'!C96+KCC!C96+SEA!C96+'@WAS'!C96+RAMS!C96+'@NOS'!C96+DAL!C96</f>
        <v>0</v>
      </c>
      <c r="D96">
        <f>+'@MIN'!D96+ATL!D96+'@LAR'!D96+NOS!D96+'@ATL'!D96+CHI!D96+'@DET'!D96+'@RAMS'!D96+PHI!D96+'@DEN'!D96+KCC!D96+SEA!D96+'@WAS'!D96+RAMS!D96+'@NOS'!D96+DAL!D96</f>
        <v>0</v>
      </c>
      <c r="E96" s="12" t="e">
        <f t="shared" si="3"/>
        <v>#DIV/0!</v>
      </c>
      <c r="F96">
        <f>MAX('@MIN'!F96,ATL!F96,'@LAR'!F96,NOS!F96,'@ATL'!F96,CHI!F96,'@DET'!F96,PHI!F96,'@DEN'!F96,KCC!F96,SEA!F96,'@WAS'!F96,RAMS!F96,'@NOS'!F96,DAL!F96,+'@RAMS'!F96)</f>
        <v>0</v>
      </c>
      <c r="G96">
        <f>+'@MIN'!G96+ATL!G96+'@LAR'!G96+NOS!G96+'@ATL'!G96+CHI!G96+'@DET'!G96+'@RAMS'!G96+PHI!G96+'@DEN'!G96+KCC!G96+SEA!G96+'@WAS'!G96+RAMS!G96+'@NOS'!G96+DAL!G96</f>
        <v>0</v>
      </c>
      <c r="H96">
        <f>+'@MIN'!H96+ATL!H96+'@LAR'!H96+NOS!H96+'@ATL'!H96+CHI!H96+'@DET'!H96+'@RAMS'!H96+PHI!H96+'@DEN'!H96+KCC!H96+SEA!H96+'@WAS'!H96+RAMS!H96+'@NOS'!H96+DAL!H96</f>
        <v>0</v>
      </c>
      <c r="U96" s="24"/>
      <c r="V96" s="26"/>
    </row>
    <row r="97" spans="5:21" ht="12.75">
      <c r="E97" s="8"/>
      <c r="U97" s="24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f>+'@MIN'!C100+ATL!C100+'@LAR'!C100+NOS!C100+'@ATL'!C100+CHI!C100+'@DET'!C100+'@RAMS'!C100+PHI!C100+'@DEN'!C100+KCC!C100+SEA!C100+'@WAS'!C100+RAMS!C100+'@NOS'!C100+DAL!C100</f>
        <v>498</v>
      </c>
      <c r="D100">
        <f>+'@MIN'!D100+ATL!D100+'@LAR'!D100+NOS!D100+'@ATL'!D100+CHI!D100+'@DET'!D100+'@RAMS'!D100+PHI!D100+'@DEN'!D100+KCC!D100+SEA!D100+'@WAS'!D100+RAMS!D100+'@NOS'!D100+DAL!D100</f>
        <v>300</v>
      </c>
      <c r="E100" s="12">
        <f>+D100/C100*100</f>
        <v>60.24096385542169</v>
      </c>
      <c r="F100">
        <f>+'@MIN'!F100+ATL!F100+'@LAR'!F100+NOS!F100+'@ATL'!F100+CHI!F100+'@DET'!F100+'@RAMS'!F100+PHI!F100+'@DEN'!F100+KCC!F100+SEA!F100+'@WAS'!F100+RAMS!F100+'@NOS'!F100+DAL!F100</f>
        <v>3860</v>
      </c>
      <c r="G100">
        <f>+'@MIN'!G100+ATL!G100+'@LAR'!G100+NOS!G100+'@ATL'!G100+CHI!G100+'@DET'!G100+'@RAMS'!G100+PHI!G100+'@DEN'!G100+KCC!G100+SEA!G100+'@WAS'!G100+RAMS!G100+'@NOS'!G100+DAL!G100</f>
        <v>22</v>
      </c>
      <c r="H100">
        <f>MAX('@MIN'!H100,ATL!H100,'@LAR'!H100,NOS!H100,'@ATL'!H100,CHI!H100,'@DET'!H100,PHI!H100,'@DEN'!H100,KCC!H100,SEA!H100,'@WAS'!H100,RAMS!H100,'@NOS'!H100,DAL!H100,+'@RAMS'!H100)</f>
        <v>73</v>
      </c>
      <c r="I100">
        <f>+'@MIN'!I100+ATL!I100+'@LAR'!I100+NOS!I100+'@ATL'!I100+CHI!I100+'@DET'!I100+'@RAMS'!I100+PHI!I100+'@DEN'!I100+KCC!I100+SEA!I100+'@WAS'!I100+RAMS!I100+'@NOS'!I100+DAL!I100</f>
        <v>21</v>
      </c>
      <c r="J100" s="8">
        <f>+G100/C100*100</f>
        <v>4.417670682730924</v>
      </c>
      <c r="K100" s="12">
        <f>+I100/C100*100</f>
        <v>4.216867469879518</v>
      </c>
      <c r="L100" s="12">
        <f>+F100/C100</f>
        <v>7.751004016064257</v>
      </c>
      <c r="M100" s="12">
        <f>100*(S100+U100+W100+Y100)/6</f>
        <v>81.73527443105756</v>
      </c>
      <c r="N100">
        <f>'@MIN'!N100+ATL!N100+'@LAR'!N100+NOS!N100+'@ATL'!N100+CHI!N100+'@DET'!N100+'@RAMS'!N100+PHI!N100+'@DEN'!N100+KCC!N100+SEA!N100+'@WAS'!N100+RAMS!N100+'@NOS'!N100+DAL!N100</f>
        <v>3</v>
      </c>
      <c r="R100">
        <f>+(E100-30)/20</f>
        <v>1.5120481927710845</v>
      </c>
      <c r="S100" s="2">
        <f>IF(R100&lt;0,0,IF(R100&gt;2.375,2.375,R100))</f>
        <v>1.5120481927710845</v>
      </c>
      <c r="T100" s="6">
        <f>+(L100-3)/4</f>
        <v>1.1877510040160641</v>
      </c>
      <c r="U100" s="2">
        <f>IF(T100&lt;0,0,IF(T100&gt;2.375,2.375,T100))</f>
        <v>1.1877510040160641</v>
      </c>
      <c r="V100">
        <f>+J100/5</f>
        <v>0.8835341365461847</v>
      </c>
      <c r="W100" s="2">
        <f>IF(V100&lt;0,0,IF(V100&gt;2.375,2.375,V100))</f>
        <v>0.8835341365461847</v>
      </c>
      <c r="X100">
        <f>(9.5-K100)/4</f>
        <v>1.3207831325301205</v>
      </c>
      <c r="Y100" s="2">
        <f>IF(X100&lt;0,0,X100)</f>
        <v>1.3207831325301205</v>
      </c>
    </row>
    <row r="101" spans="1:25" ht="12.75">
      <c r="A101" t="s">
        <v>117</v>
      </c>
      <c r="C101">
        <f>+'@MIN'!C101+ATL!C101+'@LAR'!C101+NOS!C101+'@ATL'!C101+CHI!C101+'@DET'!C101+'@RAMS'!C101+PHI!C101+'@DEN'!C101+KCC!C101+SEA!C101+'@WAS'!C101+RAMS!C101+'@NOS'!C101+DAL!C101</f>
        <v>38</v>
      </c>
      <c r="D101">
        <f>+'@MIN'!D101+ATL!D101+'@LAR'!D101+NOS!D101+'@ATL'!D101+CHI!D101+'@DET'!D101+'@RAMS'!D101+PHI!D101+'@DEN'!D101+KCC!D101+SEA!D101+'@WAS'!D101+RAMS!D101+'@NOS'!D101+DAL!D101</f>
        <v>16</v>
      </c>
      <c r="E101" s="12">
        <f>+D101/C101*100</f>
        <v>42.10526315789473</v>
      </c>
      <c r="F101">
        <f>+'@MIN'!F101+ATL!F101+'@LAR'!F101+NOS!F101+'@ATL'!F101+CHI!F101+'@DET'!F101+'@RAMS'!F101+PHI!F101+'@DEN'!F101+KCC!F101+SEA!F101+'@WAS'!F101+RAMS!F101+'@NOS'!F101+DAL!F101</f>
        <v>180</v>
      </c>
      <c r="G101">
        <f>+'@MIN'!G101+ATL!G101+'@LAR'!G101+NOS!G101+'@ATL'!G101+CHI!G101+'@DET'!G101+'@RAMS'!G101+PHI!G101+'@DEN'!G101+KCC!G101+SEA!G101+'@WAS'!G101+RAMS!G101+'@NOS'!G101+DAL!G101</f>
        <v>0</v>
      </c>
      <c r="H101">
        <f>MAX('@MIN'!H101,ATL!H101,'@LAR'!H101,NOS!H101,'@ATL'!H101,CHI!H101,'@DET'!H101,PHI!H101,'@DEN'!H101,KCC!H101,SEA!H101,'@WAS'!H101,RAMS!H101,'@NOS'!H101,DAL!H101,+'@RAMS'!H101)</f>
        <v>28</v>
      </c>
      <c r="I101">
        <f>+'@MIN'!I101+ATL!I101+'@LAR'!I101+NOS!I101+'@ATL'!I101+CHI!I101+'@DET'!I101+'@RAMS'!I101+PHI!I101+'@DEN'!I101+KCC!I101+SEA!I101+'@WAS'!I101+RAMS!I101+'@NOS'!I101+DAL!I101</f>
        <v>0</v>
      </c>
      <c r="J101" s="8">
        <f>+G101/C101*100</f>
        <v>0</v>
      </c>
      <c r="K101" s="12">
        <f>+I101/C101*100</f>
        <v>0</v>
      </c>
      <c r="L101" s="12">
        <f>+F101/C101</f>
        <v>4.7368421052631575</v>
      </c>
      <c r="M101" s="12">
        <f>100*(S101+U101+W101+Y101)/6</f>
        <v>56.9078947368421</v>
      </c>
      <c r="N101">
        <f>'@MIN'!N101+ATL!N101+'@LAR'!N101+NOS!N101+'@ATL'!N101+CHI!N101+'@DET'!N101+'@RAMS'!N101+PHI!N101+'@DEN'!N101+KCC!N101+SEA!N101+'@WAS'!N101+RAMS!N101+'@NOS'!N101+DAL!N101</f>
        <v>1</v>
      </c>
      <c r="R101">
        <f>+(E101-30)/20</f>
        <v>0.6052631578947366</v>
      </c>
      <c r="S101" s="2">
        <f>IF(R101&lt;0,0,IF(R101&gt;2.375,2.375,R101))</f>
        <v>0.6052631578947366</v>
      </c>
      <c r="T101" s="6">
        <f>+(L101-3)/4</f>
        <v>0.4342105263157894</v>
      </c>
      <c r="U101" s="2">
        <f>IF(T101&lt;0,0,IF(T101&gt;2.375,2.375,T101))</f>
        <v>0.4342105263157894</v>
      </c>
      <c r="V101">
        <f>+J101/5</f>
        <v>0</v>
      </c>
      <c r="W101" s="2">
        <f>IF(V101&lt;0,0,IF(V101&gt;2.375,2.375,V101))</f>
        <v>0</v>
      </c>
      <c r="X101">
        <f>(9.5-K101)/4</f>
        <v>2.375</v>
      </c>
      <c r="Y101" s="2">
        <f>IF(X101&lt;0,0,X101)</f>
        <v>2.375</v>
      </c>
    </row>
    <row r="102" spans="1:25" ht="12.75">
      <c r="A102" t="s">
        <v>112</v>
      </c>
      <c r="C102">
        <f>+'@MIN'!C102+ATL!C102+'@LAR'!C102+NOS!C102+'@ATL'!C102+CHI!C102+'@DET'!C102+'@RAMS'!C102+PHI!C102+'@DEN'!C102+KCC!C102+SEA!C102+'@WAS'!C102+RAMS!C102+'@NOS'!C102+DAL!C102</f>
        <v>1</v>
      </c>
      <c r="D102">
        <f>+'@MIN'!D102+ATL!D102+'@LAR'!D102+NOS!D102+'@ATL'!D102+CHI!D102+'@DET'!D102+'@RAMS'!D102+PHI!D102+'@DEN'!D102+KCC!D102+SEA!D102+'@WAS'!D102+RAMS!D102+'@NOS'!D102+DAL!D102</f>
        <v>0</v>
      </c>
      <c r="E102" s="12">
        <f>+D102/C102*100</f>
        <v>0</v>
      </c>
      <c r="F102">
        <f>+'@MIN'!F102+ATL!F102+'@LAR'!F102+NOS!F102+'@ATL'!F102+CHI!F102+'@DET'!F102+'@RAMS'!F102+PHI!F102+'@DEN'!F102+KCC!F102+SEA!F102+'@WAS'!F102+RAMS!F102+'@NOS'!F102+DAL!F102</f>
        <v>0</v>
      </c>
      <c r="G102">
        <f>+'@MIN'!G102+ATL!G102+'@LAR'!G102+NOS!G102+'@ATL'!G102+CHI!G102+'@DET'!G102+'@RAMS'!G102+PHI!G102+'@DEN'!G102+KCC!G102+SEA!G102+'@WAS'!G102+RAMS!G102+'@NOS'!G102+DAL!G102</f>
        <v>0</v>
      </c>
      <c r="H102">
        <f>MAX('@MIN'!H102,ATL!H102,'@LAR'!H102,NOS!H102,'@ATL'!H102,CHI!H102,'@DET'!H102,PHI!H102,'@DEN'!H102,KCC!H102,SEA!H102,'@WAS'!H102,RAMS!H102,'@NOS'!H102,DAL!H102,+'@RAMS'!H102)</f>
        <v>0</v>
      </c>
      <c r="I102">
        <f>+'@MIN'!I102+ATL!I102+'@LAR'!I102+NOS!I102+'@ATL'!I102+CHI!I102+'@DET'!I102+'@RAMS'!I102+PHI!I102+'@DEN'!I102+KCC!I102+SEA!I102+'@WAS'!I102+RAMS!I102+'@NOS'!I102+DAL!I102</f>
        <v>0</v>
      </c>
      <c r="J102" s="8">
        <f>+G102/C102*100</f>
        <v>0</v>
      </c>
      <c r="K102" s="12">
        <f>+I102/C102*100</f>
        <v>0</v>
      </c>
      <c r="L102" s="12">
        <f>+F102/C102</f>
        <v>0</v>
      </c>
      <c r="M102" s="12">
        <f>100*(S102+U102+W102+Y102)/6</f>
        <v>39.583333333333336</v>
      </c>
      <c r="N102">
        <f>'@MIN'!N102+ATL!N102+'@LAR'!N102+NOS!N102+'@ATL'!N102+CHI!N102+'@DET'!N102+'@RAMS'!N102+PHI!N102+'@DEN'!N102+KCC!N102+SEA!N102+'@WAS'!N102+RAMS!N102+'@NOS'!N102+DAL!N102</f>
        <v>0</v>
      </c>
      <c r="R102">
        <f>+(E102-30)/20</f>
        <v>-1.5</v>
      </c>
      <c r="S102" s="2">
        <f>IF(R102&lt;0,0,IF(R102&gt;2.375,2.375,R102))</f>
        <v>0</v>
      </c>
      <c r="T102" s="6">
        <f>+(L102-3)/4</f>
        <v>-0.75</v>
      </c>
      <c r="U102" s="2">
        <f>IF(T102&lt;0,0,IF(T102&gt;2.375,2.375,T102))</f>
        <v>0</v>
      </c>
      <c r="V102">
        <f>+J102/5</f>
        <v>0</v>
      </c>
      <c r="W102" s="2">
        <f>IF(V102&lt;0,0,IF(V102&gt;2.375,2.375,V102))</f>
        <v>0</v>
      </c>
      <c r="X102">
        <f>(9.5-K102)/4</f>
        <v>2.375</v>
      </c>
      <c r="Y102" s="2">
        <f>IF(X102&lt;0,0,X102)</f>
        <v>2.375</v>
      </c>
    </row>
    <row r="103" spans="1:25" ht="12.75">
      <c r="A103" t="s">
        <v>116</v>
      </c>
      <c r="C103">
        <f>+'@MIN'!C103+ATL!C103+'@LAR'!C103+NOS!C103+'@ATL'!C103+CHI!C103+'@DET'!C103+'@RAMS'!C103+PHI!C103+'@DEN'!C103+KCC!C103+SEA!C103+'@WAS'!C103+RAMS!C103+'@NOS'!C103+DAL!C103</f>
        <v>1</v>
      </c>
      <c r="D103">
        <f>+'@MIN'!D103+ATL!D103+'@LAR'!D103+NOS!D103+'@ATL'!D103+CHI!D103+'@DET'!D103+'@RAMS'!D103+PHI!D103+'@DEN'!D103+KCC!D103+SEA!D103+'@WAS'!D103+RAMS!D103+'@NOS'!D103+DAL!D103</f>
        <v>0</v>
      </c>
      <c r="E103" s="12">
        <f>+D103/C103*100</f>
        <v>0</v>
      </c>
      <c r="F103">
        <f>+'@MIN'!F103+ATL!F103+'@LAR'!F103+NOS!F103+'@ATL'!F103+CHI!F103+'@DET'!F103+'@RAMS'!F103+PHI!F103+'@DEN'!F103+KCC!F103+SEA!F103+'@WAS'!F103+RAMS!F103+'@NOS'!F103+DAL!F103</f>
        <v>0</v>
      </c>
      <c r="G103">
        <f>+'@MIN'!G103+ATL!G103+'@LAR'!G103+NOS!G103+'@ATL'!G103+CHI!G103+'@DET'!G103+'@RAMS'!G103+PHI!G103+'@DEN'!G103+KCC!G103+SEA!G103+'@WAS'!G103+RAMS!G103+'@NOS'!G103+DAL!G103</f>
        <v>0</v>
      </c>
      <c r="H103">
        <f>MAX('@MIN'!H103,ATL!H103,'@LAR'!H103,NOS!H103,'@ATL'!H103,CHI!H103,'@DET'!H103,PHI!H103,'@DEN'!H103,KCC!H103,SEA!H103,'@WAS'!H103,RAMS!H103,'@NOS'!H103,DAL!H103,+'@RAMS'!H103)</f>
        <v>0</v>
      </c>
      <c r="I103">
        <f>+'@MIN'!I103+ATL!I103+'@LAR'!I103+NOS!I103+'@ATL'!I103+CHI!I103+'@DET'!I103+'@RAMS'!I103+PHI!I103+'@DEN'!I103+KCC!I103+SEA!I103+'@WAS'!I103+RAMS!I103+'@NOS'!I103+DAL!I103</f>
        <v>0</v>
      </c>
      <c r="J103" s="8">
        <f>+G103/C103*100</f>
        <v>0</v>
      </c>
      <c r="K103" s="12">
        <f>+I103/C103*100</f>
        <v>0</v>
      </c>
      <c r="L103" s="12">
        <f>+F103/C103</f>
        <v>0</v>
      </c>
      <c r="M103" s="12">
        <f>100*(S103+U103+W103+Y103)/6</f>
        <v>39.583333333333336</v>
      </c>
      <c r="N103">
        <f>'@MIN'!N103+ATL!N103+'@LAR'!N103+NOS!N103+'@ATL'!N103+CHI!N103+'@DET'!N103+'@RAMS'!N103+PHI!N103+'@DEN'!N103+KCC!N103+SEA!N103+'@WAS'!N103+RAMS!N103+'@NOS'!N103+DAL!N103</f>
        <v>0</v>
      </c>
      <c r="R103">
        <f>+(E103-30)/20</f>
        <v>-1.5</v>
      </c>
      <c r="S103" s="2">
        <f>IF(R103&lt;0,0,IF(R103&gt;2.375,2.375,R103))</f>
        <v>0</v>
      </c>
      <c r="T103" s="6">
        <f>+(L103-3)/4</f>
        <v>-0.75</v>
      </c>
      <c r="U103" s="2">
        <f>IF(T103&lt;0,0,IF(T103&gt;2.375,2.375,T103))</f>
        <v>0</v>
      </c>
      <c r="V103">
        <f>+J103/5</f>
        <v>0</v>
      </c>
      <c r="W103" s="2">
        <f>IF(V103&lt;0,0,IF(V103&gt;2.375,2.375,V103))</f>
        <v>0</v>
      </c>
      <c r="X103">
        <f>(9.5-K103)/4</f>
        <v>2.375</v>
      </c>
      <c r="Y103" s="2">
        <f>IF(X103&lt;0,0,X103)</f>
        <v>2.375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f>+'@MIN'!C107+ATL!C107+'@LAR'!C107+NOS!C107+'@ATL'!C107+CHI!C107+'@DET'!C107+'@RAMS'!C107+PHI!C107+'@DEN'!C107+KCC!C107+SEA!C107+'@WAS'!C107+RAMS!C107+'@NOS'!C107+DAL!C107</f>
        <v>60</v>
      </c>
      <c r="D107">
        <f>+'@MIN'!D107+ATL!D107+'@LAR'!D107+NOS!D107+'@ATL'!D107+CHI!D107+'@DET'!D107+'@RAMS'!D107+PHI!D107+'@DEN'!D107+KCC!D107+SEA!D107+'@WAS'!D107+RAMS!D107+'@NOS'!D107+DAL!D107</f>
        <v>23</v>
      </c>
      <c r="E107">
        <f>+'@MIN'!E107+ATL!E107+'@LAR'!E107+NOS!E107+'@ATL'!E107+CHI!E107+'@DET'!E107+'@RAMS'!E107+PHI!E107+'@DEN'!E107+KCC!E107+SEA!E107+'@WAS'!E107+RAMS!E107+'@NOS'!E107+DAL!E107</f>
        <v>476</v>
      </c>
      <c r="F107" s="12">
        <f>+E107/C107</f>
        <v>7.933333333333334</v>
      </c>
      <c r="G107">
        <f>MAX('@MIN'!G107,ATL!G107,'@LAR'!G107,NOS!G107,'@ATL'!G107,CHI!G107,'@DET'!G107,PHI!G107,'@DEN'!G107,KCC!G107,SEA!G107,'@WAS'!G107,RAMS!G107,'@NOS'!G107,DAL!G107,+'@RAMS'!G107)</f>
        <v>43</v>
      </c>
      <c r="H107">
        <f>+'@MIN'!H107+ATL!H107+'@LAR'!H107+NOS!H107+'@ATL'!H107+CHI!H107+'@DET'!H107+'@RAMS'!H107+PHI!H107+'@DEN'!H107+KCC!H107+SEA!H107+'@WAS'!H107+RAMS!H107+'@NOS'!H107+DAL!H107</f>
        <v>0</v>
      </c>
      <c r="I107">
        <f>'@MIN'!I107+ATL!I107+'@LAR'!I107+NOS!I107+'@ATL'!I107+CHI!I107+'@DET'!I107+'@RAMS'!I107+PHI!I107+'@DEN'!I107+KCC!I107+SEA!I107+'@WAS'!I107+RAMS!I107+'@NOS'!I107+DAL!I107</f>
        <v>6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f>+'@MIN'!C110+ATL!C110+'@LAR'!C110+NOS!C110+'@ATL'!C110+CHI!C110+'@DET'!C110+'@RAMS'!C110+PHI!C110+'@DEN'!C110+KCC!C110+SEA!C110+'@WAS'!C110+RAMS!C110+'@NOS'!C110+DAL!C110</f>
        <v>21</v>
      </c>
      <c r="D110">
        <f>+'@MIN'!D110+ATL!D110+'@LAR'!D110+NOS!D110+'@ATL'!D110+CHI!D110+'@DET'!D110+'@RAMS'!D110+PHI!D110+'@DEN'!D110+KCC!D110+SEA!D110+'@WAS'!D110+RAMS!D110+'@NOS'!D110+DAL!D110</f>
        <v>568</v>
      </c>
      <c r="E110" s="12">
        <f aca="true" t="shared" si="4" ref="E110:E115">+D110/C110</f>
        <v>27.047619047619047</v>
      </c>
      <c r="F110">
        <f>MAX('@MIN'!F110,ATL!F110,'@LAR'!F110,NOS!F110,'@ATL'!F110,CHI!F110,'@DET'!F110,PHI!F110,'@DEN'!F110,KCC!F110,SEA!F110,'@WAS'!F110,RAMS!F110,'@NOS'!F110,DAL!F110,+'@RAMS'!F110)</f>
        <v>97</v>
      </c>
      <c r="G110">
        <f>+'@MIN'!G110+ATL!G110+'@LAR'!G110+NOS!G110+'@ATL'!G110+CHI!G110+'@DET'!G110+'@RAMS'!G110+PHI!G110+'@DEN'!G110+KCC!G110+SEA!G110+'@WAS'!G110+RAMS!G110+'@NOS'!G110+DAL!G110</f>
        <v>1</v>
      </c>
      <c r="H110">
        <f>'@MIN'!H110+ATL!H110+'@LAR'!H110+NOS!H110+'@ATL'!H110+CHI!H110+'@DET'!H110+'@RAMS'!H110+PHI!H110+'@DEN'!H110+KCC!H110+SEA!H110+'@WAS'!H110+RAMS!H110+'@NOS'!H110+DAL!H110</f>
        <v>0</v>
      </c>
    </row>
    <row r="111" spans="1:8" ht="12.75">
      <c r="A111" t="s">
        <v>112</v>
      </c>
      <c r="C111">
        <f>+'@MIN'!C111+ATL!C111+'@LAR'!C111+NOS!C111+'@ATL'!C111+CHI!C111+'@DET'!C111+'@RAMS'!C111+PHI!C111+'@DEN'!C111+KCC!C111+SEA!C111+'@WAS'!C111+RAMS!C111+'@NOS'!C111+DAL!C111</f>
        <v>20</v>
      </c>
      <c r="D111">
        <f>+'@MIN'!D111+ATL!D111+'@LAR'!D111+NOS!D111+'@ATL'!D111+CHI!D111+'@DET'!D111+'@RAMS'!D111+PHI!D111+'@DEN'!D111+KCC!D111+SEA!D111+'@WAS'!D111+RAMS!D111+'@NOS'!D111+DAL!D111</f>
        <v>354</v>
      </c>
      <c r="E111" s="12">
        <f t="shared" si="4"/>
        <v>17.7</v>
      </c>
      <c r="F111">
        <f>MAX('@MIN'!F111,ATL!F111,'@LAR'!F111,NOS!F111,'@ATL'!F111,CHI!F111,'@DET'!F111,PHI!F111,'@DEN'!F111,KCC!F111,SEA!F111,'@WAS'!F111,RAMS!F111,'@NOS'!F111,DAL!F111,+'@RAMS'!F111)</f>
        <v>38</v>
      </c>
      <c r="G111">
        <f>+'@MIN'!G111+ATL!G111+'@LAR'!G111+NOS!G111+'@ATL'!G111+CHI!G111+'@DET'!G111+'@RAMS'!G111+PHI!G111+'@DEN'!G111+KCC!G111+SEA!G111+'@WAS'!G111+RAMS!G111+'@NOS'!G111+DAL!G111</f>
        <v>0</v>
      </c>
      <c r="H111">
        <f>'@MIN'!H111+ATL!H111+'@LAR'!H111+NOS!H111+'@ATL'!H111+CHI!H111+'@DET'!H111+'@RAMS'!H111+PHI!H111+'@DEN'!H111+KCC!H111+SEA!H111+'@WAS'!H111+RAMS!H111+'@NOS'!H111+DAL!H111</f>
        <v>0</v>
      </c>
    </row>
    <row r="112" spans="1:8" ht="12.75">
      <c r="A112" t="s">
        <v>123</v>
      </c>
      <c r="C112">
        <f>+'@MIN'!C112+ATL!C112+'@LAR'!C112+NOS!C112+'@ATL'!C112+CHI!C112+'@DET'!C112+'@RAMS'!C112+PHI!C112+'@DEN'!C112+KCC!C112+SEA!C112+'@WAS'!C112+RAMS!C112+'@NOS'!C112+DAL!C112</f>
        <v>4</v>
      </c>
      <c r="D112">
        <f>+'@MIN'!D112+ATL!D112+'@LAR'!D112+NOS!D112+'@ATL'!D112+CHI!D112+'@DET'!D112+'@RAMS'!D112+PHI!D112+'@DEN'!D112+KCC!D112+SEA!D112+'@WAS'!D112+RAMS!D112+'@NOS'!D112+DAL!D112</f>
        <v>60</v>
      </c>
      <c r="E112" s="12">
        <f t="shared" si="4"/>
        <v>15</v>
      </c>
      <c r="F112">
        <f>MAX('@MIN'!F112,ATL!F112,'@LAR'!F112,NOS!F112,'@ATL'!F112,CHI!F112,'@DET'!F112,PHI!F112,'@DEN'!F112,KCC!F112,SEA!F112,'@WAS'!F112,RAMS!F112,'@NOS'!F112,DAL!F112,+'@RAMS'!F112)</f>
        <v>20</v>
      </c>
      <c r="G112">
        <f>+'@MIN'!G112+ATL!G112+'@LAR'!G112+NOS!G112+'@ATL'!G112+CHI!G112+'@DET'!G112+'@RAMS'!G112+PHI!G112+'@DEN'!G112+KCC!G112+SEA!G112+'@WAS'!G112+RAMS!G112+'@NOS'!G112+DAL!G112</f>
        <v>0</v>
      </c>
      <c r="H112">
        <f>'@MIN'!H112+ATL!H112+'@LAR'!H112+NOS!H112+'@ATL'!H112+CHI!H112+'@DET'!H112+'@RAMS'!H112+PHI!H112+'@DEN'!H112+KCC!H112+SEA!H112+'@WAS'!H112+RAMS!H112+'@NOS'!H112+DAL!H112</f>
        <v>1</v>
      </c>
    </row>
    <row r="113" spans="1:8" ht="12.75">
      <c r="A113" t="s">
        <v>122</v>
      </c>
      <c r="C113">
        <f>+'@MIN'!C113+ATL!C113+'@LAR'!C113+NOS!C113+'@ATL'!C113+CHI!C113+'@DET'!C113+'@RAMS'!C113+PHI!C113+'@DEN'!C113+KCC!C113+SEA!C113+'@WAS'!C113+RAMS!C113</f>
        <v>0</v>
      </c>
      <c r="D113">
        <f>+'@MIN'!D113+ATL!D113+'@LAR'!D113+NOS!D113+'@ATL'!D113+CHI!D113+'@DET'!D113+'@RAMS'!D113+PHI!D113+'@DEN'!D113+KCC!D113+SEA!D113+'@WAS'!D113+RAMS!D113</f>
        <v>0</v>
      </c>
      <c r="E113" s="12" t="e">
        <f t="shared" si="4"/>
        <v>#DIV/0!</v>
      </c>
      <c r="F113">
        <f>MAX('@MIN'!F113,ATL!F113,'@LAR'!F113,NOS!F113,'@ATL'!F113,CHI!F113,'@DET'!F113,PHI!F113,'@DEN'!F113,KCC!F113,SEA!F113,'@WAS'!F113,RAMS!F113,'@NOS'!F113,DAL!F113,+'@RAMS'!F113)</f>
        <v>0</v>
      </c>
      <c r="G113">
        <f>+'@MIN'!G113+ATL!G113+'@LAR'!G113+NOS!G113+'@ATL'!G113+CHI!G113+'@DET'!G113+'@RAMS'!G113+PHI!G113+'@DEN'!G113+KCC!G113+SEA!G113+'@WAS'!G113+RAMS!G113</f>
        <v>0</v>
      </c>
      <c r="H113">
        <f>'@MIN'!H113+ATL!H113+'@LAR'!H113+NOS!H113+'@ATL'!H113+CHI!H113+'@DET'!H113+'@RAMS'!H113+PHI!H113+'@DEN'!H113+KCC!H113+SEA!H113+'@WAS'!H113+RAMS!H113+'@NOS'!H113+DAL!H113</f>
        <v>0</v>
      </c>
    </row>
    <row r="114" spans="1:8" ht="12.75">
      <c r="A114" t="s">
        <v>124</v>
      </c>
      <c r="C114">
        <f>+'@MIN'!C114+ATL!C114+'@LAR'!C114+NOS!C114+'@ATL'!C114+CHI!C114+'@DET'!C114+'@RAMS'!C114+PHI!C114+'@DEN'!C114+KCC!C114+SEA!C114+'@WAS'!C114+RAMS!C114</f>
        <v>1</v>
      </c>
      <c r="D114">
        <f>+'@MIN'!D114+ATL!D114+'@LAR'!D114+NOS!D114+'@ATL'!D114+CHI!D114+'@DET'!D114+'@RAMS'!D114+PHI!D114+'@DEN'!D114+KCC!D114+SEA!D114+'@WAS'!D114+RAMS!D114</f>
        <v>8</v>
      </c>
      <c r="E114" s="12">
        <f t="shared" si="4"/>
        <v>8</v>
      </c>
      <c r="F114">
        <f>MAX('@MIN'!F114,ATL!F114,'@LAR'!F114,NOS!F114,'@ATL'!F114,CHI!F114,'@DET'!F114,PHI!F114,'@DEN'!F114,KCC!F114,SEA!F114,'@WAS'!F114,RAMS!F114,'@NOS'!F114,DAL!F114,+'@RAMS'!F114)</f>
        <v>8</v>
      </c>
      <c r="G114">
        <f>+'@MIN'!G114+ATL!G114+'@LAR'!G114+NOS!G114+'@ATL'!G114+CHI!G114+'@DET'!G114+'@RAMS'!G114+PHI!G114+'@DEN'!G114+KCC!G114+SEA!G114+'@WAS'!G114+RAMS!G114</f>
        <v>0</v>
      </c>
      <c r="H114">
        <f>'@MIN'!H114+ATL!H114+'@LAR'!H114+NOS!H114+'@ATL'!H114+CHI!H114+'@DET'!H114+'@RAMS'!H114+PHI!H114+'@DEN'!H114+KCC!H114+SEA!H114+'@WAS'!H114+RAMS!H114+'@NOS'!H114+DAL!H114</f>
        <v>0</v>
      </c>
    </row>
    <row r="115" spans="1:8" ht="12.75">
      <c r="A115" t="s">
        <v>113</v>
      </c>
      <c r="C115">
        <f>+'@MIN'!C115+ATL!C115+'@LAR'!C115+NOS!C115+'@ATL'!C115+CHI!C115+'@DET'!C115+'@RAMS'!C115+PHI!C115+'@DEN'!C115+KCC!C115+SEA!C115+'@WAS'!C115+RAMS!C115</f>
        <v>0</v>
      </c>
      <c r="D115">
        <f>+'@MIN'!D115+ATL!D115+'@LAR'!D115+NOS!D115+'@ATL'!D115+CHI!D115+'@DET'!D115+'@RAMS'!D115+PHI!D115+'@DEN'!D115+KCC!D115+SEA!D115+'@WAS'!D115+RAMS!D115</f>
        <v>0</v>
      </c>
      <c r="E115" s="12" t="e">
        <f t="shared" si="4"/>
        <v>#DIV/0!</v>
      </c>
      <c r="F115">
        <f>MAX('@MIN'!F115,ATL!F115,'@LAR'!F115,NOS!F115,'@ATL'!F115,CHI!F115,'@DET'!F115,PHI!F115,'@DEN'!F115,KCC!F115,SEA!F115,'@WAS'!F115,RAMS!F115,'@NOS'!F115,DAL!F115,+'@RAMS'!F115)</f>
        <v>0</v>
      </c>
      <c r="G115">
        <f>+'@MIN'!G115+ATL!G115+'@LAR'!G115+NOS!G115+'@ATL'!G115+CHI!G115+'@DET'!G115+'@RAMS'!G115+PHI!G115+'@DEN'!G115+KCC!G115+SEA!G115+'@WAS'!G115+RAMS!G115</f>
        <v>0</v>
      </c>
      <c r="H115">
        <f>'@MIN'!H115+ATL!H115+'@LAR'!H115+NOS!H115+'@ATL'!H115+CHI!H115+'@DET'!H115+'@RAMS'!H115+PHI!H115+'@DEN'!H115+KCC!H115+SEA!H115+'@WAS'!H115+RAMS!H115+'@NOS'!H115+DAL!H115</f>
        <v>0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f>+'@MIN'!C118+ATL!C118+'@LAR'!C118+NOS!C118+'@ATL'!C118+CHI!C118+'@DET'!C118+'@RAMS'!C118+PHI!C118+'@DEN'!C118+KCC!C118+SEA!C118+'@WAS'!C118+RAMS!C118+'@NOS'!C118+DAL!C118</f>
        <v>88</v>
      </c>
      <c r="D118">
        <f>+'@MIN'!D118+ATL!D118+'@LAR'!D118+NOS!D118+'@ATL'!D118+CHI!D118+'@DET'!D118+'@RAMS'!D118+PHI!D118+'@DEN'!D118+KCC!D118+SEA!D118+'@WAS'!D118+RAMS!D118+'@NOS'!D118+DAL!D118</f>
        <v>3594</v>
      </c>
      <c r="E118" s="12">
        <f>+D118/C118</f>
        <v>40.84090909090909</v>
      </c>
      <c r="F118">
        <f>MAX('@MIN'!F118,ATL!F118,'@LAR'!F118,NOS!F118,'@ATL'!F118,CHI!F118,'@DET'!F118,PHI!F118,'@DEN'!F118,KCC!F118,SEA!F118,'@WAS'!F118,RAMS!F118,'@NOS'!F118,DAL!F118,+'@RAMS'!F118)</f>
        <v>64</v>
      </c>
      <c r="G118">
        <f>+'@MIN'!G118+ATL!G118+'@LAR'!G118+NOS!G118+'@ATL'!G118+CHI!G118+'@DET'!G118+'@RAMS'!G118+PHI!G118+'@DEN'!G118+KCC!G118+SEA!G118+'@WAS'!G118+RAMS!G118+'@NOS'!G118+DAL!G118</f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f>+'@MIN'!C121+ATL!C121+'@LAR'!C121+NOS!C121+'@ATL'!C121+CHI!C121+'@DET'!C121+'@RAMS'!C121+PHI!C121+'@DEN'!C121+KCC!C121+SEA!C121+'@WAS'!C121+RAMS!C121+'@NOS'!C121+DAL!C121</f>
        <v>88</v>
      </c>
      <c r="D121">
        <f>+'@MIN'!D121+ATL!D121+'@LAR'!D121+NOS!D121+'@ATL'!D121+CHI!D121+'@DET'!D121+'@RAMS'!D121+PHI!D121+'@DEN'!D121+KCC!D121+SEA!D121+'@WAS'!D121+RAMS!D121+'@NOS'!D121+DAL!D121</f>
        <v>16</v>
      </c>
      <c r="E121">
        <f>+'@MIN'!E121+ATL!E121+'@LAR'!E121+NOS!E121+'@ATL'!E121+CHI!E121+'@DET'!E121+'@RAMS'!E121+PHI!E121+'@DEN'!E121+KCC!E121+SEA!E121+'@WAS'!E121+RAMS!E121+'@NOS'!E121+DAL!E121</f>
        <v>50</v>
      </c>
      <c r="F121">
        <f>+'@MIN'!F121+ATL!F121+'@LAR'!F121+NOS!F121+'@ATL'!F121+CHI!F121+'@DET'!F121+'@RAMS'!F121+PHI!F121+'@DEN'!F121+KCC!F121+SEA!F121+'@WAS'!F121+RAMS!F121+'@NOS'!F121+DAL!F121</f>
        <v>49</v>
      </c>
      <c r="G121">
        <f>+'@MIN'!G121+ATL!G121+'@LAR'!G121+NOS!G121+'@ATL'!G121+CHI!G121+'@DET'!G121+'@RAMS'!G121+PHI!G121+'@DEN'!G121+KCC!G121+SEA!G121+'@WAS'!G121+RAMS!G121+'@NOS'!G121+DAL!G121</f>
        <v>34</v>
      </c>
      <c r="H121">
        <f>+'@MIN'!H121+ATL!H121+'@LAR'!H121+NOS!H121+'@ATL'!H121+CHI!H121+'@DET'!H121+'@RAMS'!H121+PHI!H121+'@DEN'!H121+KCC!H121+SEA!H121+'@WAS'!H121+RAMS!H121+'@NOS'!H121+DAL!H121</f>
        <v>24</v>
      </c>
      <c r="I121" s="12">
        <f>+H121/G121*100</f>
        <v>70.58823529411765</v>
      </c>
      <c r="J121">
        <f>MAX('@MIN'!J121,ATL!J121,'@LAR'!J121,NOS!J121,'@ATL'!J121,CHI!J121,'@DET'!J121,PHI!J121,'@DEN'!J121,KCC!J121,SEA!J121,'@WAS'!J121,RAMS!J121,'@NOS'!J121,DAL!J121,+'@RAMS'!J121)</f>
        <v>49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f>+'@MIN'!C124+ATL!C124+'@LAR'!C124+NOS!C124+'@ATL'!C124+CHI!C124+'@DET'!C124+'@RAMS'!C124+PHI!C124+'@DEN'!C124+KCC!C124+SEA!C124+'@WAS'!C124+RAMS!C124+'@NOS'!C124+DAL!C124</f>
        <v>7</v>
      </c>
      <c r="D124">
        <f>+'@MIN'!D124+ATL!D124+'@LAR'!D124+NOS!D124+'@ATL'!D124+CHI!D124+'@DET'!D124+'@RAMS'!D124+PHI!D124+'@DEN'!D124+KCC!D124+SEA!D124+'@WAS'!D124+RAMS!D124+'@NOS'!D124+DAL!D124</f>
        <v>70</v>
      </c>
      <c r="E124" s="12">
        <f>+D124/C124</f>
        <v>10</v>
      </c>
      <c r="F124">
        <f>MAX('@MIN'!F124,ATL!F124,'@LAR'!F124,NOS!F124,'@ATL'!F124,CHI!F124,'@DET'!F124,PHI!F124,'@DEN'!F124,KCC!F124,SEA!F124,'@WAS'!F124,RAMS!F124,'@NOS'!F124,DAL!F124,+'@RAMS'!F124)</f>
        <v>26</v>
      </c>
      <c r="G124">
        <f>+'@MIN'!G124+ATL!G124+'@LAR'!G124+NOS!G124+'@ATL'!G124+CHI!G124+'@DET'!G124+'@RAMS'!G124+PHI!G124+'@DEN'!G124+KCC!G124+SEA!G124+'@WAS'!G124+RAMS!G124+'@NOS'!G124+DAL!G124</f>
        <v>0</v>
      </c>
      <c r="H124">
        <f>'@MIN'!H124+ATL!H124+'@LAR'!H124+NOS!H124+'@ATL'!H124+CHI!H124+'@DET'!H124+'@RAMS'!H124+PHI!H124+'@DEN'!H124+KCC!H124+SEA!H124+'@WAS'!H124+RAMS!H124+'@NOS'!H124+DAL!H124</f>
        <v>0</v>
      </c>
    </row>
    <row r="125" spans="1:8" ht="12.75">
      <c r="A125" t="s">
        <v>127</v>
      </c>
      <c r="C125">
        <f>+'@MIN'!C125+ATL!C125+'@LAR'!C125+NOS!C125+'@ATL'!C125+CHI!C125+'@DET'!C125+'@RAMS'!C125+PHI!C125+'@DEN'!C125+KCC!C125+SEA!C125+'@WAS'!C125+RAMS!C125+'@NOS'!C125+DAL!C125</f>
        <v>3</v>
      </c>
      <c r="D125">
        <f>+'@MIN'!D125+ATL!D125+'@LAR'!D125+NOS!D125+'@ATL'!D125+CHI!D125+'@DET'!D125+'@RAMS'!D125+PHI!D125+'@DEN'!D125+KCC!D125+SEA!D125+'@WAS'!D125+RAMS!D125+'@NOS'!D125+'@NOS'!D125</f>
        <v>47</v>
      </c>
      <c r="E125" s="12">
        <f aca="true" t="shared" si="5" ref="E125:E132">+D125/C125</f>
        <v>15.666666666666666</v>
      </c>
      <c r="F125">
        <f>MAX('@MIN'!F125,ATL!F125,'@LAR'!F125,NOS!F125,'@ATL'!F125,CHI!F125,'@DET'!F125,PHI!F125,'@DEN'!F125,KCC!F125,SEA!F125,'@WAS'!F125,RAMS!F125,'@NOS'!F125,DAL!F125,+'@RAMS'!F125)</f>
        <v>42</v>
      </c>
      <c r="G125">
        <f>+'@MIN'!G125+ATL!G125+'@LAR'!G125+NOS!G125+'@ATL'!G125+CHI!G125+'@DET'!G125+'@RAMS'!G125+PHI!G125+'@DEN'!G125+KCC!G125+SEA!G125+'@WAS'!G125+RAMS!G125+'@NOS'!G125+DAL!G125</f>
        <v>0</v>
      </c>
      <c r="H125">
        <f>'@MIN'!H125+ATL!H125+'@LAR'!H125+NOS!H125+'@ATL'!H125+CHI!H125+'@DET'!H125+'@RAMS'!H125+PHI!H125+'@DEN'!H125+KCC!H125+SEA!H125+'@WAS'!H125+RAMS!H125+'@NOS'!H125+DAL!H125</f>
        <v>0</v>
      </c>
    </row>
    <row r="126" spans="1:8" ht="12.75">
      <c r="A126" t="s">
        <v>128</v>
      </c>
      <c r="C126">
        <f>+'@MIN'!C126+ATL!C126+'@LAR'!C126+NOS!C126+'@ATL'!C126+CHI!C126+'@DET'!C126+'@RAMS'!C126+PHI!C126+'@DEN'!C126+KCC!C126+SEA!C126+'@WAS'!C126+RAMS!C126+'@NOS'!C126+DAL!C126</f>
        <v>4</v>
      </c>
      <c r="D126">
        <f>+'@MIN'!D126+ATL!D126+'@LAR'!D126+NOS!D126+'@ATL'!D126+CHI!D126+'@DET'!D126+'@RAMS'!D126+PHI!D126+'@DEN'!D126+KCC!D126+SEA!D126+'@WAS'!D126+RAMS!D126+'@NOS'!D126+DAL!D126</f>
        <v>166</v>
      </c>
      <c r="E126" s="12">
        <f t="shared" si="5"/>
        <v>41.5</v>
      </c>
      <c r="F126">
        <f>MAX('@MIN'!F126,ATL!F126,'@LAR'!F126,NOS!F126,'@ATL'!F126,CHI!F126,'@DET'!F126,PHI!F126,'@DEN'!F126,KCC!F126,SEA!F126,'@WAS'!F126,RAMS!F126,'@NOS'!F126,DAL!F126,+'@RAMS'!F126)</f>
        <v>68</v>
      </c>
      <c r="G126">
        <f>+'@MIN'!G126+ATL!G126+'@LAR'!G126+NOS!G126+'@ATL'!G126+CHI!G126+'@DET'!G126+'@RAMS'!G126+PHI!G126+'@DEN'!G126+KCC!G126+SEA!G126+'@WAS'!G126+RAMS!G126+'@NOS'!G126+DAL!G126</f>
        <v>1</v>
      </c>
      <c r="H126">
        <f>'@MIN'!H126+ATL!H126+'@LAR'!H126+NOS!H126+'@ATL'!H126+CHI!H126+'@DET'!H126+'@RAMS'!H126+PHI!H126+'@DEN'!H126+KCC!H126+SEA!H126+'@WAS'!H126+RAMS!H126+'@NOS'!H126+DAL!H126</f>
        <v>0</v>
      </c>
    </row>
    <row r="127" spans="1:8" ht="12.75">
      <c r="A127" t="s">
        <v>129</v>
      </c>
      <c r="C127">
        <f>+'@MIN'!C127+ATL!C127+'@LAR'!C127+NOS!C127+'@ATL'!C127+CHI!C127+'@DET'!C127+'@RAMS'!C127+PHI!C127+'@DEN'!C127+KCC!C127+SEA!C127+'@WAS'!C127+RAMS!C127+'@NOS'!C127+DAL!C127</f>
        <v>0</v>
      </c>
      <c r="D127">
        <f>+'@MIN'!D127+ATL!D127+'@LAR'!D127+NOS!D127+'@ATL'!D127+CHI!D127+'@DET'!D127+'@RAMS'!D127+PHI!D127+'@DEN'!D127+KCC!D127+SEA!D127+'@WAS'!D127+RAMS!D127+'@NOS'!D127+DAL!D127</f>
        <v>0</v>
      </c>
      <c r="E127" s="12" t="e">
        <f t="shared" si="5"/>
        <v>#DIV/0!</v>
      </c>
      <c r="F127">
        <f>MAX('@MIN'!F127,ATL!F127,'@LAR'!F127,NOS!F127,'@ATL'!F127,CHI!F127,'@DET'!F127,PHI!F127,'@DEN'!F127,KCC!F127,SEA!F127,'@WAS'!F127,RAMS!F127,'@NOS'!F127,DAL!F127,+'@RAMS'!F127)</f>
        <v>0</v>
      </c>
      <c r="G127">
        <f>+'@MIN'!G127+ATL!G127+'@LAR'!G127+NOS!G127+'@ATL'!G127+CHI!G127+'@DET'!G127+'@RAMS'!G127+PHI!G127+'@DEN'!G127+KCC!G127+SEA!G127+'@WAS'!G127+RAMS!G127+'@NOS'!G127+DAL!G127</f>
        <v>0</v>
      </c>
      <c r="H127">
        <f>'@MIN'!H127+ATL!H127+'@LAR'!H127+NOS!H127+'@ATL'!H127+CHI!H127+'@DET'!H127+'@RAMS'!H127+PHI!H127+'@DEN'!H127+KCC!H127+SEA!H127+'@WAS'!H127+RAMS!H127+'@NOS'!H127+DAL!H127</f>
        <v>0</v>
      </c>
    </row>
    <row r="128" spans="1:8" ht="12.75">
      <c r="A128" t="s">
        <v>130</v>
      </c>
      <c r="C128">
        <f>+'@MIN'!C128+ATL!C128+'@LAR'!C128+NOS!C128+'@ATL'!C128+CHI!C128+'@DET'!C128+'@RAMS'!C128+PHI!C128+'@DEN'!C128+KCC!C128+SEA!C128+'@WAS'!C128+RAMS!C128+'@NOS'!C128+DAL!C128</f>
        <v>1</v>
      </c>
      <c r="D128">
        <f>+'@MIN'!D128+ATL!D128+'@LAR'!D128+NOS!D128+'@ATL'!D128+CHI!D128+'@DET'!D128+'@RAMS'!D128+PHI!D128+'@DEN'!D128+KCC!D128+SEA!D128+'@WAS'!D128+RAMS!D128+'@NOS'!D128+DAL!D128</f>
        <v>34</v>
      </c>
      <c r="E128" s="12">
        <f t="shared" si="5"/>
        <v>34</v>
      </c>
      <c r="F128">
        <f>MAX('@MIN'!F128,ATL!F128,'@LAR'!F128,NOS!F128,'@ATL'!F128,CHI!F128,'@DET'!F128,PHI!F128,'@DEN'!F128,KCC!F128,SEA!F128,'@WAS'!F128,RAMS!F128,'@NOS'!F128,DAL!F128,+'@RAMS'!F128)</f>
        <v>34</v>
      </c>
      <c r="G128">
        <f>+'@MIN'!G128+ATL!G128+'@LAR'!G128+NOS!G128+'@ATL'!G128+CHI!G128+'@DET'!G128+'@RAMS'!G128+PHI!G128+'@DEN'!G128+KCC!G128+SEA!G128+'@WAS'!G128+RAMS!G128+'@NOS'!G128+DAL!G128</f>
        <v>0</v>
      </c>
      <c r="H128">
        <f>'@MIN'!H128+ATL!H128+'@LAR'!H128+NOS!H128+'@ATL'!H128+CHI!H128+'@DET'!H128+'@RAMS'!H128+PHI!H128+'@DEN'!H128+KCC!H128+SEA!H128+'@WAS'!H128+RAMS!H128+'@NOS'!H128+DAL!H128</f>
        <v>0</v>
      </c>
    </row>
    <row r="129" spans="1:8" ht="12.75">
      <c r="A129" t="s">
        <v>131</v>
      </c>
      <c r="C129">
        <f>+'@MIN'!C129+ATL!C129+'@LAR'!C129+NOS!C129+'@ATL'!C129+CHI!C129+'@DET'!C129+'@RAMS'!C129+PHI!C129+'@DEN'!C129+KCC!C129+SEA!C129+'@WAS'!C129+RAMS!C129+'@NOS'!C129+DAL!C129</f>
        <v>1</v>
      </c>
      <c r="D129">
        <f>+'@MIN'!D129+ATL!D129+'@LAR'!D129+NOS!D129+'@ATL'!D129+CHI!D129+'@DET'!D129+'@RAMS'!D129+PHI!D129+'@DEN'!D129+KCC!D129+SEA!D129+'@WAS'!D129+RAMS!D129+'@NOS'!D129+DAL!D129</f>
        <v>3</v>
      </c>
      <c r="E129" s="12">
        <f t="shared" si="5"/>
        <v>3</v>
      </c>
      <c r="F129">
        <f>MAX('@MIN'!F129,ATL!F129,'@LAR'!F129,NOS!F129,'@ATL'!F129,CHI!F129,'@DET'!F129,PHI!F129,'@DEN'!F129,KCC!F129,SEA!F129,'@WAS'!F129,RAMS!F129,'@NOS'!F129,DAL!F129,+'@RAMS'!F129)</f>
        <v>3</v>
      </c>
      <c r="G129">
        <f>+'@MIN'!G129+ATL!G129+'@LAR'!G129+NOS!G129+'@ATL'!G129+CHI!G129+'@DET'!G129+'@RAMS'!G129+PHI!G129+'@DEN'!G129+KCC!G129+SEA!G129+'@WAS'!G129+RAMS!G129+'@NOS'!G129+DAL!G129</f>
        <v>0</v>
      </c>
      <c r="H129">
        <f>'@MIN'!H129+ATL!H129+'@LAR'!H129+NOS!H129+'@ATL'!H129+CHI!H129+'@DET'!H129+'@RAMS'!H129+PHI!H129+'@DEN'!H129+KCC!H129+SEA!H129+'@WAS'!H129+RAMS!H129+'@NOS'!H129+DAL!H129</f>
        <v>0</v>
      </c>
    </row>
    <row r="130" spans="1:8" ht="12.75">
      <c r="A130" t="s">
        <v>123</v>
      </c>
      <c r="C130">
        <f>+'@MIN'!C130+ATL!C130+'@LAR'!C130+NOS!C130+'@ATL'!C130+CHI!C130+'@DET'!C130+'@RAMS'!C130+PHI!C130+'@DEN'!C130+KCC!C130+SEA!C130+'@WAS'!C130+RAMS!C130+'@NOS'!C130+DAL!C130</f>
        <v>3</v>
      </c>
      <c r="D130">
        <f>+'@MIN'!D130+ATL!D130+'@LAR'!D130+NOS!D130+'@ATL'!D130+CHI!D130+'@DET'!D130+'@RAMS'!D130+PHI!D130+'@DEN'!D130+KCC!D130+SEA!D130+'@WAS'!D130+RAMS!D130+'@NOS'!D130+DAL!D130</f>
        <v>8</v>
      </c>
      <c r="E130" s="12">
        <f t="shared" si="5"/>
        <v>2.6666666666666665</v>
      </c>
      <c r="F130">
        <f>MAX('@MIN'!F130,ATL!F130,'@LAR'!F130,NOS!F130,'@ATL'!F130,CHI!F130,'@DET'!F130,PHI!F130,'@DEN'!F130,KCC!F130,SEA!F130,'@WAS'!F130,RAMS!F130,'@NOS'!F130,DAL!F130,+'@RAMS'!F130)</f>
        <v>4</v>
      </c>
      <c r="G130">
        <f>+'@MIN'!G130+ATL!G130+'@LAR'!G130+NOS!G130+'@ATL'!G130+CHI!G130+'@DET'!G130+'@RAMS'!G130+PHI!G130+'@DEN'!G130+KCC!G130+SEA!G130+'@WAS'!G130+RAMS!G130+'@NOS'!G130+DAL!G130</f>
        <v>0</v>
      </c>
      <c r="H130">
        <f>'@MIN'!H130+ATL!H130+'@LAR'!H130+NOS!H130+'@ATL'!H130+CHI!H130+'@DET'!H130+'@RAMS'!H130+PHI!H130+'@DEN'!H130+KCC!H130+SEA!H130+'@WAS'!H130+RAMS!H130+'@NOS'!H130+DAL!H130</f>
        <v>0</v>
      </c>
    </row>
    <row r="131" spans="1:8" ht="12.75">
      <c r="A131" t="s">
        <v>132</v>
      </c>
      <c r="C131">
        <f>+'@MIN'!C131+ATL!C131+'@LAR'!C131+NOS!C131+'@ATL'!C131+CHI!C131+'@DET'!C131+'@RAMS'!C131+PHI!C131+'@DEN'!C131+KCC!C131+SEA!C131+'@WAS'!C131+RAMS!C131+'@NOS'!C131+DAL!C131</f>
        <v>1</v>
      </c>
      <c r="D131">
        <f>+'@MIN'!D131+ATL!D131+'@LAR'!D131+NOS!D131+'@ATL'!D131+CHI!D131+'@DET'!D131+'@RAMS'!D131+PHI!D131+'@DEN'!D131+KCC!D131+SEA!D131+'@WAS'!D131+RAMS!D131+'@NOS'!D131+DAL!D131</f>
        <v>-2</v>
      </c>
      <c r="E131" s="12">
        <f t="shared" si="5"/>
        <v>-2</v>
      </c>
      <c r="F131">
        <f>MAX('@MIN'!F131,ATL!F131,'@LAR'!F131,NOS!F131,'@ATL'!F131,CHI!F131,'@DET'!F131,PHI!F131,'@DEN'!F131,KCC!F131,SEA!F131,'@WAS'!F131,RAMS!F131,'@NOS'!F131,DAL!F131,+'@RAMS'!F131)</f>
        <v>0</v>
      </c>
      <c r="G131">
        <f>+'@MIN'!G131+ATL!G131+'@LAR'!G131+NOS!G131+'@ATL'!G131+CHI!G131+'@DET'!G131+'@RAMS'!G131+PHI!G131+'@DEN'!G131+KCC!G131+SEA!G131+'@WAS'!G131+RAMS!G131+'@NOS'!G131+DAL!G131</f>
        <v>0</v>
      </c>
      <c r="H131">
        <f>'@MIN'!H131+ATL!H131+'@LAR'!H131+NOS!H131+'@ATL'!H131+CHI!H131+'@DET'!H131+'@RAMS'!H131+PHI!H131+'@DEN'!H131+KCC!H131+SEA!H131+'@WAS'!H131+RAMS!H131+'@NOS'!H131+DAL!H131</f>
        <v>0</v>
      </c>
    </row>
    <row r="132" spans="1:8" ht="12.75">
      <c r="A132" t="s">
        <v>133</v>
      </c>
      <c r="C132">
        <f>+'@MIN'!C132+ATL!C132+'@LAR'!C132+NOS!C132+'@ATL'!C132+CHI!C132+'@DET'!C132+'@RAMS'!C132+PHI!C132+'@DEN'!C132+KCC!C132+SEA!C132+'@WAS'!C132+RAMS!C132+'@NOS'!C132+DAL!C132</f>
        <v>1</v>
      </c>
      <c r="D132">
        <f>+'@MIN'!D132+ATL!D132+'@LAR'!D132+NOS!D132+'@ATL'!D132+CHI!D132+'@DET'!D132+'@RAMS'!D132+PHI!D132+'@DEN'!D132+KCC!D132+SEA!D132+'@WAS'!D132+RAMS!D132+'@NOS'!D132+DAL!D132</f>
        <v>18</v>
      </c>
      <c r="E132" s="12">
        <f t="shared" si="5"/>
        <v>18</v>
      </c>
      <c r="F132">
        <f>MAX('@MIN'!F132,ATL!F132,'@LAR'!F132,NOS!F132,'@ATL'!F132,CHI!F132,'@DET'!F132,PHI!F132,'@DEN'!F132,KCC!F132,SEA!F132,'@WAS'!F132,RAMS!F132,'@NOS'!F132,DAL!F132,+'@RAMS'!F132)</f>
        <v>18</v>
      </c>
      <c r="G132">
        <f>+'@MIN'!G132+ATL!G132+'@LAR'!G132+NOS!G132+'@ATL'!G132+CHI!G132+'@DET'!G132+'@RAMS'!G132+PHI!G132+'@DEN'!G132+KCC!G132+SEA!G132+'@WAS'!G132+RAMS!G132+'@NOS'!G132+DAL!G132</f>
        <v>0</v>
      </c>
      <c r="H132">
        <f>'@MIN'!H132+ATL!H132+'@LAR'!H132+NOS!H132+'@ATL'!H132+CHI!H132+'@DET'!H132+'@RAMS'!H132+PHI!H132+'@DEN'!H132+KCC!H132+SEA!H132+'@WAS'!H132+RAMS!H132+'@NOS'!H132+DAL!H132</f>
        <v>1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f>'@MIN'!C135+ATL!C135+'@LAR'!C135+NOS!C135+'@ATL'!C135+CHI!C135+'@DET'!C135+'@RAMS'!C135+PHI!C135+'@DEN'!C135+KCC!C135+SEA!C135+'@WAS'!C135+RAMS!C135+'@NOS'!C135+DAL!C135</f>
        <v>18.5</v>
      </c>
    </row>
    <row r="136" spans="1:3" ht="12.75">
      <c r="A136" t="s">
        <v>135</v>
      </c>
      <c r="C136">
        <f>'@MIN'!C136+ATL!C136+'@LAR'!C136+NOS!C136+'@ATL'!C136+CHI!C136+'@DET'!C136+'@RAMS'!C136+PHI!C136+'@DEN'!C136+KCC!C136+SEA!C136+'@WAS'!C136+RAMS!C136+'@NOS'!C136+DAL!C136</f>
        <v>9.5</v>
      </c>
    </row>
    <row r="137" spans="1:3" ht="12.75">
      <c r="A137" t="s">
        <v>136</v>
      </c>
      <c r="C137">
        <f>'@MIN'!C137+ATL!C137+'@LAR'!C137+NOS!C137+'@ATL'!C137+CHI!C137+'@DET'!C137+'@RAMS'!C137+PHI!C137+'@DEN'!C137+KCC!C137+SEA!C137+'@WAS'!C137+RAMS!C137+'@NOS'!C137+DAL!C137</f>
        <v>7.5</v>
      </c>
    </row>
    <row r="138" spans="1:3" ht="12.75">
      <c r="A138" t="s">
        <v>137</v>
      </c>
      <c r="C138">
        <f>'@MIN'!C138+ATL!C138+'@LAR'!C138+NOS!C138+'@ATL'!C138+CHI!C138+'@DET'!C138+'@RAMS'!C138+PHI!C138+'@DEN'!C138+KCC!C138+SEA!C138+'@WAS'!C138+RAMS!C138+'@NOS'!C138+DAL!C138</f>
        <v>11</v>
      </c>
    </row>
    <row r="139" spans="1:3" ht="12.75">
      <c r="A139" t="s">
        <v>130</v>
      </c>
      <c r="C139">
        <f>'@MIN'!C139+ATL!C139+'@LAR'!C139+NOS!C139+'@ATL'!C139+CHI!C139+'@DET'!C139+'@RAMS'!C139+PHI!C139+'@DEN'!C139+KCC!C139+SEA!C139+'@WAS'!C139+RAMS!C139+'@NOS'!C139+DAL!C139</f>
        <v>3</v>
      </c>
    </row>
    <row r="140" spans="1:3" ht="12.75">
      <c r="A140" t="s">
        <v>107</v>
      </c>
      <c r="C140">
        <f>'@MIN'!C140+ATL!C140+'@LAR'!C140+NOS!C140+'@ATL'!C140+CHI!C140+'@DET'!C140+'@RAMS'!C140+PHI!C140+'@DEN'!C140+KCC!C140+SEA!C140+'@WAS'!C140+RAMS!C140+'@NOS'!C140+DAL!C140</f>
        <v>8</v>
      </c>
    </row>
    <row r="141" spans="1:3" ht="12.75">
      <c r="A141" t="s">
        <v>138</v>
      </c>
      <c r="C141">
        <f>'@MIN'!C141+ATL!C141+'@LAR'!C141+NOS!C141+'@ATL'!C141+CHI!C141+'@DET'!C141+'@RAMS'!C141+PHI!C141+'@DEN'!C141+KCC!C141+SEA!C141+'@WAS'!C141+RAMS!C141+'@NOS'!C141+DAL!C141</f>
        <v>5.5</v>
      </c>
    </row>
    <row r="142" spans="1:3" ht="12.75">
      <c r="A142" t="s">
        <v>132</v>
      </c>
      <c r="C142">
        <f>'@MIN'!C142+ATL!C142+'@LAR'!C142+NOS!C142+'@ATL'!C142+CHI!C142+'@DET'!C142+'@RAMS'!C142+PHI!C142+'@DEN'!C142+KCC!C142+SEA!C142+'@WAS'!C142+RAMS!C142+'@NOS'!C142+DAL!C142</f>
        <v>1.5</v>
      </c>
    </row>
    <row r="143" spans="1:3" ht="12.75">
      <c r="A143" t="s">
        <v>139</v>
      </c>
      <c r="C143">
        <f>'@MIN'!C143+ATL!C143+'@LAR'!C143+NOS!C143+'@ATL'!C143+CHI!C143+'@DET'!C143+'@RAMS'!C143+PHI!C143+'@DEN'!C143+KCC!C143+SEA!C143+'@WAS'!C143+RAMS!C143+'@NOS'!C143+DAL!C143</f>
        <v>6.5</v>
      </c>
    </row>
    <row r="144" spans="1:3" ht="12.75">
      <c r="A144" t="s">
        <v>131</v>
      </c>
      <c r="C144">
        <f>'@MIN'!C144+ATL!C144+'@LAR'!C144+NOS!C144+'@ATL'!C144+CHI!C144+'@DET'!C144+'@RAMS'!C144+PHI!C144+'@DEN'!C144+KCC!C144+SEA!C144+'@WAS'!C144+RAMS!C144+'@NOS'!C144+DAL!C144</f>
        <v>2.5</v>
      </c>
    </row>
    <row r="145" spans="1:3" ht="12.75">
      <c r="A145" t="s">
        <v>140</v>
      </c>
      <c r="C145">
        <f>'@MIN'!C145+ATL!C145+'@LAR'!C145+NOS!C145+'@ATL'!C145+CHI!C145+'@DET'!C145+'@RAMS'!C145+PHI!C145+'@DEN'!C145+KCC!C145+SEA!C145+'@WAS'!C145+RAMS!C145+'@NOS'!C145+DAL!C145</f>
        <v>1</v>
      </c>
    </row>
    <row r="146" spans="1:3" ht="12.75">
      <c r="A146" t="s">
        <v>124</v>
      </c>
      <c r="C146">
        <f>'@MIN'!C146+ATL!C146+'@LAR'!C146+NOS!C146+'@ATL'!C146+CHI!C146+'@DET'!C146+'@RAMS'!C146+PHI!C146+'@DEN'!C146+KCC!C146+SEA!C146+'@WAS'!C146+RAMS!C146+'@NOS'!C146+DAL!C146</f>
        <v>0.5</v>
      </c>
    </row>
    <row r="147" spans="1:3" ht="12.75">
      <c r="A147" t="s">
        <v>127</v>
      </c>
      <c r="C147">
        <f>'@MIN'!C147+ATL!C147+'@LAR'!C147+NOS!C147+'@ATL'!C147+CHI!C147+'@DET'!C147+'@RAMS'!C147+PHI!C147+'@DEN'!C147+KCC!C147+SEA!C147+'@WAS'!C147+RAMS!C147+'@NOS'!C147+DAL!C147</f>
        <v>2.5</v>
      </c>
    </row>
    <row r="148" spans="1:3" ht="12.75">
      <c r="A148" t="s">
        <v>141</v>
      </c>
      <c r="C148">
        <f>'@MIN'!C148+ATL!C148+'@LAR'!C148+NOS!C148+'@ATL'!C148+CHI!C148+'@DET'!C148+'@RAMS'!C148+PHI!C148+'@DEN'!C148+KCC!C148+SEA!C148+'@WAS'!C148+RAMS!C148+'@NOS'!C148+DAL!C148</f>
        <v>0</v>
      </c>
    </row>
    <row r="149" spans="1:3" ht="12.75">
      <c r="A149" t="s">
        <v>142</v>
      </c>
      <c r="C149">
        <f>'@MIN'!C149+ATL!C149+'@LAR'!C149+NOS!C149+'@ATL'!C149+CHI!C149+'@DET'!C149+'@RAMS'!C149+PHI!C149+'@DEN'!C149+KCC!C149+SEA!C149+'@WAS'!C149+RAMS!C149+'@NOS'!C149+DAL!C149</f>
        <v>1.5</v>
      </c>
    </row>
    <row r="151" spans="4:15" ht="12.75">
      <c r="D151" s="2" t="s">
        <v>84</v>
      </c>
      <c r="E151" s="2" t="s">
        <v>85</v>
      </c>
      <c r="N151" s="2" t="s">
        <v>84</v>
      </c>
      <c r="O151" s="2" t="s">
        <v>85</v>
      </c>
    </row>
    <row r="152" spans="1:15" ht="12.75">
      <c r="A152" t="s">
        <v>93</v>
      </c>
      <c r="C152">
        <f>'@MIN'!D152+ATL!D152+'@LAR'!D152+NOS!D152+'@ATL'!D152+CHI!D152+'@DET'!D152+'@RAMS'!D152+PHI!D152+'@DEN'!D152+KCC!D152+SEA!D152+'@WAS'!D152+RAMS!D152+'@NOS'!D152+DAL!D152</f>
        <v>213</v>
      </c>
      <c r="D152">
        <f>+C152/$B$2</f>
        <v>13.3125</v>
      </c>
      <c r="E152" s="21">
        <f>214/16</f>
        <v>13.375</v>
      </c>
      <c r="H152" t="s">
        <v>93</v>
      </c>
      <c r="M152">
        <f>'@MIN'!M152+ATL!M152+'@LAR'!M152+NOS!M152+'@ATL'!M152+CHI!M152+'@DET'!M152+'@RAMS'!M152+PHI!M152+'@DEN'!M152+KCC!M152+SEA!M152+'@WAS'!M152+RAMS!M152+'@NOS'!M152+DAL!M152</f>
        <v>263</v>
      </c>
      <c r="N152">
        <f>+M152/$B$2</f>
        <v>16.4375</v>
      </c>
      <c r="O152" s="22">
        <f>245/16</f>
        <v>15.3125</v>
      </c>
    </row>
    <row r="153" spans="1:15" ht="12.75">
      <c r="A153" t="s">
        <v>94</v>
      </c>
      <c r="C153">
        <f>'@MIN'!D153+ATL!D153+'@LAR'!D153+NOS!D153+'@ATL'!D153+CHI!D153+'@DET'!D153+'@RAMS'!D153+PHI!D153+'@DEN'!D153+KCC!D153+SEA!D153+'@WAS'!D153+RAMS!D153+'@NOS'!D153+DAL!D153</f>
        <v>71</v>
      </c>
      <c r="D153">
        <f>+C153/$B$2</f>
        <v>4.4375</v>
      </c>
      <c r="E153" s="21">
        <f>83/16</f>
        <v>5.1875</v>
      </c>
      <c r="H153" t="s">
        <v>94</v>
      </c>
      <c r="M153">
        <f>'@MIN'!M153+ATL!M153+'@LAR'!M153+NOS!M153+'@ATL'!M153+CHI!M153+'@DET'!M153+'@RAMS'!M153+PHI!M153+'@DEN'!M153+KCC!M153+SEA!M153+'@WAS'!M153+RAMS!M153+'@NOS'!M153+DAL!M153</f>
        <v>79</v>
      </c>
      <c r="N153">
        <f>+M153/$B$2</f>
        <v>4.9375</v>
      </c>
      <c r="O153" s="22">
        <f>80/16</f>
        <v>5</v>
      </c>
    </row>
    <row r="154" spans="1:15" ht="12.75">
      <c r="A154" t="s">
        <v>95</v>
      </c>
      <c r="C154">
        <f>C153/C152*100</f>
        <v>33.33333333333333</v>
      </c>
      <c r="D154">
        <f>C153/C152*100</f>
        <v>33.33333333333333</v>
      </c>
      <c r="E154" s="21">
        <f>E153/E152*100</f>
        <v>38.78504672897196</v>
      </c>
      <c r="H154" t="s">
        <v>95</v>
      </c>
      <c r="M154" s="8">
        <f>M153/M152*100</f>
        <v>30.038022813688215</v>
      </c>
      <c r="N154">
        <f>M153/M152*100</f>
        <v>30.038022813688215</v>
      </c>
      <c r="O154" s="21">
        <f>O153/O152*100</f>
        <v>32.6530612244898</v>
      </c>
    </row>
    <row r="156" spans="1:5" ht="12.75">
      <c r="A156" t="s">
        <v>98</v>
      </c>
      <c r="C156">
        <f>'@MIN'!M34+'@MIN'!M57+ATL!M34+ATL!M57+'@LAR'!M34+'@LAR'!M57+NOS!M34+NOS!M57+'@ATL'!M34+'@ATL'!M57+CHI!M57+CHI!M34+'@DET'!M34+'@DET'!M57+'@RAMS'!M34+'@RAMS'!M57+PHI!M34+PHI!M57+'@DEN'!M34+'@DEN'!M57+KCC!M34+KCC!M57+SEA!M34+SEA!M57+'@WAS'!M34+'@WAS'!M57+RAMS!M34+RAMS!M57+'@NOS'!M34+'@NOS'!M57+DAL!M34+DAL!M57</f>
        <v>28</v>
      </c>
      <c r="D156">
        <f>C156/$B$2</f>
        <v>1.75</v>
      </c>
      <c r="E156">
        <v>31</v>
      </c>
    </row>
    <row r="157" spans="1:5" ht="12.75">
      <c r="A157" t="s">
        <v>99</v>
      </c>
      <c r="C157" t="e">
        <f>'@MIN'!D34+'@MIN'!#REF!+ATL!D34+ATL!#REF!+'@LAR'!D34+'@LAR'!#REF!+NOS!D34+NOS!#REF!+'@ATL'!D34+'@ATL'!#REF!+CHI!D34+CHI!#REF!+'@DET'!D34+'@DET'!#REF!+'@RAMS'!D34+'@RAMS'!#REF!+PHI!D34+PHI!#REF!+'@DEN'!D34+'@DEN'!#REF!+KCC!D34+KCC!#REF!+SEA!D34+SEA!#REF!+'@WAS'!D34+'@WAS'!#REF!+RAMS!D34+RAMS!#REF!+'@NOS'!D34+'@NOS'!#REF!+DAL!D34+DAL!#REF!</f>
        <v>#REF!</v>
      </c>
      <c r="D157" t="e">
        <f>C157/$B$2</f>
        <v>#REF!</v>
      </c>
      <c r="E157">
        <v>34</v>
      </c>
    </row>
    <row r="158" spans="1:5" ht="12.75">
      <c r="A158" t="s">
        <v>100</v>
      </c>
      <c r="C158" t="e">
        <f>C156-C157</f>
        <v>#REF!</v>
      </c>
      <c r="D158" t="e">
        <f>D156-D157</f>
        <v>#REF!</v>
      </c>
      <c r="E158">
        <f>E156-E157</f>
        <v>-3</v>
      </c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ht="12.75">
      <c r="B162" s="2"/>
    </row>
    <row r="163" spans="1:7" ht="12.75">
      <c r="A163" s="2"/>
      <c r="B163" s="3"/>
      <c r="C163" s="3"/>
      <c r="D163" s="3"/>
      <c r="E163" s="2"/>
      <c r="F163" s="3"/>
      <c r="G163" s="3"/>
    </row>
    <row r="164" spans="4:7" ht="12.75">
      <c r="D164" s="2"/>
      <c r="F164" s="12"/>
      <c r="G164" s="8"/>
    </row>
    <row r="165" spans="4:7" ht="12.75">
      <c r="D165" s="2"/>
      <c r="F165" s="12"/>
      <c r="G165" s="8"/>
    </row>
    <row r="166" spans="4:7" ht="12.75">
      <c r="D166" s="2"/>
      <c r="F166" s="12"/>
      <c r="G166" s="8"/>
    </row>
    <row r="167" spans="4:7" ht="12.75">
      <c r="D167" s="2"/>
      <c r="F167" s="12"/>
      <c r="G167" s="8"/>
    </row>
    <row r="168" spans="4:6" ht="12.75">
      <c r="D168" s="2"/>
      <c r="F168" s="12"/>
    </row>
    <row r="169" spans="1:7" ht="12.75">
      <c r="A169" s="2"/>
      <c r="B169" s="2"/>
      <c r="C169" s="2"/>
      <c r="D169" s="2"/>
      <c r="E169" s="2"/>
      <c r="F169" s="2"/>
      <c r="G169" s="2"/>
    </row>
    <row r="170" spans="3:6" ht="12.75">
      <c r="C170" s="2"/>
      <c r="E170" s="2"/>
      <c r="F170" s="8"/>
    </row>
    <row r="171" spans="3:6" ht="12.75">
      <c r="C171" s="2"/>
      <c r="E171" s="2"/>
      <c r="F171" s="8"/>
    </row>
    <row r="172" spans="3:6" ht="12.75">
      <c r="C172" s="2"/>
      <c r="E172" s="2"/>
      <c r="F172" s="8"/>
    </row>
    <row r="173" spans="3:6" ht="12.75">
      <c r="C173" s="2"/>
      <c r="E173" s="2"/>
      <c r="F173" s="8"/>
    </row>
    <row r="174" spans="3:6" ht="12.75">
      <c r="C174" s="2"/>
      <c r="E174" s="2"/>
      <c r="F174" s="8"/>
    </row>
    <row r="175" spans="3:6" ht="12.75">
      <c r="C175" s="2"/>
      <c r="E175" s="2"/>
      <c r="F175" s="8"/>
    </row>
    <row r="176" spans="3:6" ht="12.75">
      <c r="C176" s="2"/>
      <c r="E176" s="2"/>
      <c r="F176" s="8"/>
    </row>
    <row r="177" spans="3:6" ht="12.75">
      <c r="C177" s="2"/>
      <c r="E177" s="2"/>
      <c r="F177" s="8"/>
    </row>
    <row r="178" spans="3:6" ht="12.75">
      <c r="C178" s="2"/>
      <c r="E178" s="2"/>
      <c r="F178" s="8"/>
    </row>
    <row r="179" spans="3:5" ht="12.75">
      <c r="C179" s="2"/>
      <c r="E179" s="2"/>
    </row>
    <row r="184" spans="1:6" ht="12.75">
      <c r="A184" s="2"/>
      <c r="D184" s="2"/>
      <c r="F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5:13" ht="12.75">
      <c r="E186" s="12"/>
      <c r="G186" s="2"/>
      <c r="I186" s="2"/>
      <c r="K186" s="2"/>
      <c r="M186" s="12"/>
    </row>
    <row r="187" spans="5:13" ht="12.75">
      <c r="E187" s="12"/>
      <c r="G187" s="2"/>
      <c r="I187" s="2"/>
      <c r="K187" s="2"/>
      <c r="M187" s="12"/>
    </row>
    <row r="190" spans="1:11" ht="12.7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3:5" ht="12.75">
      <c r="C191" s="2"/>
      <c r="E191" s="12"/>
    </row>
    <row r="192" spans="3:5" ht="12.75">
      <c r="C192" s="2"/>
      <c r="E192" s="12"/>
    </row>
    <row r="193" spans="3:5" ht="12.75">
      <c r="C193" s="2"/>
      <c r="E193" s="12"/>
    </row>
    <row r="194" spans="3:5" ht="12.75">
      <c r="C194" s="2"/>
      <c r="E194" s="12"/>
    </row>
    <row r="195" spans="3:5" ht="12.75">
      <c r="C195" s="2"/>
      <c r="E195" s="12"/>
    </row>
    <row r="196" spans="3:5" ht="12.75">
      <c r="C196" s="2"/>
      <c r="E196" s="1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spans="1:11" ht="12.75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3:4" ht="12.75">
      <c r="C203" s="2"/>
      <c r="D203" s="12"/>
    </row>
    <row r="204" spans="3:4" ht="12.75">
      <c r="C204" s="2"/>
      <c r="D204" s="12"/>
    </row>
    <row r="205" spans="3:4" ht="12.75">
      <c r="C205" s="2"/>
      <c r="D205" s="12"/>
    </row>
    <row r="206" spans="3:4" ht="12.75">
      <c r="C206" s="2"/>
      <c r="D206" s="12"/>
    </row>
    <row r="207" spans="3:4" ht="12.75">
      <c r="C207" s="2"/>
      <c r="D207" s="12"/>
    </row>
    <row r="208" spans="3:4" ht="12.75">
      <c r="C208" s="2"/>
      <c r="D208" s="12"/>
    </row>
    <row r="209" ht="12.75">
      <c r="C209" s="2"/>
    </row>
    <row r="210" ht="12.75">
      <c r="C210" s="2"/>
    </row>
    <row r="211" ht="12.75">
      <c r="C211" s="2"/>
    </row>
    <row r="212" spans="2:9" ht="12.75">
      <c r="B212" s="3"/>
      <c r="C212" s="2"/>
      <c r="D212" s="3"/>
      <c r="E212" s="3"/>
      <c r="F212" s="3"/>
      <c r="G212" s="3"/>
      <c r="H212" s="3"/>
      <c r="I212" s="3"/>
    </row>
    <row r="213" spans="3:4" ht="12.75">
      <c r="C213" s="2"/>
      <c r="D213" s="12"/>
    </row>
    <row r="214" ht="12.75">
      <c r="C214" s="2"/>
    </row>
    <row r="215" spans="3:8" ht="12.75">
      <c r="C215" s="2"/>
      <c r="H215" s="5"/>
    </row>
    <row r="216" spans="2:9" ht="12.75">
      <c r="B216" s="3"/>
      <c r="C216" s="3"/>
      <c r="D216" s="3"/>
      <c r="E216" s="3"/>
      <c r="F216" s="3"/>
      <c r="G216" s="3"/>
      <c r="H216" s="3"/>
      <c r="I216" s="3"/>
    </row>
    <row r="217" ht="12.75">
      <c r="H21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54"/>
  <sheetViews>
    <sheetView zoomScalePageLayoutView="0" workbookViewId="0" topLeftCell="A27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9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5</v>
      </c>
      <c r="H7" s="1" t="s">
        <v>103</v>
      </c>
      <c r="M7" s="2">
        <v>8</v>
      </c>
    </row>
    <row r="8" spans="1:13" ht="12.75">
      <c r="A8" s="1" t="s">
        <v>105</v>
      </c>
      <c r="D8" s="2">
        <v>2</v>
      </c>
      <c r="H8" s="1" t="s">
        <v>105</v>
      </c>
      <c r="M8" s="2">
        <v>12</v>
      </c>
    </row>
    <row r="9" spans="1:13" ht="12.75">
      <c r="A9" s="1" t="s">
        <v>104</v>
      </c>
      <c r="D9" s="2">
        <v>2</v>
      </c>
      <c r="H9" s="1" t="s">
        <v>104</v>
      </c>
      <c r="M9" s="2">
        <v>2</v>
      </c>
    </row>
    <row r="11" spans="1:23" ht="12.75">
      <c r="A11" t="s">
        <v>1</v>
      </c>
      <c r="D11" s="2">
        <v>19</v>
      </c>
      <c r="H11" t="s">
        <v>1</v>
      </c>
      <c r="M11" s="2">
        <v>30</v>
      </c>
      <c r="V11">
        <f>+D11</f>
        <v>19</v>
      </c>
      <c r="W11">
        <f>+M11</f>
        <v>30</v>
      </c>
    </row>
    <row r="12" spans="1:23" ht="12.75">
      <c r="A12" t="s">
        <v>2</v>
      </c>
      <c r="D12" s="2">
        <v>125</v>
      </c>
      <c r="H12" t="s">
        <v>2</v>
      </c>
      <c r="M12" s="2">
        <v>96</v>
      </c>
      <c r="U12" s="13"/>
      <c r="V12">
        <f>+D16</f>
        <v>10</v>
      </c>
      <c r="W12">
        <f>+M16</f>
        <v>19</v>
      </c>
    </row>
    <row r="13" spans="1:23" ht="12.75">
      <c r="A13" s="1" t="s">
        <v>3</v>
      </c>
      <c r="D13" s="8">
        <f>+D12/D11</f>
        <v>6.578947368421052</v>
      </c>
      <c r="H13" s="1" t="s">
        <v>3</v>
      </c>
      <c r="M13" s="8">
        <f>+M12/M11</f>
        <v>3.2</v>
      </c>
      <c r="V13">
        <f>+(D15-D16)/2</f>
        <v>7.5</v>
      </c>
      <c r="W13">
        <f>+(M15-M16)/2</f>
        <v>12.5</v>
      </c>
    </row>
    <row r="14" spans="22:23" ht="12.75">
      <c r="V14">
        <f>+D38/2</f>
        <v>4.5</v>
      </c>
      <c r="W14">
        <f>+M38/2</f>
        <v>3</v>
      </c>
    </row>
    <row r="15" spans="1:23" ht="12.75">
      <c r="A15" t="s">
        <v>4</v>
      </c>
      <c r="D15" s="2">
        <v>25</v>
      </c>
      <c r="H15" t="s">
        <v>4</v>
      </c>
      <c r="M15" s="2">
        <v>44</v>
      </c>
      <c r="V15">
        <f>+D42/2</f>
        <v>1.5</v>
      </c>
      <c r="W15">
        <f>+M42/2</f>
        <v>2</v>
      </c>
    </row>
    <row r="16" spans="1:23" ht="12.75">
      <c r="A16" t="s">
        <v>5</v>
      </c>
      <c r="D16" s="2">
        <v>10</v>
      </c>
      <c r="H16" t="s">
        <v>5</v>
      </c>
      <c r="M16" s="2">
        <v>19</v>
      </c>
      <c r="V16">
        <f>+D48/2</f>
        <v>2</v>
      </c>
      <c r="W16">
        <f>+M48/2</f>
        <v>1</v>
      </c>
    </row>
    <row r="17" spans="1:13" ht="12.75">
      <c r="A17" t="s">
        <v>6</v>
      </c>
      <c r="D17" s="8">
        <f>+D16/D15*100</f>
        <v>40</v>
      </c>
      <c r="H17" t="s">
        <v>6</v>
      </c>
      <c r="M17" s="8">
        <f>+M16/M15*100</f>
        <v>43.18181818181818</v>
      </c>
    </row>
    <row r="18" spans="1:24" ht="12.75">
      <c r="A18" t="s">
        <v>7</v>
      </c>
      <c r="D18" s="2">
        <v>103</v>
      </c>
      <c r="H18" t="s">
        <v>7</v>
      </c>
      <c r="M18" s="2">
        <v>243</v>
      </c>
      <c r="V18">
        <f>SUM(V11:V16)</f>
        <v>44.5</v>
      </c>
      <c r="W18">
        <f>SUM(W11:W16)</f>
        <v>67.5</v>
      </c>
      <c r="X18">
        <f>+W18+V18</f>
        <v>112</v>
      </c>
    </row>
    <row r="19" spans="1:23" ht="12.75">
      <c r="A19" t="s">
        <v>8</v>
      </c>
      <c r="D19" s="2">
        <v>9</v>
      </c>
      <c r="H19" t="s">
        <v>8</v>
      </c>
      <c r="M19" s="2">
        <v>8</v>
      </c>
      <c r="V19">
        <f>+V18/X18</f>
        <v>0.39732142857142855</v>
      </c>
      <c r="W19">
        <f>+W18/X18</f>
        <v>0.6026785714285714</v>
      </c>
    </row>
    <row r="20" spans="1:23" ht="12.75">
      <c r="A20" t="s">
        <v>9</v>
      </c>
      <c r="D20" s="2">
        <v>74</v>
      </c>
      <c r="H20" t="s">
        <v>9</v>
      </c>
      <c r="M20" s="2">
        <v>90</v>
      </c>
      <c r="V20">
        <f>+V19*60</f>
        <v>23.83928571428571</v>
      </c>
      <c r="W20">
        <f>+W19*60</f>
        <v>36.160714285714285</v>
      </c>
    </row>
    <row r="21" spans="1:23" ht="12.75">
      <c r="A21" t="s">
        <v>10</v>
      </c>
      <c r="D21">
        <f>+D18-D20</f>
        <v>29</v>
      </c>
      <c r="H21" t="s">
        <v>10</v>
      </c>
      <c r="M21">
        <f>+M18-M20</f>
        <v>153</v>
      </c>
      <c r="V21">
        <f>+V20-INT(V20)</f>
        <v>0.8392857142857117</v>
      </c>
      <c r="W21">
        <f>+W20-INT(W20)</f>
        <v>0.1607142857142847</v>
      </c>
    </row>
    <row r="22" spans="1:23" ht="12.75">
      <c r="A22" t="s">
        <v>11</v>
      </c>
      <c r="D22" s="7">
        <f>+D21/(D15+D19)</f>
        <v>0.8529411764705882</v>
      </c>
      <c r="H22" t="s">
        <v>11</v>
      </c>
      <c r="M22" s="7">
        <f>+M21/(M15+M19)</f>
        <v>2.9423076923076925</v>
      </c>
      <c r="V22">
        <f>+V21*60</f>
        <v>50.357142857142705</v>
      </c>
      <c r="W22">
        <f>+W21*60</f>
        <v>9.642857142857082</v>
      </c>
    </row>
    <row r="23" spans="1:23" ht="12.75">
      <c r="A23" t="s">
        <v>12</v>
      </c>
      <c r="D23" s="7">
        <f>+D18/D16</f>
        <v>10.3</v>
      </c>
      <c r="H23" t="s">
        <v>12</v>
      </c>
      <c r="M23" s="7">
        <f>+M18/M16</f>
        <v>12.789473684210526</v>
      </c>
      <c r="U23">
        <v>0</v>
      </c>
      <c r="V23" s="11">
        <f>ROUND(V22,0)</f>
        <v>50</v>
      </c>
      <c r="W23">
        <f>ROUND(W22,0)</f>
        <v>10</v>
      </c>
    </row>
    <row r="24" spans="22:23" ht="12.75">
      <c r="V24">
        <f>INT(V20)</f>
        <v>23</v>
      </c>
      <c r="W24">
        <f>INT(W20)</f>
        <v>36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154</v>
      </c>
      <c r="H26" t="s">
        <v>14</v>
      </c>
      <c r="M26">
        <f>+M21+M12</f>
        <v>249</v>
      </c>
      <c r="V26" s="14" t="str">
        <f>+V24&amp;V25&amp;V23</f>
        <v>23:50</v>
      </c>
      <c r="W26" s="9" t="str">
        <f>+W24&amp;W25&amp;W23</f>
        <v>36:10</v>
      </c>
    </row>
    <row r="27" spans="1:23" ht="12.75">
      <c r="A27" t="s">
        <v>15</v>
      </c>
      <c r="D27" s="7">
        <f>+D12/D26*100</f>
        <v>81.16883116883116</v>
      </c>
      <c r="H27" t="s">
        <v>15</v>
      </c>
      <c r="M27" s="7">
        <f>+M12/M26*100</f>
        <v>38.55421686746988</v>
      </c>
      <c r="V27" s="9" t="str">
        <f>IF(V23&lt;10,+V24&amp;V25&amp;$U$23&amp;V23,+V24&amp;V25&amp;V23)</f>
        <v>23:50</v>
      </c>
      <c r="W27" s="9" t="str">
        <f>IF(W23&lt;10,+W24&amp;W25&amp;$U$23&amp;W23,+W24&amp;W25&amp;W23)</f>
        <v>36:10</v>
      </c>
    </row>
    <row r="28" spans="1:13" ht="12.75">
      <c r="A28" s="1" t="s">
        <v>86</v>
      </c>
      <c r="D28" s="7">
        <f>+D21/D26*100</f>
        <v>18.83116883116883</v>
      </c>
      <c r="H28" s="1" t="s">
        <v>86</v>
      </c>
      <c r="M28" s="7">
        <f>+M21/M26*100</f>
        <v>61.44578313253012</v>
      </c>
    </row>
    <row r="30" spans="1:13" ht="12.75">
      <c r="A30" t="s">
        <v>16</v>
      </c>
      <c r="D30">
        <f>+D11+D15+D19</f>
        <v>53</v>
      </c>
      <c r="H30" t="s">
        <v>16</v>
      </c>
      <c r="M30">
        <f>+M11+M15+M19</f>
        <v>82</v>
      </c>
    </row>
    <row r="31" spans="1:13" ht="12.75">
      <c r="A31" t="s">
        <v>17</v>
      </c>
      <c r="D31" s="8">
        <f>+D26/D30</f>
        <v>2.9056603773584904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3.0365853658536586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3</v>
      </c>
    </row>
    <row r="35" spans="1:13" ht="12.75">
      <c r="A35" t="s">
        <v>20</v>
      </c>
      <c r="D35" s="2">
        <v>0</v>
      </c>
      <c r="H35" t="s">
        <v>20</v>
      </c>
      <c r="M35" s="2">
        <v>73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9</v>
      </c>
      <c r="H38" t="s">
        <v>22</v>
      </c>
      <c r="M38" s="2">
        <v>6</v>
      </c>
    </row>
    <row r="39" spans="1:13" ht="12.75">
      <c r="A39" t="s">
        <v>23</v>
      </c>
      <c r="D39" s="2">
        <v>340</v>
      </c>
      <c r="H39" t="s">
        <v>23</v>
      </c>
      <c r="M39" s="2">
        <v>268</v>
      </c>
    </row>
    <row r="40" spans="1:13" ht="12.75">
      <c r="A40" t="s">
        <v>24</v>
      </c>
      <c r="D40" s="8">
        <f>+D39/D38</f>
        <v>37.77777777777778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44.666666666666664</v>
      </c>
    </row>
    <row r="42" spans="1:13" ht="12.75">
      <c r="A42" t="s">
        <v>25</v>
      </c>
      <c r="D42" s="2">
        <v>3</v>
      </c>
      <c r="H42" t="s">
        <v>25</v>
      </c>
      <c r="M42" s="2">
        <v>4</v>
      </c>
    </row>
    <row r="43" spans="1:13" ht="12.75">
      <c r="A43" t="s">
        <v>26</v>
      </c>
      <c r="D43" s="2">
        <v>53</v>
      </c>
      <c r="H43" t="s">
        <v>26</v>
      </c>
      <c r="M43" s="2">
        <v>56</v>
      </c>
    </row>
    <row r="44" spans="1:13" ht="12.75">
      <c r="A44" t="s">
        <v>27</v>
      </c>
      <c r="D44" s="8">
        <f>+D43/D42</f>
        <v>17.666666666666668</v>
      </c>
      <c r="H44" t="s">
        <v>27</v>
      </c>
      <c r="M44" s="8">
        <v>0</v>
      </c>
    </row>
    <row r="45" spans="1:13" ht="12.75">
      <c r="A45" t="s">
        <v>106</v>
      </c>
      <c r="D45" s="2">
        <v>2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2</v>
      </c>
    </row>
    <row r="49" spans="1:13" ht="12.75">
      <c r="A49" t="s">
        <v>26</v>
      </c>
      <c r="D49" s="2">
        <v>67</v>
      </c>
      <c r="H49" t="s">
        <v>26</v>
      </c>
      <c r="M49" s="2">
        <v>52</v>
      </c>
    </row>
    <row r="50" spans="1:13" ht="12.75">
      <c r="A50" t="s">
        <v>27</v>
      </c>
      <c r="D50" s="8">
        <f>+D49/D48</f>
        <v>16.75</v>
      </c>
      <c r="H50" t="s">
        <v>27</v>
      </c>
      <c r="M50" s="8">
        <f>+M49/M48</f>
        <v>26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8</v>
      </c>
      <c r="H53" t="s">
        <v>31</v>
      </c>
      <c r="M53" s="2">
        <v>5</v>
      </c>
    </row>
    <row r="54" spans="1:13" ht="12.75">
      <c r="A54" t="s">
        <v>32</v>
      </c>
      <c r="D54" s="2">
        <v>65</v>
      </c>
      <c r="H54" t="s">
        <v>32</v>
      </c>
      <c r="M54" s="2">
        <v>50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17</v>
      </c>
      <c r="H59" t="s">
        <v>34</v>
      </c>
      <c r="M59" s="2">
        <v>23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2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3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75</v>
      </c>
    </row>
    <row r="69" spans="1:13" ht="12.75">
      <c r="A69" t="s">
        <v>92</v>
      </c>
      <c r="D69" s="10" t="str">
        <f>IF(V23&lt;10,V27,V26)</f>
        <v>23:50</v>
      </c>
      <c r="E69" s="8"/>
      <c r="F69" s="8"/>
      <c r="H69" t="s">
        <v>92</v>
      </c>
      <c r="M69" s="10" t="str">
        <f>IF(W23&lt;10,W27,W26)</f>
        <v>36:10</v>
      </c>
    </row>
    <row r="70" spans="1:13" ht="12.75">
      <c r="A70" t="s">
        <v>102</v>
      </c>
      <c r="D70" s="23">
        <f>D154</f>
        <v>14.285714285714285</v>
      </c>
      <c r="E70" s="8"/>
      <c r="F70" s="8"/>
      <c r="H70" t="s">
        <v>102</v>
      </c>
      <c r="M70" s="23">
        <f>M154</f>
        <v>23.52941176470588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11</v>
      </c>
      <c r="D74">
        <v>82</v>
      </c>
      <c r="E74" s="12">
        <f aca="true" t="shared" si="0" ref="E74:E82">+D74/C74</f>
        <v>7.454545454545454</v>
      </c>
      <c r="F74">
        <v>56</v>
      </c>
      <c r="G74">
        <v>1</v>
      </c>
      <c r="H74">
        <v>0</v>
      </c>
    </row>
    <row r="75" spans="1:8" ht="12.75">
      <c r="A75" t="s">
        <v>110</v>
      </c>
      <c r="C75">
        <v>7</v>
      </c>
      <c r="D75">
        <v>39</v>
      </c>
      <c r="E75" s="12">
        <f t="shared" si="0"/>
        <v>5.571428571428571</v>
      </c>
      <c r="F75">
        <v>12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8" ht="12.75">
      <c r="A81" t="s">
        <v>117</v>
      </c>
      <c r="C81">
        <v>1</v>
      </c>
      <c r="D81">
        <v>4</v>
      </c>
      <c r="E81" s="12">
        <f t="shared" si="0"/>
        <v>4</v>
      </c>
      <c r="F81">
        <v>4</v>
      </c>
      <c r="G81">
        <v>0</v>
      </c>
      <c r="H81">
        <v>0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1</v>
      </c>
      <c r="D85">
        <v>6</v>
      </c>
      <c r="E85" s="12">
        <f aca="true" t="shared" si="1" ref="E85:E96">+D85/C85</f>
        <v>6</v>
      </c>
      <c r="F85">
        <v>6</v>
      </c>
      <c r="G85">
        <v>0</v>
      </c>
      <c r="H85">
        <v>0</v>
      </c>
    </row>
    <row r="86" spans="1:8" ht="12.75">
      <c r="A86" t="s">
        <v>118</v>
      </c>
      <c r="C86">
        <v>1</v>
      </c>
      <c r="D86">
        <v>10</v>
      </c>
      <c r="E86" s="12">
        <f t="shared" si="1"/>
        <v>10</v>
      </c>
      <c r="F86">
        <v>10</v>
      </c>
      <c r="G86">
        <v>0</v>
      </c>
      <c r="H86">
        <v>0</v>
      </c>
    </row>
    <row r="87" spans="1:8" ht="12.75">
      <c r="A87" t="s">
        <v>113</v>
      </c>
      <c r="C87">
        <v>1</v>
      </c>
      <c r="D87">
        <v>10</v>
      </c>
      <c r="E87" s="12">
        <f t="shared" si="1"/>
        <v>10</v>
      </c>
      <c r="F87">
        <v>10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26</v>
      </c>
      <c r="E88" s="12">
        <f t="shared" si="1"/>
        <v>8.666666666666666</v>
      </c>
      <c r="F88">
        <v>12</v>
      </c>
      <c r="G88">
        <v>0</v>
      </c>
      <c r="H88">
        <v>0</v>
      </c>
    </row>
    <row r="89" spans="1:5" ht="12.75">
      <c r="A89" t="s">
        <v>116</v>
      </c>
      <c r="E89" s="12" t="e">
        <f t="shared" si="1"/>
        <v>#DIV/0!</v>
      </c>
    </row>
    <row r="90" spans="1:8" ht="12.75">
      <c r="A90" t="s">
        <v>110</v>
      </c>
      <c r="C90">
        <v>2</v>
      </c>
      <c r="D90">
        <v>9</v>
      </c>
      <c r="E90" s="12">
        <f t="shared" si="1"/>
        <v>4.5</v>
      </c>
      <c r="F90">
        <v>8</v>
      </c>
      <c r="G90">
        <v>0</v>
      </c>
      <c r="H90">
        <v>0</v>
      </c>
    </row>
    <row r="91" spans="1:8" ht="12.75">
      <c r="A91" t="s">
        <v>112</v>
      </c>
      <c r="C91">
        <v>1</v>
      </c>
      <c r="D91">
        <v>14</v>
      </c>
      <c r="E91" s="12">
        <f t="shared" si="1"/>
        <v>14</v>
      </c>
      <c r="F91">
        <v>14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28</v>
      </c>
      <c r="E92" s="12">
        <f t="shared" si="1"/>
        <v>28</v>
      </c>
      <c r="F92">
        <v>28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E100" s="12" t="e">
        <f>+D100/C100*100</f>
        <v>#DIV/0!</v>
      </c>
      <c r="J100" s="8" t="e">
        <f>+G100/C100*100</f>
        <v>#DIV/0!</v>
      </c>
      <c r="K100" s="12" t="e">
        <f>+I100/C100*100</f>
        <v>#DIV/0!</v>
      </c>
      <c r="L100" s="12" t="e">
        <f>+F100/C100</f>
        <v>#DIV/0!</v>
      </c>
      <c r="M100" s="12" t="e">
        <f>100*(S100+U100+W100+Y100)/6</f>
        <v>#DIV/0!</v>
      </c>
      <c r="R100" t="e">
        <f>+(E100-30)/20</f>
        <v>#DIV/0!</v>
      </c>
      <c r="S100" s="2" t="e">
        <f>IF(R100&lt;0,0,IF(R100&gt;2.375,2.375,R100))</f>
        <v>#DIV/0!</v>
      </c>
      <c r="T100" s="6" t="e">
        <f>+(L100-3)/4</f>
        <v>#DIV/0!</v>
      </c>
      <c r="U100" s="2" t="e">
        <f>IF(T100&lt;0,0,IF(T100&gt;2.375,2.375,T100))</f>
        <v>#DIV/0!</v>
      </c>
      <c r="V100" t="e">
        <f>+J100/5</f>
        <v>#DIV/0!</v>
      </c>
      <c r="W100" s="2" t="e">
        <f>IF(V100&lt;0,0,IF(V100&gt;2.375,2.375,V100))</f>
        <v>#DIV/0!</v>
      </c>
      <c r="X100" t="e">
        <f>(9.5-K100)/4</f>
        <v>#DIV/0!</v>
      </c>
      <c r="Y100" s="2" t="e">
        <f>IF(X100&lt;0,0,X100)</f>
        <v>#DIV/0!</v>
      </c>
    </row>
    <row r="101" spans="1:25" ht="12.75">
      <c r="A101" t="s">
        <v>117</v>
      </c>
      <c r="C101">
        <v>25</v>
      </c>
      <c r="D101">
        <v>10</v>
      </c>
      <c r="E101" s="12">
        <f>+D101/C101*100</f>
        <v>40</v>
      </c>
      <c r="F101">
        <v>103</v>
      </c>
      <c r="G101">
        <v>0</v>
      </c>
      <c r="H101">
        <v>28</v>
      </c>
      <c r="I101">
        <v>0</v>
      </c>
      <c r="J101" s="8">
        <f>+G101/C101*100</f>
        <v>0</v>
      </c>
      <c r="K101" s="12">
        <f>+I101/C101*100</f>
        <v>0</v>
      </c>
      <c r="L101" s="12">
        <f>+F101/C101</f>
        <v>4.12</v>
      </c>
      <c r="M101" s="12">
        <f>100*(S101+U101+W101+Y101)/6</f>
        <v>52.583333333333336</v>
      </c>
      <c r="N101">
        <v>1</v>
      </c>
      <c r="R101">
        <f>+(E101-30)/20</f>
        <v>0.5</v>
      </c>
      <c r="S101" s="2">
        <f>IF(R101&lt;0,0,IF(R101&gt;2.375,2.375,R101))</f>
        <v>0.5</v>
      </c>
      <c r="T101" s="6">
        <f>+(L101-3)/4</f>
        <v>0.28</v>
      </c>
      <c r="U101" s="2">
        <f>IF(T101&lt;0,0,IF(T101&gt;2.375,2.375,T101))</f>
        <v>0.28</v>
      </c>
      <c r="V101">
        <f>+J101/5</f>
        <v>0</v>
      </c>
      <c r="W101" s="2">
        <f>IF(V101&lt;0,0,IF(V101&gt;2.375,2.375,V101))</f>
        <v>0</v>
      </c>
      <c r="X101">
        <f>(9.5-K101)/4</f>
        <v>2.375</v>
      </c>
      <c r="Y101" s="2">
        <f>IF(X101&lt;0,0,X101)</f>
        <v>2.375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2</v>
      </c>
      <c r="E107">
        <v>53</v>
      </c>
      <c r="F107" s="12">
        <v>0</v>
      </c>
      <c r="G107">
        <v>30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2</v>
      </c>
      <c r="D110">
        <v>35</v>
      </c>
      <c r="E110" s="12">
        <f aca="true" t="shared" si="2" ref="E110:E115">+D110/C110</f>
        <v>17.5</v>
      </c>
      <c r="F110">
        <v>22</v>
      </c>
      <c r="G110">
        <v>0</v>
      </c>
      <c r="H110">
        <v>0</v>
      </c>
    </row>
    <row r="111" spans="1:8" ht="12.75">
      <c r="A111" t="s">
        <v>112</v>
      </c>
      <c r="C111">
        <v>2</v>
      </c>
      <c r="D111">
        <v>32</v>
      </c>
      <c r="E111" s="12">
        <f t="shared" si="2"/>
        <v>16</v>
      </c>
      <c r="F111">
        <v>21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9</v>
      </c>
      <c r="D118">
        <v>340</v>
      </c>
      <c r="E118" s="12">
        <f>+D118/C118</f>
        <v>37.77777777777778</v>
      </c>
      <c r="F118">
        <v>55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4</v>
      </c>
      <c r="D121">
        <v>2</v>
      </c>
      <c r="E121">
        <v>2</v>
      </c>
      <c r="F121">
        <v>2</v>
      </c>
      <c r="G121">
        <v>2</v>
      </c>
      <c r="H121">
        <v>1</v>
      </c>
      <c r="I121" s="12">
        <f>+H121/G121*100</f>
        <v>50</v>
      </c>
      <c r="J121">
        <v>46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1</v>
      </c>
      <c r="D124">
        <v>0</v>
      </c>
      <c r="E124" s="12">
        <f>+D124/C124</f>
        <v>0</v>
      </c>
      <c r="F124">
        <v>0</v>
      </c>
      <c r="G124">
        <v>0</v>
      </c>
      <c r="H124">
        <v>0</v>
      </c>
    </row>
    <row r="125" spans="1:8" ht="12.75">
      <c r="A125" t="s">
        <v>127</v>
      </c>
      <c r="C125">
        <v>1</v>
      </c>
      <c r="D125">
        <v>5</v>
      </c>
      <c r="E125" s="12">
        <f aca="true" t="shared" si="3" ref="E125:E132">+D125/C125</f>
        <v>5</v>
      </c>
      <c r="F125">
        <v>5</v>
      </c>
      <c r="G125">
        <v>0</v>
      </c>
      <c r="H125">
        <v>0</v>
      </c>
    </row>
    <row r="126" spans="1:8" ht="12.75">
      <c r="A126" t="s">
        <v>128</v>
      </c>
      <c r="C126">
        <v>1</v>
      </c>
      <c r="D126">
        <v>68</v>
      </c>
      <c r="E126" s="12">
        <f t="shared" si="3"/>
        <v>68</v>
      </c>
      <c r="F126">
        <v>68</v>
      </c>
      <c r="G126">
        <v>1</v>
      </c>
      <c r="H126">
        <v>0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2</v>
      </c>
    </row>
    <row r="136" spans="1:3" ht="12.75">
      <c r="A136" t="s">
        <v>135</v>
      </c>
      <c r="C136">
        <v>0.5</v>
      </c>
    </row>
    <row r="137" ht="12.75">
      <c r="A137" t="s">
        <v>136</v>
      </c>
    </row>
    <row r="138" spans="1:3" ht="12.75">
      <c r="A138" t="s">
        <v>137</v>
      </c>
      <c r="C138">
        <v>0.5</v>
      </c>
    </row>
    <row r="139" ht="12.75">
      <c r="A139" t="s">
        <v>130</v>
      </c>
    </row>
    <row r="140" spans="1:3" ht="12.75">
      <c r="A140" t="s">
        <v>107</v>
      </c>
      <c r="C140">
        <v>1</v>
      </c>
    </row>
    <row r="141" spans="1:3" ht="12.75">
      <c r="A141" t="s">
        <v>138</v>
      </c>
      <c r="C141">
        <v>1.5</v>
      </c>
    </row>
    <row r="142" ht="12.75">
      <c r="A142" t="s">
        <v>132</v>
      </c>
    </row>
    <row r="143" spans="1:3" ht="12.75">
      <c r="A143" t="s">
        <v>139</v>
      </c>
      <c r="C143">
        <v>1</v>
      </c>
    </row>
    <row r="144" ht="12.75">
      <c r="A144" t="s">
        <v>131</v>
      </c>
    </row>
    <row r="145" spans="1:3" ht="12.75">
      <c r="A145" t="s">
        <v>140</v>
      </c>
      <c r="C145">
        <v>0.5</v>
      </c>
    </row>
    <row r="146" ht="12.75">
      <c r="A146" t="s">
        <v>124</v>
      </c>
    </row>
    <row r="147" spans="1:3" ht="12.75">
      <c r="A147" t="s">
        <v>127</v>
      </c>
      <c r="C147">
        <v>1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14</v>
      </c>
      <c r="H152" t="s">
        <v>93</v>
      </c>
      <c r="M152">
        <v>17</v>
      </c>
    </row>
    <row r="153" spans="1:13" ht="12.75">
      <c r="A153" t="s">
        <v>94</v>
      </c>
      <c r="D153">
        <v>2</v>
      </c>
      <c r="H153" t="s">
        <v>94</v>
      </c>
      <c r="M153">
        <v>4</v>
      </c>
    </row>
    <row r="154" spans="1:13" ht="12.75">
      <c r="A154" t="s">
        <v>95</v>
      </c>
      <c r="D154" s="8">
        <f>D153/D152*100</f>
        <v>14.285714285714285</v>
      </c>
      <c r="H154" t="s">
        <v>95</v>
      </c>
      <c r="M154">
        <f>+M153/M152*100</f>
        <v>23.52941176470588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54"/>
  <sheetViews>
    <sheetView zoomScalePageLayoutView="0" workbookViewId="0" topLeftCell="A49">
      <selection activeCell="D7" sqref="D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26</v>
      </c>
      <c r="H6" s="1" t="s">
        <v>29</v>
      </c>
      <c r="M6" s="2">
        <f>M7+M8+M9</f>
        <v>17</v>
      </c>
    </row>
    <row r="7" spans="1:13" ht="12.75">
      <c r="A7" s="1" t="s">
        <v>103</v>
      </c>
      <c r="D7" s="2">
        <v>11</v>
      </c>
      <c r="H7" s="1" t="s">
        <v>103</v>
      </c>
      <c r="M7" s="2">
        <v>3</v>
      </c>
    </row>
    <row r="8" spans="1:13" ht="12.75">
      <c r="A8" s="1" t="s">
        <v>105</v>
      </c>
      <c r="D8" s="2">
        <v>14</v>
      </c>
      <c r="H8" s="1" t="s">
        <v>105</v>
      </c>
      <c r="M8" s="2">
        <v>13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29</v>
      </c>
      <c r="H11" t="s">
        <v>1</v>
      </c>
      <c r="M11" s="2">
        <v>23</v>
      </c>
      <c r="V11">
        <f>+D11</f>
        <v>29</v>
      </c>
      <c r="W11">
        <f>+M11</f>
        <v>23</v>
      </c>
    </row>
    <row r="12" spans="1:23" ht="12.75">
      <c r="A12" t="s">
        <v>2</v>
      </c>
      <c r="D12" s="2">
        <v>193</v>
      </c>
      <c r="H12" t="s">
        <v>2</v>
      </c>
      <c r="M12" s="2">
        <v>85</v>
      </c>
      <c r="U12" s="13"/>
      <c r="V12">
        <f>+D16</f>
        <v>19</v>
      </c>
      <c r="W12">
        <f>+M16</f>
        <v>20</v>
      </c>
    </row>
    <row r="13" spans="1:23" ht="12.75">
      <c r="A13" s="1" t="s">
        <v>3</v>
      </c>
      <c r="D13" s="8">
        <f>D12/D11</f>
        <v>6.655172413793103</v>
      </c>
      <c r="H13" s="1" t="s">
        <v>3</v>
      </c>
      <c r="M13" s="8">
        <f>+M12/M11</f>
        <v>3.6956521739130435</v>
      </c>
      <c r="V13">
        <f>+(D15-D16)/2</f>
        <v>8.5</v>
      </c>
      <c r="W13">
        <f>+(M15-M16)/2</f>
        <v>13</v>
      </c>
    </row>
    <row r="14" spans="22:23" ht="12.75">
      <c r="V14">
        <f>+D38/2</f>
        <v>2.5</v>
      </c>
      <c r="W14">
        <f>+M38/2</f>
        <v>4</v>
      </c>
    </row>
    <row r="15" spans="1:23" ht="12.75">
      <c r="A15" t="s">
        <v>4</v>
      </c>
      <c r="D15" s="2">
        <v>36</v>
      </c>
      <c r="H15" t="s">
        <v>4</v>
      </c>
      <c r="M15" s="2">
        <v>46</v>
      </c>
      <c r="V15">
        <f>+D42/2</f>
        <v>2.5</v>
      </c>
      <c r="W15">
        <f>+M42/2</f>
        <v>1</v>
      </c>
    </row>
    <row r="16" spans="1:23" ht="12.75">
      <c r="A16" t="s">
        <v>5</v>
      </c>
      <c r="D16" s="2">
        <v>19</v>
      </c>
      <c r="H16" t="s">
        <v>5</v>
      </c>
      <c r="M16" s="2">
        <v>20</v>
      </c>
      <c r="V16">
        <f>+D48/2</f>
        <v>1</v>
      </c>
      <c r="W16">
        <f>+M48/2</f>
        <v>2.5</v>
      </c>
    </row>
    <row r="17" spans="1:13" ht="12.75">
      <c r="A17" t="s">
        <v>6</v>
      </c>
      <c r="D17" s="8">
        <f>+D16/D15*100</f>
        <v>52.77777777777778</v>
      </c>
      <c r="H17" t="s">
        <v>6</v>
      </c>
      <c r="M17" s="8">
        <f>+M16/M15*100</f>
        <v>43.47826086956522</v>
      </c>
    </row>
    <row r="18" spans="1:24" ht="12.75">
      <c r="A18" t="s">
        <v>7</v>
      </c>
      <c r="D18" s="2">
        <v>312</v>
      </c>
      <c r="H18" t="s">
        <v>7</v>
      </c>
      <c r="M18" s="2">
        <v>258</v>
      </c>
      <c r="V18">
        <f>SUM(V11:V16)</f>
        <v>62.5</v>
      </c>
      <c r="W18">
        <f>SUM(W11:W16)</f>
        <v>63.5</v>
      </c>
      <c r="X18">
        <f>+W18+V18</f>
        <v>126</v>
      </c>
    </row>
    <row r="19" spans="1:23" ht="12.75">
      <c r="A19" t="s">
        <v>8</v>
      </c>
      <c r="D19" s="2">
        <v>0</v>
      </c>
      <c r="H19" t="s">
        <v>8</v>
      </c>
      <c r="M19" s="2">
        <v>3</v>
      </c>
      <c r="V19">
        <f>+V18/X18</f>
        <v>0.49603174603174605</v>
      </c>
      <c r="W19">
        <f>+W18/X18</f>
        <v>0.503968253968254</v>
      </c>
    </row>
    <row r="20" spans="1:23" ht="12.75">
      <c r="A20" t="s">
        <v>9</v>
      </c>
      <c r="D20" s="2">
        <v>0</v>
      </c>
      <c r="H20" t="s">
        <v>9</v>
      </c>
      <c r="M20" s="2">
        <v>17</v>
      </c>
      <c r="V20">
        <f>+V19*60</f>
        <v>29.761904761904763</v>
      </c>
      <c r="W20">
        <f>+W19*60</f>
        <v>30.238095238095237</v>
      </c>
    </row>
    <row r="21" spans="1:23" ht="12.75">
      <c r="A21" t="s">
        <v>10</v>
      </c>
      <c r="D21">
        <f>+D18-D20</f>
        <v>312</v>
      </c>
      <c r="H21" t="s">
        <v>10</v>
      </c>
      <c r="M21">
        <f>+M18-M20</f>
        <v>241</v>
      </c>
      <c r="V21">
        <f>+V20-INT(V20)</f>
        <v>0.7619047619047628</v>
      </c>
      <c r="W21">
        <f>+W20-INT(W20)</f>
        <v>0.23809523809523725</v>
      </c>
    </row>
    <row r="22" spans="1:23" ht="12.75">
      <c r="A22" t="s">
        <v>11</v>
      </c>
      <c r="D22" s="7">
        <f>+D21/(D15+D19)</f>
        <v>8.666666666666666</v>
      </c>
      <c r="H22" t="s">
        <v>11</v>
      </c>
      <c r="M22" s="7">
        <f>+M21/(M15+M19)</f>
        <v>4.918367346938775</v>
      </c>
      <c r="V22">
        <f>+V21*60</f>
        <v>45.714285714285765</v>
      </c>
      <c r="W22">
        <f>+W21*60</f>
        <v>14.285714285714235</v>
      </c>
    </row>
    <row r="23" spans="1:23" ht="12.75">
      <c r="A23" t="s">
        <v>12</v>
      </c>
      <c r="D23" s="7">
        <f>+D18/D16</f>
        <v>16.42105263157895</v>
      </c>
      <c r="H23" t="s">
        <v>12</v>
      </c>
      <c r="M23" s="7">
        <f>+M18/M16</f>
        <v>12.9</v>
      </c>
      <c r="U23">
        <v>0</v>
      </c>
      <c r="V23" s="11">
        <f>ROUND(V22,0)</f>
        <v>46</v>
      </c>
      <c r="W23">
        <f>ROUND(W22,0)</f>
        <v>14</v>
      </c>
    </row>
    <row r="24" spans="22:23" ht="12.75">
      <c r="V24">
        <f>INT(V20)</f>
        <v>29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505</v>
      </c>
      <c r="H26" t="s">
        <v>14</v>
      </c>
      <c r="M26">
        <f>+M21+M12</f>
        <v>326</v>
      </c>
      <c r="V26" s="14" t="str">
        <f>+V24&amp;V25&amp;V23</f>
        <v>29:46</v>
      </c>
      <c r="W26" s="9" t="str">
        <f>+W24&amp;W25&amp;W23</f>
        <v>30:14</v>
      </c>
    </row>
    <row r="27" spans="1:23" ht="12.75">
      <c r="A27" t="s">
        <v>15</v>
      </c>
      <c r="D27" s="7">
        <f>+D12/D26*100</f>
        <v>38.21782178217822</v>
      </c>
      <c r="H27" t="s">
        <v>15</v>
      </c>
      <c r="M27" s="7">
        <f>+M12/M26*100</f>
        <v>26.07361963190184</v>
      </c>
      <c r="V27" s="9" t="str">
        <f>IF(V23&lt;10,+V24&amp;V25&amp;$U$23&amp;V23,+V24&amp;V25&amp;V23)</f>
        <v>29:46</v>
      </c>
      <c r="W27" s="9" t="str">
        <f>IF(W23&lt;10,+W24&amp;W25&amp;$U$23&amp;W23,+W24&amp;W25&amp;W23)</f>
        <v>30:14</v>
      </c>
    </row>
    <row r="28" spans="1:13" ht="12.75">
      <c r="A28" s="1" t="s">
        <v>86</v>
      </c>
      <c r="D28" s="7">
        <f>+D21/D26*100</f>
        <v>61.78217821782178</v>
      </c>
      <c r="H28" s="1" t="s">
        <v>86</v>
      </c>
      <c r="M28" s="7">
        <f>+M21/M26*100</f>
        <v>73.92638036809815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72</v>
      </c>
    </row>
    <row r="31" spans="1:13" ht="12.75">
      <c r="A31" t="s">
        <v>17</v>
      </c>
      <c r="D31" s="8">
        <f>+D26/D30</f>
        <v>7.769230769230769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4.527777777777778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4</v>
      </c>
    </row>
    <row r="35" spans="1:13" ht="12.75">
      <c r="A35" t="s">
        <v>20</v>
      </c>
      <c r="D35" s="2">
        <v>43</v>
      </c>
      <c r="H35" t="s">
        <v>20</v>
      </c>
      <c r="M35" s="2">
        <v>102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8</v>
      </c>
    </row>
    <row r="39" spans="1:13" ht="12.75">
      <c r="A39" t="s">
        <v>23</v>
      </c>
      <c r="D39" s="2">
        <v>181</v>
      </c>
      <c r="H39" t="s">
        <v>23</v>
      </c>
      <c r="M39" s="2">
        <v>355</v>
      </c>
    </row>
    <row r="40" spans="1:13" ht="12.75">
      <c r="A40" t="s">
        <v>24</v>
      </c>
      <c r="D40" s="8">
        <f>+D39/D38</f>
        <v>36.2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44.375</v>
      </c>
    </row>
    <row r="42" spans="1:13" ht="12.75">
      <c r="A42" t="s">
        <v>25</v>
      </c>
      <c r="D42" s="2">
        <v>5</v>
      </c>
      <c r="H42" t="s">
        <v>25</v>
      </c>
      <c r="M42" s="2">
        <v>2</v>
      </c>
    </row>
    <row r="43" spans="1:13" ht="12.75">
      <c r="A43" t="s">
        <v>26</v>
      </c>
      <c r="D43" s="2">
        <v>17</v>
      </c>
      <c r="H43" t="s">
        <v>26</v>
      </c>
      <c r="M43" s="2">
        <v>14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7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5</v>
      </c>
    </row>
    <row r="49" spans="1:13" ht="12.75">
      <c r="A49" t="s">
        <v>26</v>
      </c>
      <c r="D49" s="2">
        <v>61</v>
      </c>
      <c r="H49" t="s">
        <v>26</v>
      </c>
      <c r="M49" s="2">
        <v>114</v>
      </c>
    </row>
    <row r="50" spans="1:13" ht="12.75">
      <c r="A50" t="s">
        <v>27</v>
      </c>
      <c r="D50" s="8">
        <f>+D49/D48</f>
        <v>30.5</v>
      </c>
      <c r="H50" t="s">
        <v>27</v>
      </c>
      <c r="M50" s="8">
        <f>+M49/M48</f>
        <v>22.8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4</v>
      </c>
    </row>
    <row r="54" spans="1:13" ht="12.75">
      <c r="A54" t="s">
        <v>32</v>
      </c>
      <c r="D54" s="2">
        <v>35</v>
      </c>
      <c r="H54" t="s">
        <v>32</v>
      </c>
      <c r="M54" s="2">
        <v>25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51</v>
      </c>
      <c r="H59" t="s">
        <v>34</v>
      </c>
      <c r="M59" s="2">
        <v>10</v>
      </c>
    </row>
    <row r="60" spans="1:13" ht="12.75">
      <c r="A60" t="s">
        <v>35</v>
      </c>
      <c r="D60" s="2">
        <v>7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0</v>
      </c>
    </row>
    <row r="62" spans="1:13" ht="12.75">
      <c r="A62" t="s">
        <v>37</v>
      </c>
      <c r="D62" s="2">
        <v>5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6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1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29:46</v>
      </c>
      <c r="E69" s="8"/>
      <c r="F69" s="8"/>
      <c r="H69" t="s">
        <v>89</v>
      </c>
      <c r="M69" s="10" t="str">
        <f>IF(W23&lt;10,W27,W26)</f>
        <v>30:14</v>
      </c>
    </row>
    <row r="70" spans="1:13" ht="12.75">
      <c r="A70" t="s">
        <v>102</v>
      </c>
      <c r="D70" s="23">
        <f>D154</f>
        <v>41.66666666666667</v>
      </c>
      <c r="E70" s="8"/>
      <c r="F70" s="8"/>
      <c r="H70" t="s">
        <v>102</v>
      </c>
      <c r="M70" s="23">
        <f>M154</f>
        <v>38.88888888888889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16</v>
      </c>
      <c r="D74">
        <v>137</v>
      </c>
      <c r="E74" s="12">
        <f aca="true" t="shared" si="0" ref="E74:E82">+D74/C74</f>
        <v>8.5625</v>
      </c>
      <c r="F74">
        <v>56</v>
      </c>
      <c r="G74">
        <v>1</v>
      </c>
      <c r="H74">
        <v>0</v>
      </c>
    </row>
    <row r="75" spans="1:8" ht="12.75">
      <c r="A75" t="s">
        <v>110</v>
      </c>
      <c r="C75">
        <v>8</v>
      </c>
      <c r="D75">
        <v>48</v>
      </c>
      <c r="E75" s="12">
        <f t="shared" si="0"/>
        <v>6</v>
      </c>
      <c r="F75">
        <v>14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4</v>
      </c>
      <c r="D77">
        <v>8</v>
      </c>
      <c r="E77" s="12">
        <f t="shared" si="0"/>
        <v>2</v>
      </c>
      <c r="F77">
        <v>6</v>
      </c>
      <c r="G77">
        <v>0</v>
      </c>
      <c r="H77">
        <v>0</v>
      </c>
    </row>
    <row r="78" spans="1:8" ht="12.75">
      <c r="A78" t="s">
        <v>113</v>
      </c>
      <c r="C78">
        <v>1</v>
      </c>
      <c r="D78">
        <v>0</v>
      </c>
      <c r="E78" s="12">
        <f t="shared" si="0"/>
        <v>0</v>
      </c>
      <c r="F78">
        <v>0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5</v>
      </c>
      <c r="D85">
        <v>57</v>
      </c>
      <c r="E85" s="12">
        <f aca="true" t="shared" si="1" ref="E85:E96">+D85/C85</f>
        <v>11.4</v>
      </c>
      <c r="F85">
        <v>19</v>
      </c>
      <c r="G85">
        <v>1</v>
      </c>
      <c r="H85">
        <v>0</v>
      </c>
    </row>
    <row r="86" spans="1:8" ht="12.75">
      <c r="A86" t="s">
        <v>118</v>
      </c>
      <c r="C86">
        <v>5</v>
      </c>
      <c r="D86">
        <v>117</v>
      </c>
      <c r="E86" s="12">
        <f t="shared" si="1"/>
        <v>23.4</v>
      </c>
      <c r="F86">
        <v>49</v>
      </c>
      <c r="G86">
        <v>2</v>
      </c>
      <c r="H86">
        <v>0</v>
      </c>
    </row>
    <row r="87" spans="1:8" ht="12.75">
      <c r="A87" t="s">
        <v>113</v>
      </c>
      <c r="C87">
        <v>2</v>
      </c>
      <c r="D87">
        <v>46</v>
      </c>
      <c r="E87" s="12">
        <f t="shared" si="1"/>
        <v>23</v>
      </c>
      <c r="F87">
        <v>38</v>
      </c>
      <c r="G87">
        <v>1</v>
      </c>
      <c r="H87">
        <v>0</v>
      </c>
    </row>
    <row r="88" spans="1:8" ht="12.75">
      <c r="A88" t="s">
        <v>119</v>
      </c>
      <c r="C88">
        <v>2</v>
      </c>
      <c r="D88">
        <v>30</v>
      </c>
      <c r="E88" s="12">
        <f t="shared" si="1"/>
        <v>15</v>
      </c>
      <c r="F88">
        <v>24</v>
      </c>
      <c r="G88">
        <v>0</v>
      </c>
      <c r="H88">
        <v>0</v>
      </c>
    </row>
    <row r="89" spans="1:8" ht="12.75">
      <c r="A89" t="s">
        <v>116</v>
      </c>
      <c r="C89">
        <v>1</v>
      </c>
      <c r="D89">
        <v>17</v>
      </c>
      <c r="E89" s="12">
        <f t="shared" si="1"/>
        <v>17</v>
      </c>
      <c r="F89">
        <v>17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3</v>
      </c>
      <c r="D91">
        <v>29</v>
      </c>
      <c r="E91" s="12">
        <f t="shared" si="1"/>
        <v>9.666666666666666</v>
      </c>
      <c r="F91">
        <v>21</v>
      </c>
      <c r="G91">
        <v>1</v>
      </c>
      <c r="H91">
        <v>0</v>
      </c>
    </row>
    <row r="92" spans="1:8" ht="12.75">
      <c r="A92" t="s">
        <v>120</v>
      </c>
      <c r="C92">
        <v>1</v>
      </c>
      <c r="D92">
        <v>16</v>
      </c>
      <c r="E92" s="12">
        <f t="shared" si="1"/>
        <v>16</v>
      </c>
      <c r="F92">
        <v>16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36</v>
      </c>
      <c r="D100">
        <v>19</v>
      </c>
      <c r="E100" s="12">
        <f>+D100/C100*100</f>
        <v>52.77777777777778</v>
      </c>
      <c r="F100">
        <v>312</v>
      </c>
      <c r="G100">
        <v>5</v>
      </c>
      <c r="H100">
        <v>49</v>
      </c>
      <c r="I100">
        <v>3</v>
      </c>
      <c r="J100" s="8">
        <f>+G100/C100*100</f>
        <v>13.88888888888889</v>
      </c>
      <c r="K100" s="12">
        <f>+I100/C100*100</f>
        <v>8.333333333333332</v>
      </c>
      <c r="L100" s="12">
        <f>+F100/C100</f>
        <v>8.666666666666666</v>
      </c>
      <c r="M100" s="12">
        <f>100*(S100+U100+W100+Y100)/6</f>
        <v>87.03703703703705</v>
      </c>
      <c r="R100">
        <f>+(E100-30)/20</f>
        <v>1.1388888888888888</v>
      </c>
      <c r="S100" s="2">
        <f>IF(R100&lt;0,0,IF(R100&gt;2.375,2.375,R100))</f>
        <v>1.1388888888888888</v>
      </c>
      <c r="T100" s="6">
        <f>+(L100-3)/4</f>
        <v>1.4166666666666665</v>
      </c>
      <c r="U100" s="2">
        <f>IF(T100&lt;0,0,IF(T100&gt;2.375,2.375,T100))</f>
        <v>1.4166666666666665</v>
      </c>
      <c r="V100">
        <f>+J100/5</f>
        <v>2.7777777777777777</v>
      </c>
      <c r="W100" s="2">
        <f>IF(V100&lt;0,0,IF(V100&gt;2.375,2.375,V100))</f>
        <v>2.375</v>
      </c>
      <c r="X100">
        <f>(9.5-K100)/4</f>
        <v>0.29166666666666696</v>
      </c>
      <c r="Y100" s="2">
        <f>IF(X100&lt;0,0,X100)</f>
        <v>0.29166666666666696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5</v>
      </c>
      <c r="D107">
        <v>2</v>
      </c>
      <c r="E107">
        <v>17</v>
      </c>
      <c r="F107" s="12">
        <f>+E107/C107</f>
        <v>3.4</v>
      </c>
      <c r="G107">
        <v>9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2</v>
      </c>
      <c r="D110">
        <v>61</v>
      </c>
      <c r="E110" s="12">
        <f aca="true" t="shared" si="2" ref="E110:E115">+D110/C110</f>
        <v>30.5</v>
      </c>
      <c r="F110">
        <v>39</v>
      </c>
      <c r="G110">
        <v>0</v>
      </c>
      <c r="H110">
        <v>0</v>
      </c>
    </row>
    <row r="111" spans="1:5" ht="12.75">
      <c r="A111" t="s">
        <v>112</v>
      </c>
      <c r="E111" s="12" t="e">
        <f t="shared" si="2"/>
        <v>#DIV/0!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5</v>
      </c>
      <c r="D118">
        <v>181</v>
      </c>
      <c r="E118" s="12">
        <f>+D118/C118</f>
        <v>36.2</v>
      </c>
      <c r="F118">
        <v>45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8</v>
      </c>
      <c r="D121">
        <v>3</v>
      </c>
      <c r="E121">
        <v>7</v>
      </c>
      <c r="F121">
        <v>6</v>
      </c>
      <c r="G121">
        <v>1</v>
      </c>
      <c r="H121">
        <v>1</v>
      </c>
      <c r="I121" s="12">
        <f>+H121/G121*100</f>
        <v>100</v>
      </c>
      <c r="J121">
        <v>49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1</v>
      </c>
      <c r="D124">
        <v>26</v>
      </c>
      <c r="E124" s="12">
        <f>+D124/C124</f>
        <v>26</v>
      </c>
      <c r="F124">
        <v>26</v>
      </c>
      <c r="G124">
        <v>0</v>
      </c>
      <c r="H124">
        <v>0</v>
      </c>
    </row>
    <row r="125" spans="1:8" ht="12.75">
      <c r="A125" t="s">
        <v>127</v>
      </c>
      <c r="C125">
        <v>1</v>
      </c>
      <c r="D125">
        <v>42</v>
      </c>
      <c r="E125" s="12">
        <f aca="true" t="shared" si="3" ref="E125:E132">+D125/C125</f>
        <v>42</v>
      </c>
      <c r="F125">
        <v>42</v>
      </c>
      <c r="G125">
        <v>0</v>
      </c>
      <c r="H125">
        <v>0</v>
      </c>
    </row>
    <row r="126" spans="1:8" ht="12.75">
      <c r="A126" t="s">
        <v>128</v>
      </c>
      <c r="C126">
        <v>1</v>
      </c>
      <c r="D126">
        <v>0</v>
      </c>
      <c r="E126" s="12">
        <f t="shared" si="3"/>
        <v>0</v>
      </c>
      <c r="F126">
        <v>0</v>
      </c>
      <c r="G126">
        <v>0</v>
      </c>
      <c r="H126">
        <v>0</v>
      </c>
    </row>
    <row r="127" spans="1:5" ht="12.75">
      <c r="A127" t="s">
        <v>129</v>
      </c>
      <c r="E127" s="12" t="e">
        <f t="shared" si="3"/>
        <v>#DIV/0!</v>
      </c>
    </row>
    <row r="128" spans="1:8" ht="12.75">
      <c r="A128" t="s">
        <v>130</v>
      </c>
      <c r="C128">
        <v>1</v>
      </c>
      <c r="D128">
        <v>34</v>
      </c>
      <c r="E128" s="12">
        <f t="shared" si="3"/>
        <v>34</v>
      </c>
      <c r="F128">
        <v>34</v>
      </c>
      <c r="G128">
        <v>0</v>
      </c>
      <c r="H128">
        <v>0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ht="12.75">
      <c r="A135" t="s">
        <v>134</v>
      </c>
    </row>
    <row r="136" spans="1:3" ht="12.75">
      <c r="A136" t="s">
        <v>135</v>
      </c>
      <c r="C136">
        <v>1</v>
      </c>
    </row>
    <row r="137" spans="1:3" ht="12.75">
      <c r="A137" t="s">
        <v>136</v>
      </c>
      <c r="C137">
        <v>1</v>
      </c>
    </row>
    <row r="138" ht="12.75">
      <c r="A138" t="s">
        <v>137</v>
      </c>
    </row>
    <row r="139" ht="12.75">
      <c r="A139" t="s">
        <v>130</v>
      </c>
    </row>
    <row r="140" spans="1:3" ht="12.75">
      <c r="A140" t="s">
        <v>107</v>
      </c>
      <c r="C140">
        <v>1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12</v>
      </c>
      <c r="H152" t="s">
        <v>93</v>
      </c>
      <c r="M152">
        <v>18</v>
      </c>
    </row>
    <row r="153" spans="1:13" ht="12.75">
      <c r="A153" t="s">
        <v>94</v>
      </c>
      <c r="D153">
        <v>5</v>
      </c>
      <c r="H153" t="s">
        <v>94</v>
      </c>
      <c r="M153">
        <v>7</v>
      </c>
    </row>
    <row r="154" spans="1:13" ht="12.75">
      <c r="A154" t="s">
        <v>95</v>
      </c>
      <c r="D154">
        <f>D153/D152*100</f>
        <v>41.66666666666667</v>
      </c>
      <c r="H154" t="s">
        <v>95</v>
      </c>
      <c r="M154">
        <f>+M153/M152*100</f>
        <v>38.88888888888889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54"/>
  <sheetViews>
    <sheetView zoomScalePageLayoutView="0" workbookViewId="0" topLeftCell="A79">
      <selection activeCell="M154" sqref="M15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13</v>
      </c>
    </row>
    <row r="7" spans="1:13" ht="12.75">
      <c r="A7" s="1" t="s">
        <v>103</v>
      </c>
      <c r="D7" s="2">
        <v>11</v>
      </c>
      <c r="H7" s="1" t="s">
        <v>103</v>
      </c>
      <c r="M7" s="2">
        <v>2</v>
      </c>
    </row>
    <row r="8" spans="1:13" ht="12.75">
      <c r="A8" s="1" t="s">
        <v>105</v>
      </c>
      <c r="D8" s="2">
        <v>8</v>
      </c>
      <c r="H8" s="1" t="s">
        <v>105</v>
      </c>
      <c r="M8" s="2">
        <v>10</v>
      </c>
    </row>
    <row r="9" spans="1:13" ht="12.75">
      <c r="A9" s="1" t="s">
        <v>104</v>
      </c>
      <c r="D9" s="2">
        <v>4</v>
      </c>
      <c r="H9" s="1" t="s">
        <v>104</v>
      </c>
      <c r="M9" s="2">
        <v>1</v>
      </c>
    </row>
    <row r="11" spans="1:23" ht="12.75">
      <c r="A11" t="s">
        <v>1</v>
      </c>
      <c r="D11" s="2">
        <v>33</v>
      </c>
      <c r="H11" t="s">
        <v>1</v>
      </c>
      <c r="M11" s="2">
        <v>25</v>
      </c>
      <c r="V11">
        <f>+D11</f>
        <v>33</v>
      </c>
      <c r="W11">
        <f>+M11</f>
        <v>25</v>
      </c>
    </row>
    <row r="12" spans="1:23" ht="12.75">
      <c r="A12" t="s">
        <v>2</v>
      </c>
      <c r="D12" s="2">
        <v>221</v>
      </c>
      <c r="H12" t="s">
        <v>2</v>
      </c>
      <c r="M12" s="2">
        <v>25</v>
      </c>
      <c r="U12" s="13"/>
      <c r="V12">
        <f>+D16</f>
        <v>17</v>
      </c>
      <c r="W12">
        <f>+M16</f>
        <v>16</v>
      </c>
    </row>
    <row r="13" spans="1:23" ht="12.75">
      <c r="A13" s="1" t="s">
        <v>3</v>
      </c>
      <c r="D13" s="8">
        <f>D12/D11</f>
        <v>6.696969696969697</v>
      </c>
      <c r="H13" s="1" t="s">
        <v>3</v>
      </c>
      <c r="M13" s="8">
        <f>+M12/M11</f>
        <v>1</v>
      </c>
      <c r="V13">
        <f>+(D15-D16)/2</f>
        <v>5.5</v>
      </c>
      <c r="W13">
        <f>+(M15-M16)/2</f>
        <v>10.5</v>
      </c>
    </row>
    <row r="14" spans="22:23" ht="12.75">
      <c r="V14">
        <f>+D38/2</f>
        <v>3</v>
      </c>
      <c r="W14">
        <f>+M38/2</f>
        <v>5</v>
      </c>
    </row>
    <row r="15" spans="1:23" ht="12.75">
      <c r="A15" t="s">
        <v>4</v>
      </c>
      <c r="D15" s="2">
        <v>28</v>
      </c>
      <c r="H15" t="s">
        <v>4</v>
      </c>
      <c r="M15" s="2">
        <v>37</v>
      </c>
      <c r="V15">
        <f>+D42/2</f>
        <v>2</v>
      </c>
      <c r="W15">
        <f>+M42/2</f>
        <v>1.5</v>
      </c>
    </row>
    <row r="16" spans="1:23" ht="12.75">
      <c r="A16" t="s">
        <v>5</v>
      </c>
      <c r="D16" s="2">
        <v>17</v>
      </c>
      <c r="H16" t="s">
        <v>5</v>
      </c>
      <c r="M16" s="2">
        <v>16</v>
      </c>
      <c r="V16">
        <f>+D48/2</f>
        <v>1.5</v>
      </c>
      <c r="W16">
        <f>+M48/2</f>
        <v>4</v>
      </c>
    </row>
    <row r="17" spans="1:13" ht="12.75">
      <c r="A17" t="s">
        <v>6</v>
      </c>
      <c r="D17" s="8">
        <f>+D16/D15*100</f>
        <v>60.71428571428571</v>
      </c>
      <c r="H17" t="s">
        <v>6</v>
      </c>
      <c r="M17" s="8">
        <f>+M16/M15*100</f>
        <v>43.24324324324324</v>
      </c>
    </row>
    <row r="18" spans="1:24" ht="12.75">
      <c r="A18" t="s">
        <v>7</v>
      </c>
      <c r="D18" s="2">
        <v>213</v>
      </c>
      <c r="H18" t="s">
        <v>7</v>
      </c>
      <c r="M18" s="2">
        <v>157</v>
      </c>
      <c r="V18">
        <f>SUM(V11:V16)</f>
        <v>62</v>
      </c>
      <c r="W18">
        <f>SUM(W11:W16)</f>
        <v>62</v>
      </c>
      <c r="X18">
        <f>+W18+V18</f>
        <v>124</v>
      </c>
    </row>
    <row r="19" spans="1:23" ht="12.75">
      <c r="A19" t="s">
        <v>8</v>
      </c>
      <c r="D19" s="2">
        <v>2</v>
      </c>
      <c r="H19" t="s">
        <v>8</v>
      </c>
      <c r="M19" s="2">
        <v>5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27</v>
      </c>
      <c r="H20" t="s">
        <v>9</v>
      </c>
      <c r="M20" s="2">
        <v>30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186</v>
      </c>
      <c r="H21" t="s">
        <v>10</v>
      </c>
      <c r="M21">
        <f>+M18-M20</f>
        <v>127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6.2</v>
      </c>
      <c r="H22" t="s">
        <v>11</v>
      </c>
      <c r="M22" s="7">
        <f>+M21/(M15+M19)</f>
        <v>3.0238095238095237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12.529411764705882</v>
      </c>
      <c r="H23" t="s">
        <v>12</v>
      </c>
      <c r="M23" s="7">
        <f>+M18/M16</f>
        <v>9.8125</v>
      </c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407</v>
      </c>
      <c r="H26" t="s">
        <v>14</v>
      </c>
      <c r="M26">
        <f>+M21+M12</f>
        <v>152</v>
      </c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54.2997542997543</v>
      </c>
      <c r="H27" t="s">
        <v>15</v>
      </c>
      <c r="M27" s="7">
        <f>+M12/M26*100</f>
        <v>16.447368421052634</v>
      </c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3" ht="12.75">
      <c r="A28" s="1" t="s">
        <v>86</v>
      </c>
      <c r="D28" s="7">
        <f>+D21/D26*100</f>
        <v>45.7002457002457</v>
      </c>
      <c r="H28" s="1" t="s">
        <v>86</v>
      </c>
      <c r="M28" s="7">
        <f>+M21/M26*100</f>
        <v>83.55263157894737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6.4603174603174605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2.2686567164179103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3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10</v>
      </c>
    </row>
    <row r="39" spans="1:13" ht="12.75">
      <c r="A39" t="s">
        <v>23</v>
      </c>
      <c r="D39" s="2">
        <v>208</v>
      </c>
      <c r="H39" t="s">
        <v>23</v>
      </c>
      <c r="M39" s="2">
        <v>384</v>
      </c>
    </row>
    <row r="40" spans="1:13" ht="12.75">
      <c r="A40" t="s">
        <v>24</v>
      </c>
      <c r="D40" s="8">
        <f>+D39/D38</f>
        <v>34.666666666666664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38.4</v>
      </c>
    </row>
    <row r="42" spans="1:13" ht="12.75">
      <c r="A42" t="s">
        <v>25</v>
      </c>
      <c r="D42" s="2">
        <v>4</v>
      </c>
      <c r="H42" t="s">
        <v>25</v>
      </c>
      <c r="M42" s="2">
        <v>3</v>
      </c>
    </row>
    <row r="43" spans="1:13" ht="12.75">
      <c r="A43" t="s">
        <v>26</v>
      </c>
      <c r="D43" s="2">
        <v>23</v>
      </c>
      <c r="H43" t="s">
        <v>26</v>
      </c>
      <c r="M43" s="2">
        <v>65</v>
      </c>
    </row>
    <row r="44" spans="1:13" ht="12.75">
      <c r="A44" t="s">
        <v>27</v>
      </c>
      <c r="D44" s="8">
        <f>+D43/D42</f>
        <v>5.75</v>
      </c>
      <c r="H44" t="s">
        <v>27</v>
      </c>
      <c r="M44" s="8">
        <f>+M43/M42</f>
        <v>21.666666666666668</v>
      </c>
    </row>
    <row r="45" spans="1:13" ht="12.75">
      <c r="A45" t="s">
        <v>106</v>
      </c>
      <c r="D45" s="2">
        <v>2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1</v>
      </c>
    </row>
    <row r="48" spans="1:13" ht="12.75">
      <c r="A48" t="s">
        <v>30</v>
      </c>
      <c r="D48" s="2">
        <v>3</v>
      </c>
      <c r="H48" t="s">
        <v>30</v>
      </c>
      <c r="M48" s="2">
        <v>8</v>
      </c>
    </row>
    <row r="49" spans="1:13" ht="12.75">
      <c r="A49" t="s">
        <v>26</v>
      </c>
      <c r="D49" s="2">
        <v>80</v>
      </c>
      <c r="H49" t="s">
        <v>26</v>
      </c>
      <c r="M49" s="2">
        <v>182</v>
      </c>
    </row>
    <row r="50" spans="1:13" ht="12.75">
      <c r="A50" t="s">
        <v>27</v>
      </c>
      <c r="D50" s="8">
        <f>+D49/D48</f>
        <v>26.666666666666668</v>
      </c>
      <c r="H50" t="s">
        <v>27</v>
      </c>
      <c r="M50" s="8">
        <f>+M49/M48</f>
        <v>22.75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5</v>
      </c>
    </row>
    <row r="54" spans="1:13" ht="12.75">
      <c r="A54" t="s">
        <v>32</v>
      </c>
      <c r="D54" s="2">
        <v>18</v>
      </c>
      <c r="H54" t="s">
        <v>32</v>
      </c>
      <c r="M54" s="2">
        <v>18</v>
      </c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45</v>
      </c>
      <c r="H59" t="s">
        <v>34</v>
      </c>
      <c r="M59" s="2">
        <v>13</v>
      </c>
    </row>
    <row r="60" spans="1:13" ht="12.75">
      <c r="A60" t="s">
        <v>35</v>
      </c>
      <c r="D60" s="2">
        <v>6</v>
      </c>
      <c r="H60" t="s">
        <v>35</v>
      </c>
      <c r="M60" s="2">
        <v>1</v>
      </c>
    </row>
    <row r="61" spans="1:13" ht="12.75">
      <c r="A61" t="s">
        <v>36</v>
      </c>
      <c r="D61" s="2">
        <v>3</v>
      </c>
      <c r="H61" t="s">
        <v>36</v>
      </c>
      <c r="M61" s="2">
        <v>0</v>
      </c>
    </row>
    <row r="62" spans="1:13" ht="12.75">
      <c r="A62" t="s">
        <v>37</v>
      </c>
      <c r="D62" s="2">
        <v>3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6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30:00</v>
      </c>
      <c r="E69" s="8"/>
      <c r="F69" s="8"/>
      <c r="H69" t="s">
        <v>92</v>
      </c>
      <c r="M69" s="10" t="str">
        <f>IF(W23&lt;10,W27,W26)</f>
        <v>30:00</v>
      </c>
    </row>
    <row r="70" spans="1:13" ht="12.75">
      <c r="A70" t="s">
        <v>102</v>
      </c>
      <c r="D70" s="23">
        <f>D154</f>
        <v>18.181818181818183</v>
      </c>
      <c r="E70" s="8"/>
      <c r="F70" s="8"/>
      <c r="H70" t="s">
        <v>102</v>
      </c>
      <c r="M70" s="23">
        <f>M154</f>
        <v>36.84210526315789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17</v>
      </c>
      <c r="D74">
        <v>158</v>
      </c>
      <c r="E74" s="12">
        <f aca="true" t="shared" si="0" ref="E74:E82">+D74/C74</f>
        <v>9.294117647058824</v>
      </c>
      <c r="F74">
        <v>62</v>
      </c>
      <c r="G74">
        <v>1</v>
      </c>
      <c r="H74">
        <v>0</v>
      </c>
    </row>
    <row r="75" spans="1:8" ht="12.75">
      <c r="A75" t="s">
        <v>110</v>
      </c>
      <c r="C75">
        <v>7</v>
      </c>
      <c r="D75">
        <v>30</v>
      </c>
      <c r="E75" s="12">
        <f t="shared" si="0"/>
        <v>4.285714285714286</v>
      </c>
      <c r="F75">
        <v>9</v>
      </c>
      <c r="G75">
        <v>1</v>
      </c>
      <c r="H75">
        <v>0</v>
      </c>
    </row>
    <row r="76" spans="1:8" ht="12.75">
      <c r="A76" t="s">
        <v>111</v>
      </c>
      <c r="C76">
        <v>4</v>
      </c>
      <c r="D76">
        <v>4</v>
      </c>
      <c r="E76" s="12">
        <f t="shared" si="0"/>
        <v>1</v>
      </c>
      <c r="F76">
        <v>2</v>
      </c>
      <c r="G76">
        <v>0</v>
      </c>
      <c r="H76">
        <v>0</v>
      </c>
    </row>
    <row r="77" spans="1:8" ht="12.75">
      <c r="A77" t="s">
        <v>112</v>
      </c>
      <c r="C77">
        <v>4</v>
      </c>
      <c r="D77">
        <v>14</v>
      </c>
      <c r="E77" s="12">
        <f t="shared" si="0"/>
        <v>3.5</v>
      </c>
      <c r="F77">
        <v>5</v>
      </c>
      <c r="G77">
        <v>1</v>
      </c>
      <c r="H77">
        <v>0</v>
      </c>
    </row>
    <row r="78" spans="1:8" ht="12.75">
      <c r="A78" t="s">
        <v>113</v>
      </c>
      <c r="C78">
        <v>1</v>
      </c>
      <c r="D78">
        <v>15</v>
      </c>
      <c r="E78" s="12">
        <f t="shared" si="0"/>
        <v>15</v>
      </c>
      <c r="F78">
        <v>15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6</v>
      </c>
      <c r="D85">
        <v>50</v>
      </c>
      <c r="E85" s="12">
        <f aca="true" t="shared" si="1" ref="E85:E96">+D85/C85</f>
        <v>8.333333333333334</v>
      </c>
      <c r="F85">
        <v>16</v>
      </c>
      <c r="G85">
        <v>0</v>
      </c>
      <c r="H85">
        <v>0</v>
      </c>
    </row>
    <row r="86" spans="1:8" ht="12.75">
      <c r="A86" t="s">
        <v>118</v>
      </c>
      <c r="C86">
        <v>2</v>
      </c>
      <c r="D86">
        <v>21</v>
      </c>
      <c r="E86" s="12">
        <f t="shared" si="1"/>
        <v>10.5</v>
      </c>
      <c r="F86">
        <v>13</v>
      </c>
      <c r="G86">
        <v>1</v>
      </c>
      <c r="H86">
        <v>0</v>
      </c>
    </row>
    <row r="87" spans="1:8" ht="12.75">
      <c r="A87" t="s">
        <v>113</v>
      </c>
      <c r="C87">
        <v>3</v>
      </c>
      <c r="D87">
        <v>85</v>
      </c>
      <c r="E87" s="12">
        <f t="shared" si="1"/>
        <v>28.333333333333332</v>
      </c>
      <c r="F87">
        <v>44</v>
      </c>
      <c r="G87">
        <v>1</v>
      </c>
      <c r="H87">
        <v>0</v>
      </c>
    </row>
    <row r="88" spans="1:8" ht="12.75">
      <c r="A88" t="s">
        <v>119</v>
      </c>
      <c r="C88">
        <v>2</v>
      </c>
      <c r="D88">
        <v>13</v>
      </c>
      <c r="E88" s="12">
        <f t="shared" si="1"/>
        <v>6.5</v>
      </c>
      <c r="F88">
        <v>9</v>
      </c>
      <c r="G88">
        <v>0</v>
      </c>
      <c r="H88">
        <v>0</v>
      </c>
    </row>
    <row r="89" spans="1:8" ht="12.75">
      <c r="A89" t="s">
        <v>116</v>
      </c>
      <c r="C89">
        <v>2</v>
      </c>
      <c r="D89">
        <v>24</v>
      </c>
      <c r="E89" s="12">
        <f t="shared" si="1"/>
        <v>12</v>
      </c>
      <c r="F89">
        <v>13</v>
      </c>
      <c r="G89">
        <v>1</v>
      </c>
      <c r="H89">
        <v>0</v>
      </c>
    </row>
    <row r="90" spans="1:8" ht="12.75">
      <c r="A90" t="s">
        <v>110</v>
      </c>
      <c r="C90">
        <v>2</v>
      </c>
      <c r="D90">
        <v>20</v>
      </c>
      <c r="E90" s="12">
        <f t="shared" si="1"/>
        <v>10</v>
      </c>
      <c r="F90">
        <v>21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28</v>
      </c>
      <c r="D100">
        <v>17</v>
      </c>
      <c r="E100" s="12">
        <f>+D100/C100*100</f>
        <v>60.71428571428571</v>
      </c>
      <c r="F100">
        <v>213</v>
      </c>
      <c r="G100">
        <v>3</v>
      </c>
      <c r="H100">
        <v>44</v>
      </c>
      <c r="I100">
        <v>0</v>
      </c>
      <c r="J100" s="8">
        <f>+G100/C100*100</f>
        <v>10.714285714285714</v>
      </c>
      <c r="K100" s="12">
        <f>+I100/C100*100</f>
        <v>0</v>
      </c>
      <c r="L100" s="12">
        <f>+F100/C100</f>
        <v>7.607142857142857</v>
      </c>
      <c r="M100" s="12">
        <f>100*(S100+U100+W100+Y100)/6</f>
        <v>120.08928571428571</v>
      </c>
      <c r="R100">
        <f>+(E100-30)/20</f>
        <v>1.5357142857142854</v>
      </c>
      <c r="S100" s="2">
        <f>IF(R100&lt;0,0,IF(R100&gt;2.375,2.375,R100))</f>
        <v>1.5357142857142854</v>
      </c>
      <c r="T100" s="6">
        <f>+(L100-3)/4</f>
        <v>1.1517857142857142</v>
      </c>
      <c r="U100" s="2">
        <f>IF(T100&lt;0,0,IF(T100&gt;2.375,2.375,T100))</f>
        <v>1.1517857142857142</v>
      </c>
      <c r="V100">
        <f>+J100/5</f>
        <v>2.142857142857143</v>
      </c>
      <c r="W100" s="2">
        <f>IF(V100&lt;0,0,IF(V100&gt;2.375,2.375,V100))</f>
        <v>2.142857142857143</v>
      </c>
      <c r="X100">
        <f>(9.5-K100)/4</f>
        <v>2.375</v>
      </c>
      <c r="Y100" s="2">
        <f>IF(X100&lt;0,0,X100)</f>
        <v>2.375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4</v>
      </c>
      <c r="D107">
        <v>2</v>
      </c>
      <c r="E107">
        <v>23</v>
      </c>
      <c r="F107" s="12">
        <f>+E107/C107</f>
        <v>5.75</v>
      </c>
      <c r="G107">
        <v>10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2</v>
      </c>
      <c r="D110">
        <v>68</v>
      </c>
      <c r="E110" s="12">
        <f aca="true" t="shared" si="2" ref="E110:E115">+D110/C110</f>
        <v>34</v>
      </c>
      <c r="F110">
        <v>41</v>
      </c>
      <c r="G110">
        <v>0</v>
      </c>
      <c r="H110">
        <v>0</v>
      </c>
    </row>
    <row r="111" spans="1:8" ht="12.75">
      <c r="A111" t="s">
        <v>112</v>
      </c>
      <c r="C111">
        <v>1</v>
      </c>
      <c r="D111">
        <v>12</v>
      </c>
      <c r="E111" s="12">
        <f t="shared" si="2"/>
        <v>12</v>
      </c>
      <c r="F111">
        <v>12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6</v>
      </c>
      <c r="D118">
        <v>208</v>
      </c>
      <c r="E118" s="12">
        <f>+D118/C118</f>
        <v>34.666666666666664</v>
      </c>
      <c r="F118">
        <v>40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8</v>
      </c>
      <c r="D121">
        <v>0</v>
      </c>
      <c r="E121">
        <v>6</v>
      </c>
      <c r="F121">
        <v>6</v>
      </c>
      <c r="G121">
        <v>2</v>
      </c>
      <c r="H121">
        <v>1</v>
      </c>
      <c r="I121" s="12">
        <f>+H121/G121*100</f>
        <v>50</v>
      </c>
      <c r="J121">
        <v>42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8" ht="12.75">
      <c r="A129" t="s">
        <v>131</v>
      </c>
      <c r="C129">
        <v>1</v>
      </c>
      <c r="D129">
        <v>3</v>
      </c>
      <c r="E129" s="12">
        <f t="shared" si="3"/>
        <v>3</v>
      </c>
      <c r="F129">
        <v>3</v>
      </c>
      <c r="G129">
        <v>0</v>
      </c>
      <c r="H129">
        <v>0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1</v>
      </c>
    </row>
    <row r="136" spans="1:3" ht="12.75">
      <c r="A136" t="s">
        <v>135</v>
      </c>
      <c r="C136">
        <v>2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130</v>
      </c>
    </row>
    <row r="140" spans="1:3" ht="12.75">
      <c r="A140" t="s">
        <v>107</v>
      </c>
      <c r="C140">
        <v>1</v>
      </c>
    </row>
    <row r="141" ht="12.75">
      <c r="A141" t="s">
        <v>138</v>
      </c>
    </row>
    <row r="142" ht="12.75">
      <c r="A142" t="s">
        <v>132</v>
      </c>
    </row>
    <row r="143" spans="1:3" ht="12.75">
      <c r="A143" t="s">
        <v>139</v>
      </c>
      <c r="C143">
        <v>0.5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spans="1:3" ht="12.75">
      <c r="A147" t="s">
        <v>127</v>
      </c>
      <c r="C147">
        <v>0.5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11</v>
      </c>
      <c r="H152" t="s">
        <v>93</v>
      </c>
      <c r="M152">
        <v>19</v>
      </c>
    </row>
    <row r="153" spans="1:13" ht="12.75">
      <c r="A153" t="s">
        <v>94</v>
      </c>
      <c r="D153">
        <v>2</v>
      </c>
      <c r="H153" t="s">
        <v>94</v>
      </c>
      <c r="M153">
        <v>7</v>
      </c>
    </row>
    <row r="154" spans="1:13" ht="12.75">
      <c r="A154" t="s">
        <v>95</v>
      </c>
      <c r="D154" s="8">
        <f>D153/D152*100</f>
        <v>18.181818181818183</v>
      </c>
      <c r="H154" t="s">
        <v>95</v>
      </c>
      <c r="M154">
        <f>+M153/M152*100</f>
        <v>36.84210526315789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54"/>
  <sheetViews>
    <sheetView zoomScalePageLayoutView="0" workbookViewId="0" topLeftCell="A60">
      <selection activeCell="R69" sqref="R69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14</v>
      </c>
    </row>
    <row r="7" spans="1:13" ht="12.75">
      <c r="A7" s="1" t="s">
        <v>103</v>
      </c>
      <c r="D7" s="2">
        <v>7</v>
      </c>
      <c r="H7" s="1" t="s">
        <v>103</v>
      </c>
      <c r="M7" s="2">
        <v>7</v>
      </c>
    </row>
    <row r="8" spans="1:13" ht="12.75">
      <c r="A8" s="1" t="s">
        <v>105</v>
      </c>
      <c r="D8" s="2">
        <v>10</v>
      </c>
      <c r="H8" s="1" t="s">
        <v>105</v>
      </c>
      <c r="M8" s="2">
        <v>6</v>
      </c>
    </row>
    <row r="9" spans="1:13" ht="12.75">
      <c r="A9" s="1" t="s">
        <v>104</v>
      </c>
      <c r="D9" s="2">
        <v>3</v>
      </c>
      <c r="H9" s="1" t="s">
        <v>104</v>
      </c>
      <c r="M9" s="2">
        <v>1</v>
      </c>
    </row>
    <row r="11" spans="1:23" ht="12.75">
      <c r="A11" t="s">
        <v>1</v>
      </c>
      <c r="D11" s="2">
        <v>26</v>
      </c>
      <c r="H11" t="s">
        <v>1</v>
      </c>
      <c r="M11" s="2">
        <v>27</v>
      </c>
      <c r="V11">
        <f>+D11</f>
        <v>26</v>
      </c>
      <c r="W11">
        <f>+M11</f>
        <v>27</v>
      </c>
    </row>
    <row r="12" spans="1:23" ht="12.75">
      <c r="A12" t="s">
        <v>2</v>
      </c>
      <c r="D12" s="2">
        <v>130</v>
      </c>
      <c r="H12" t="s">
        <v>2</v>
      </c>
      <c r="M12" s="2">
        <v>96</v>
      </c>
      <c r="U12" s="13"/>
      <c r="V12">
        <f>+D16</f>
        <v>19</v>
      </c>
      <c r="W12">
        <f>+M16</f>
        <v>11</v>
      </c>
    </row>
    <row r="13" spans="1:23" ht="12.75">
      <c r="A13" s="1" t="s">
        <v>3</v>
      </c>
      <c r="D13" s="8">
        <f>+D12/D11</f>
        <v>5</v>
      </c>
      <c r="H13" s="1" t="s">
        <v>3</v>
      </c>
      <c r="M13" s="8">
        <f>+M12/M11</f>
        <v>3.5555555555555554</v>
      </c>
      <c r="V13">
        <f>+(D15-D16)/2</f>
        <v>6</v>
      </c>
      <c r="W13">
        <f>+(M15-M16)/2</f>
        <v>6.5</v>
      </c>
    </row>
    <row r="14" spans="22:23" ht="12.75">
      <c r="V14">
        <f>+D38/2</f>
        <v>4</v>
      </c>
      <c r="W14">
        <f>+M38/2</f>
        <v>4.5</v>
      </c>
    </row>
    <row r="15" spans="1:23" ht="12.75">
      <c r="A15" t="s">
        <v>4</v>
      </c>
      <c r="D15" s="2">
        <v>31</v>
      </c>
      <c r="H15" t="s">
        <v>4</v>
      </c>
      <c r="M15" s="2">
        <v>24</v>
      </c>
      <c r="V15">
        <f>+D42/2</f>
        <v>2</v>
      </c>
      <c r="W15">
        <f>+M42/2</f>
        <v>3</v>
      </c>
    </row>
    <row r="16" spans="1:23" ht="12.75">
      <c r="A16" t="s">
        <v>5</v>
      </c>
      <c r="D16" s="2">
        <v>19</v>
      </c>
      <c r="H16" t="s">
        <v>5</v>
      </c>
      <c r="M16" s="2">
        <v>11</v>
      </c>
      <c r="V16">
        <f>+D48/2</f>
        <v>1</v>
      </c>
      <c r="W16">
        <f>+M48/2</f>
        <v>2</v>
      </c>
    </row>
    <row r="17" spans="1:13" ht="12.75">
      <c r="A17" t="s">
        <v>6</v>
      </c>
      <c r="D17" s="8">
        <f>+D16/D15*100</f>
        <v>61.29032258064516</v>
      </c>
      <c r="H17" t="s">
        <v>6</v>
      </c>
      <c r="M17" s="8">
        <f>+M16/M15*100</f>
        <v>45.83333333333333</v>
      </c>
    </row>
    <row r="18" spans="1:24" ht="12.75">
      <c r="A18" t="s">
        <v>7</v>
      </c>
      <c r="D18" s="2">
        <v>191</v>
      </c>
      <c r="H18" t="s">
        <v>7</v>
      </c>
      <c r="M18" s="2">
        <v>110</v>
      </c>
      <c r="V18">
        <f>SUM(V11:V16)</f>
        <v>58</v>
      </c>
      <c r="W18">
        <f>SUM(W11:W16)</f>
        <v>54</v>
      </c>
      <c r="X18">
        <f>+W18+V18</f>
        <v>112</v>
      </c>
    </row>
    <row r="19" spans="1:23" ht="12.75">
      <c r="A19" t="s">
        <v>8</v>
      </c>
      <c r="D19" s="2">
        <v>5</v>
      </c>
      <c r="H19" t="s">
        <v>8</v>
      </c>
      <c r="M19" s="2">
        <v>6</v>
      </c>
      <c r="V19">
        <f>+V18/X18</f>
        <v>0.5178571428571429</v>
      </c>
      <c r="W19">
        <f>+W18/X18</f>
        <v>0.48214285714285715</v>
      </c>
    </row>
    <row r="20" spans="1:23" ht="12.75">
      <c r="A20" t="s">
        <v>9</v>
      </c>
      <c r="D20" s="2">
        <v>35</v>
      </c>
      <c r="H20" t="s">
        <v>9</v>
      </c>
      <c r="M20" s="2">
        <v>25</v>
      </c>
      <c r="V20">
        <f>+V19*60</f>
        <v>31.071428571428573</v>
      </c>
      <c r="W20">
        <f>+W19*60</f>
        <v>28.92857142857143</v>
      </c>
    </row>
    <row r="21" spans="1:23" ht="12.75">
      <c r="A21" t="s">
        <v>10</v>
      </c>
      <c r="D21">
        <f>+D18-D20</f>
        <v>156</v>
      </c>
      <c r="H21" t="s">
        <v>10</v>
      </c>
      <c r="M21">
        <f>+M18-M20</f>
        <v>85</v>
      </c>
      <c r="V21">
        <f>+V20-INT(V20)</f>
        <v>0.07142857142857295</v>
      </c>
      <c r="W21">
        <f>+W20-INT(W20)</f>
        <v>0.9285714285714306</v>
      </c>
    </row>
    <row r="22" spans="1:23" ht="12.75">
      <c r="A22" t="s">
        <v>11</v>
      </c>
      <c r="D22" s="7">
        <f>+D21/(D15+D19)</f>
        <v>4.333333333333333</v>
      </c>
      <c r="H22" t="s">
        <v>11</v>
      </c>
      <c r="M22" s="7">
        <f>+M21/(M15+M19)</f>
        <v>2.8333333333333335</v>
      </c>
      <c r="V22">
        <f>+V21*60</f>
        <v>4.285714285714377</v>
      </c>
      <c r="W22">
        <f>+W21*60</f>
        <v>55.714285714285836</v>
      </c>
    </row>
    <row r="23" spans="1:23" ht="12.75">
      <c r="A23" t="s">
        <v>12</v>
      </c>
      <c r="D23" s="7">
        <f>+D18/D16</f>
        <v>10.052631578947368</v>
      </c>
      <c r="H23" t="s">
        <v>12</v>
      </c>
      <c r="M23" s="7">
        <f>+M18/M16</f>
        <v>10</v>
      </c>
      <c r="U23">
        <v>0</v>
      </c>
      <c r="V23" s="11">
        <f>ROUND(V22,0)</f>
        <v>4</v>
      </c>
      <c r="W23">
        <f>ROUND(W22,0)</f>
        <v>56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286</v>
      </c>
      <c r="H26" t="s">
        <v>14</v>
      </c>
      <c r="M26">
        <f>+M21+M12</f>
        <v>181</v>
      </c>
      <c r="V26" s="14" t="str">
        <f>+V24&amp;V25&amp;V23</f>
        <v>31:4</v>
      </c>
      <c r="W26" s="9" t="str">
        <f>+W24&amp;W25&amp;W23</f>
        <v>28:56</v>
      </c>
    </row>
    <row r="27" spans="1:23" ht="12.75">
      <c r="A27" t="s">
        <v>15</v>
      </c>
      <c r="D27" s="7">
        <f>+D12/D26*100</f>
        <v>45.45454545454545</v>
      </c>
      <c r="H27" t="s">
        <v>15</v>
      </c>
      <c r="M27" s="7">
        <f>+M12/M26*100</f>
        <v>53.03867403314917</v>
      </c>
      <c r="V27" s="9" t="str">
        <f>IF(V23&lt;10,+V24&amp;V25&amp;$U$23&amp;V23,+V24&amp;V25&amp;V23)</f>
        <v>31:04</v>
      </c>
      <c r="W27" s="9" t="str">
        <f>IF(W23&lt;10,+W24&amp;W25&amp;$U$23&amp;W23,+W24&amp;W25&amp;W23)</f>
        <v>28:56</v>
      </c>
    </row>
    <row r="28" spans="1:13" ht="12.75">
      <c r="A28" s="1" t="s">
        <v>86</v>
      </c>
      <c r="D28" s="7">
        <f>+D21/D26*100</f>
        <v>54.54545454545454</v>
      </c>
      <c r="H28" s="1" t="s">
        <v>86</v>
      </c>
      <c r="M28" s="7">
        <f>+M21/M26*100</f>
        <v>46.96132596685083</v>
      </c>
    </row>
    <row r="30" spans="1:13" ht="12.75">
      <c r="A30" t="s">
        <v>16</v>
      </c>
      <c r="D30">
        <f>+D11+D15+D19</f>
        <v>62</v>
      </c>
      <c r="H30" t="s">
        <v>16</v>
      </c>
      <c r="M30">
        <f>+M11+M15+M19</f>
        <v>57</v>
      </c>
    </row>
    <row r="31" spans="1:13" ht="12.75">
      <c r="A31" t="s">
        <v>17</v>
      </c>
      <c r="D31" s="8">
        <f>+D26/D30</f>
        <v>4.612903225806452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3.175438596491228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49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8</v>
      </c>
      <c r="H38" t="s">
        <v>22</v>
      </c>
      <c r="M38" s="2">
        <v>9</v>
      </c>
    </row>
    <row r="39" spans="1:13" ht="12.75">
      <c r="A39" t="s">
        <v>23</v>
      </c>
      <c r="D39" s="2">
        <v>361</v>
      </c>
      <c r="H39" t="s">
        <v>23</v>
      </c>
      <c r="M39" s="2">
        <v>349</v>
      </c>
    </row>
    <row r="40" spans="1:13" ht="12.75">
      <c r="A40" t="s">
        <v>24</v>
      </c>
      <c r="D40" s="8">
        <f>+D39/D38</f>
        <v>45.125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38.77777777777778</v>
      </c>
    </row>
    <row r="42" spans="1:13" ht="12.75">
      <c r="A42" t="s">
        <v>25</v>
      </c>
      <c r="D42" s="2">
        <v>4</v>
      </c>
      <c r="H42" t="s">
        <v>25</v>
      </c>
      <c r="M42" s="2">
        <v>6</v>
      </c>
    </row>
    <row r="43" spans="1:13" ht="12.75">
      <c r="A43" t="s">
        <v>26</v>
      </c>
      <c r="D43" s="2">
        <v>17</v>
      </c>
      <c r="H43" t="s">
        <v>26</v>
      </c>
      <c r="M43" s="2">
        <v>50</v>
      </c>
    </row>
    <row r="44" spans="1:13" ht="12.75">
      <c r="A44" t="s">
        <v>27</v>
      </c>
      <c r="D44" s="8">
        <f>+D43/D42</f>
        <v>4.25</v>
      </c>
      <c r="H44" t="s">
        <v>27</v>
      </c>
      <c r="M44" s="8">
        <f>+M43/M42</f>
        <v>8.333333333333334</v>
      </c>
    </row>
    <row r="45" spans="1:13" ht="12.75">
      <c r="A45" t="s">
        <v>106</v>
      </c>
      <c r="D45" s="2">
        <v>1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4</v>
      </c>
    </row>
    <row r="49" spans="1:13" ht="12.75">
      <c r="A49" t="s">
        <v>26</v>
      </c>
      <c r="D49" s="2">
        <v>20</v>
      </c>
      <c r="H49" t="s">
        <v>26</v>
      </c>
      <c r="M49" s="2">
        <v>67</v>
      </c>
    </row>
    <row r="50" spans="1:13" ht="12.75">
      <c r="A50" t="s">
        <v>27</v>
      </c>
      <c r="D50" s="8">
        <f>+D49/D48</f>
        <v>10</v>
      </c>
      <c r="H50" t="s">
        <v>27</v>
      </c>
      <c r="M50" s="8">
        <f>+M49/M48</f>
        <v>16.75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10</v>
      </c>
    </row>
    <row r="54" spans="1:13" ht="12.75">
      <c r="A54" t="s">
        <v>32</v>
      </c>
      <c r="D54" s="2">
        <v>80</v>
      </c>
      <c r="H54" t="s">
        <v>32</v>
      </c>
      <c r="M54" s="2">
        <v>77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24</v>
      </c>
      <c r="H59" t="s">
        <v>34</v>
      </c>
      <c r="M59" s="2">
        <v>7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3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0</v>
      </c>
    </row>
    <row r="67" spans="1:13" ht="12.75">
      <c r="A67" t="s">
        <v>42</v>
      </c>
      <c r="D67" s="2">
        <v>1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0</v>
      </c>
    </row>
    <row r="69" spans="1:13" ht="12.75">
      <c r="A69" t="s">
        <v>89</v>
      </c>
      <c r="D69" s="10" t="str">
        <f>IF(V23&lt;10,V27,V26)</f>
        <v>31:04</v>
      </c>
      <c r="E69" s="8"/>
      <c r="F69" s="8"/>
      <c r="H69" t="s">
        <v>89</v>
      </c>
      <c r="M69" s="10" t="str">
        <f>IF(W23&lt;10,W27,W26)</f>
        <v>28:56</v>
      </c>
    </row>
    <row r="70" spans="1:13" ht="12.75">
      <c r="A70" t="s">
        <v>102</v>
      </c>
      <c r="D70" s="23">
        <f>D154</f>
        <v>33.33333333333333</v>
      </c>
      <c r="E70" s="8"/>
      <c r="F70" s="8"/>
      <c r="H70" t="s">
        <v>102</v>
      </c>
      <c r="M70" s="23">
        <f>M154</f>
        <v>28.57142857142857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14</v>
      </c>
      <c r="D74">
        <v>76</v>
      </c>
      <c r="E74" s="12">
        <f aca="true" t="shared" si="0" ref="E74:E82">+D74/C74</f>
        <v>5.428571428571429</v>
      </c>
      <c r="F74">
        <v>25</v>
      </c>
      <c r="G74">
        <v>0</v>
      </c>
      <c r="H74">
        <v>0</v>
      </c>
    </row>
    <row r="75" spans="1:8" ht="12.75">
      <c r="A75" t="s">
        <v>110</v>
      </c>
      <c r="C75">
        <v>8</v>
      </c>
      <c r="D75">
        <v>58</v>
      </c>
      <c r="E75" s="12">
        <f t="shared" si="0"/>
        <v>7.25</v>
      </c>
      <c r="F75">
        <v>16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3</v>
      </c>
      <c r="D77">
        <v>3</v>
      </c>
      <c r="E77" s="12">
        <f t="shared" si="0"/>
        <v>1</v>
      </c>
      <c r="F77">
        <v>3</v>
      </c>
      <c r="G77">
        <v>0</v>
      </c>
      <c r="H77">
        <v>0</v>
      </c>
    </row>
    <row r="78" spans="1:8" ht="12.75">
      <c r="A78" t="s">
        <v>113</v>
      </c>
      <c r="C78">
        <v>1</v>
      </c>
      <c r="D78">
        <v>-7</v>
      </c>
      <c r="E78" s="12">
        <f t="shared" si="0"/>
        <v>-7</v>
      </c>
      <c r="F78">
        <v>-7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8</v>
      </c>
      <c r="D85">
        <v>90</v>
      </c>
      <c r="E85" s="12">
        <f aca="true" t="shared" si="1" ref="E85:E96">+D85/C85</f>
        <v>11.25</v>
      </c>
      <c r="F85">
        <v>33</v>
      </c>
      <c r="G85">
        <v>1</v>
      </c>
      <c r="H85">
        <v>0</v>
      </c>
    </row>
    <row r="86" spans="1:8" ht="12.75">
      <c r="A86" t="s">
        <v>118</v>
      </c>
      <c r="C86">
        <v>3</v>
      </c>
      <c r="D86">
        <v>21</v>
      </c>
      <c r="E86" s="12">
        <f t="shared" si="1"/>
        <v>7</v>
      </c>
      <c r="F86">
        <v>12</v>
      </c>
      <c r="G86">
        <v>0</v>
      </c>
      <c r="H86">
        <v>0</v>
      </c>
    </row>
    <row r="87" spans="1:8" ht="12.75">
      <c r="A87" t="s">
        <v>113</v>
      </c>
      <c r="C87">
        <v>4</v>
      </c>
      <c r="D87">
        <v>54</v>
      </c>
      <c r="E87" s="12">
        <f t="shared" si="1"/>
        <v>13.5</v>
      </c>
      <c r="F87">
        <v>21</v>
      </c>
      <c r="G87">
        <v>1</v>
      </c>
      <c r="H87">
        <v>0</v>
      </c>
    </row>
    <row r="88" spans="1:8" ht="12.75">
      <c r="A88" t="s">
        <v>119</v>
      </c>
      <c r="C88">
        <v>2</v>
      </c>
      <c r="D88">
        <v>7</v>
      </c>
      <c r="E88" s="12">
        <f t="shared" si="1"/>
        <v>3.5</v>
      </c>
      <c r="F88">
        <v>6</v>
      </c>
      <c r="G88">
        <v>1</v>
      </c>
      <c r="H88">
        <v>0</v>
      </c>
    </row>
    <row r="89" spans="1:8" ht="12.75">
      <c r="A89" t="s">
        <v>116</v>
      </c>
      <c r="C89">
        <v>1</v>
      </c>
      <c r="D89">
        <v>15</v>
      </c>
      <c r="E89" s="12">
        <f t="shared" si="1"/>
        <v>15</v>
      </c>
      <c r="F89">
        <v>15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4</v>
      </c>
      <c r="E90" s="12">
        <f t="shared" si="1"/>
        <v>4</v>
      </c>
      <c r="F90">
        <v>4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30</v>
      </c>
      <c r="D100">
        <v>19</v>
      </c>
      <c r="E100" s="12">
        <f>+D100/C100*100</f>
        <v>63.33333333333333</v>
      </c>
      <c r="F100">
        <v>191</v>
      </c>
      <c r="G100">
        <v>3</v>
      </c>
      <c r="H100">
        <v>33</v>
      </c>
      <c r="I100">
        <v>0</v>
      </c>
      <c r="J100" s="8">
        <f>+G100/C100*100</f>
        <v>10</v>
      </c>
      <c r="K100" s="12">
        <f>+I100/C100*100</f>
        <v>0</v>
      </c>
      <c r="L100" s="12">
        <f>+F100/C100</f>
        <v>6.366666666666666</v>
      </c>
      <c r="M100" s="12">
        <f>100*(S100+U100+W100+Y100)/6</f>
        <v>114.72222222222221</v>
      </c>
      <c r="R100">
        <f>+(E100-30)/20</f>
        <v>1.6666666666666665</v>
      </c>
      <c r="S100" s="2">
        <f>IF(R100&lt;0,0,IF(R100&gt;2.375,2.375,R100))</f>
        <v>1.6666666666666665</v>
      </c>
      <c r="T100" s="6">
        <f>+(L100-3)/4</f>
        <v>0.8416666666666666</v>
      </c>
      <c r="U100" s="2">
        <f>IF(T100&lt;0,0,IF(T100&gt;2.375,2.375,T100))</f>
        <v>0.8416666666666666</v>
      </c>
      <c r="V100">
        <f>+J100/5</f>
        <v>2</v>
      </c>
      <c r="W100" s="2">
        <f>IF(V100&lt;0,0,IF(V100&gt;2.375,2.375,V100))</f>
        <v>2</v>
      </c>
      <c r="X100">
        <f>(9.5-K100)/4</f>
        <v>2.375</v>
      </c>
      <c r="Y100" s="2">
        <f>IF(X100&lt;0,0,X100)</f>
        <v>2.375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C102">
        <v>1</v>
      </c>
      <c r="D102">
        <v>0</v>
      </c>
      <c r="E102" s="12">
        <f>+D102/C102*100</f>
        <v>0</v>
      </c>
      <c r="F102">
        <v>0</v>
      </c>
      <c r="G102">
        <v>0</v>
      </c>
      <c r="H102">
        <v>0</v>
      </c>
      <c r="I102">
        <v>0</v>
      </c>
      <c r="J102" s="8">
        <f>+G102/C102*100</f>
        <v>0</v>
      </c>
      <c r="K102" s="12">
        <f>+I102/C102*100</f>
        <v>0</v>
      </c>
      <c r="L102" s="12">
        <f>+F102/C102</f>
        <v>0</v>
      </c>
      <c r="M102" s="12">
        <f>100*(S102+U102+W102+Y102)/6</f>
        <v>39.583333333333336</v>
      </c>
      <c r="R102">
        <f>+(E102-30)/20</f>
        <v>-1.5</v>
      </c>
      <c r="S102" s="2">
        <f>IF(R102&lt;0,0,IF(R102&gt;2.375,2.375,R102))</f>
        <v>0</v>
      </c>
      <c r="T102" s="6">
        <f>+(L102-3)/4</f>
        <v>-0.75</v>
      </c>
      <c r="U102" s="2">
        <f>IF(T102&lt;0,0,IF(T102&gt;2.375,2.375,T102))</f>
        <v>0</v>
      </c>
      <c r="V102">
        <f>+J102/5</f>
        <v>0</v>
      </c>
      <c r="W102" s="2">
        <f>IF(V102&lt;0,0,IF(V102&gt;2.375,2.375,V102))</f>
        <v>0</v>
      </c>
      <c r="X102">
        <f>(9.5-K102)/4</f>
        <v>2.375</v>
      </c>
      <c r="Y102" s="2">
        <f>IF(X102&lt;0,0,X102)</f>
        <v>2.375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4</v>
      </c>
      <c r="D107">
        <v>1</v>
      </c>
      <c r="E107">
        <v>17</v>
      </c>
      <c r="F107" s="12">
        <f>+E107/C107</f>
        <v>4.25</v>
      </c>
      <c r="G107">
        <v>8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5" ht="12.75">
      <c r="A110" t="s">
        <v>121</v>
      </c>
      <c r="E110" s="12" t="e">
        <f aca="true" t="shared" si="2" ref="E110:E115">+D110/C110</f>
        <v>#DIV/0!</v>
      </c>
    </row>
    <row r="111" spans="1:5" ht="12.75">
      <c r="A111" t="s">
        <v>112</v>
      </c>
      <c r="E111" s="12" t="e">
        <f t="shared" si="2"/>
        <v>#DIV/0!</v>
      </c>
    </row>
    <row r="112" spans="1:8" ht="12.75">
      <c r="A112" t="s">
        <v>123</v>
      </c>
      <c r="C112">
        <v>1</v>
      </c>
      <c r="D112">
        <v>12</v>
      </c>
      <c r="E112" s="12">
        <f t="shared" si="2"/>
        <v>12</v>
      </c>
      <c r="F112">
        <v>12</v>
      </c>
      <c r="G112">
        <v>0</v>
      </c>
      <c r="H112">
        <v>0</v>
      </c>
    </row>
    <row r="113" spans="1:5" ht="12.75">
      <c r="A113" t="s">
        <v>122</v>
      </c>
      <c r="E113" s="12" t="e">
        <f t="shared" si="2"/>
        <v>#DIV/0!</v>
      </c>
    </row>
    <row r="114" spans="1:8" ht="12.75">
      <c r="A114" t="s">
        <v>124</v>
      </c>
      <c r="C114">
        <v>1</v>
      </c>
      <c r="D114">
        <v>8</v>
      </c>
      <c r="E114" s="12">
        <f>+D114/C114</f>
        <v>8</v>
      </c>
      <c r="F114">
        <v>8</v>
      </c>
      <c r="G114">
        <v>0</v>
      </c>
      <c r="H114">
        <v>0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8</v>
      </c>
      <c r="D118">
        <v>361</v>
      </c>
      <c r="E118" s="12">
        <f>+D118/C118</f>
        <v>45.125</v>
      </c>
      <c r="F118">
        <v>54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6</v>
      </c>
      <c r="D121">
        <v>0</v>
      </c>
      <c r="E121">
        <v>3</v>
      </c>
      <c r="F121">
        <v>3</v>
      </c>
      <c r="G121">
        <v>1</v>
      </c>
      <c r="H121">
        <v>1</v>
      </c>
      <c r="I121" s="12">
        <f>+H121/G121*100</f>
        <v>100</v>
      </c>
      <c r="J121">
        <v>30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8" ht="12.75">
      <c r="A126" t="s">
        <v>128</v>
      </c>
      <c r="C126">
        <v>1</v>
      </c>
      <c r="D126">
        <v>49</v>
      </c>
      <c r="E126" s="12">
        <f t="shared" si="3"/>
        <v>49</v>
      </c>
      <c r="F126">
        <v>49</v>
      </c>
      <c r="G126">
        <v>0</v>
      </c>
      <c r="H126">
        <v>0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1.5</v>
      </c>
    </row>
    <row r="136" spans="1:3" ht="12.75">
      <c r="A136" t="s">
        <v>135</v>
      </c>
      <c r="C136">
        <v>1.5</v>
      </c>
    </row>
    <row r="137" ht="12.75">
      <c r="A137" t="s">
        <v>136</v>
      </c>
    </row>
    <row r="138" spans="1:3" ht="12.75">
      <c r="A138" t="s">
        <v>137</v>
      </c>
      <c r="C138">
        <v>2.5</v>
      </c>
    </row>
    <row r="139" spans="1:3" ht="12.75">
      <c r="A139" t="s">
        <v>130</v>
      </c>
      <c r="C139">
        <v>0.5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3:14" ht="12.75">
      <c r="C151" s="2"/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15</v>
      </c>
      <c r="H152" t="s">
        <v>93</v>
      </c>
      <c r="M152">
        <v>14</v>
      </c>
    </row>
    <row r="153" spans="1:13" ht="12.75">
      <c r="A153" t="s">
        <v>94</v>
      </c>
      <c r="D153">
        <v>5</v>
      </c>
      <c r="H153" t="s">
        <v>94</v>
      </c>
      <c r="M153">
        <v>4</v>
      </c>
    </row>
    <row r="154" spans="1:13" ht="12.75">
      <c r="A154" t="s">
        <v>95</v>
      </c>
      <c r="D154">
        <f>D153/D152*100</f>
        <v>33.33333333333333</v>
      </c>
      <c r="H154" t="s">
        <v>95</v>
      </c>
      <c r="M154">
        <f>+M153/M152*100</f>
        <v>28.57142857142857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18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7</v>
      </c>
      <c r="H7" s="1" t="s">
        <v>103</v>
      </c>
      <c r="M7" s="2">
        <v>9</v>
      </c>
    </row>
    <row r="8" spans="1:13" ht="12.75">
      <c r="A8" s="1" t="s">
        <v>105</v>
      </c>
      <c r="D8" s="2">
        <v>10</v>
      </c>
      <c r="H8" s="1" t="s">
        <v>105</v>
      </c>
      <c r="M8" s="2">
        <v>11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29</v>
      </c>
      <c r="H11" t="s">
        <v>1</v>
      </c>
      <c r="M11" s="2">
        <v>31</v>
      </c>
      <c r="V11">
        <f>+D11</f>
        <v>29</v>
      </c>
      <c r="W11">
        <f>+M11</f>
        <v>31</v>
      </c>
    </row>
    <row r="12" spans="1:23" ht="12.75">
      <c r="A12" t="s">
        <v>2</v>
      </c>
      <c r="D12" s="2">
        <v>114</v>
      </c>
      <c r="H12" t="s">
        <v>2</v>
      </c>
      <c r="M12" s="2">
        <v>197</v>
      </c>
      <c r="U12" s="13"/>
      <c r="V12">
        <f>+D16</f>
        <v>15</v>
      </c>
      <c r="W12">
        <f>+M16</f>
        <v>22</v>
      </c>
    </row>
    <row r="13" spans="1:23" ht="12.75">
      <c r="A13" s="1" t="s">
        <v>3</v>
      </c>
      <c r="D13" s="8">
        <f>+D12/D11</f>
        <v>3.9310344827586206</v>
      </c>
      <c r="H13" s="1" t="s">
        <v>3</v>
      </c>
      <c r="M13" s="8">
        <f>+M12/M11</f>
        <v>6.354838709677419</v>
      </c>
      <c r="V13">
        <f>+(D15-D16)/2</f>
        <v>6</v>
      </c>
      <c r="W13">
        <f>+(M15-M16)/2</f>
        <v>10</v>
      </c>
    </row>
    <row r="14" spans="22:23" ht="12.75">
      <c r="V14">
        <f>+D38/2</f>
        <v>2.5</v>
      </c>
      <c r="W14">
        <f>+M38/2</f>
        <v>2</v>
      </c>
    </row>
    <row r="15" spans="1:23" ht="12.75">
      <c r="A15" t="s">
        <v>4</v>
      </c>
      <c r="D15" s="2">
        <v>27</v>
      </c>
      <c r="H15" t="s">
        <v>4</v>
      </c>
      <c r="M15" s="2">
        <v>42</v>
      </c>
      <c r="V15">
        <f>+D42/2</f>
        <v>1.5</v>
      </c>
      <c r="W15">
        <f>+M42/2</f>
        <v>0.5</v>
      </c>
    </row>
    <row r="16" spans="1:23" ht="12.75">
      <c r="A16" t="s">
        <v>5</v>
      </c>
      <c r="D16" s="2">
        <v>15</v>
      </c>
      <c r="H16" t="s">
        <v>5</v>
      </c>
      <c r="M16" s="2">
        <v>22</v>
      </c>
      <c r="V16">
        <f>+D48/2</f>
        <v>1</v>
      </c>
      <c r="W16">
        <f>+M48/2</f>
        <v>3</v>
      </c>
    </row>
    <row r="17" spans="1:13" ht="12.75">
      <c r="A17" t="s">
        <v>6</v>
      </c>
      <c r="D17" s="8">
        <f>+D16/D15*100</f>
        <v>55.55555555555556</v>
      </c>
      <c r="H17" t="s">
        <v>6</v>
      </c>
      <c r="M17" s="8">
        <f>+M16/M15*100</f>
        <v>52.38095238095239</v>
      </c>
    </row>
    <row r="18" spans="1:24" ht="12.75">
      <c r="A18" t="s">
        <v>7</v>
      </c>
      <c r="D18" s="2">
        <v>195</v>
      </c>
      <c r="H18" t="s">
        <v>7</v>
      </c>
      <c r="M18" s="2">
        <v>255</v>
      </c>
      <c r="V18">
        <f>SUM(V11:V16)</f>
        <v>55</v>
      </c>
      <c r="W18">
        <f>SUM(W11:W16)</f>
        <v>68.5</v>
      </c>
      <c r="X18">
        <f>+W18+V18</f>
        <v>123.5</v>
      </c>
    </row>
    <row r="19" spans="1:23" ht="12.75">
      <c r="A19" t="s">
        <v>8</v>
      </c>
      <c r="D19" s="2">
        <v>2</v>
      </c>
      <c r="H19" t="s">
        <v>8</v>
      </c>
      <c r="M19" s="2">
        <v>5</v>
      </c>
      <c r="V19">
        <f>+V18/X18</f>
        <v>0.44534412955465585</v>
      </c>
      <c r="W19">
        <f>+W18/X18</f>
        <v>0.5546558704453441</v>
      </c>
    </row>
    <row r="20" spans="1:23" ht="12.75">
      <c r="A20" t="s">
        <v>9</v>
      </c>
      <c r="D20" s="2">
        <v>20</v>
      </c>
      <c r="H20" t="s">
        <v>9</v>
      </c>
      <c r="M20" s="2">
        <v>41</v>
      </c>
      <c r="V20">
        <f>+V19*60</f>
        <v>26.720647773279353</v>
      </c>
      <c r="W20">
        <f>+W19*60</f>
        <v>33.27935222672065</v>
      </c>
    </row>
    <row r="21" spans="1:23" ht="12.75">
      <c r="A21" t="s">
        <v>10</v>
      </c>
      <c r="D21">
        <f>+D18-D20</f>
        <v>175</v>
      </c>
      <c r="H21" t="s">
        <v>10</v>
      </c>
      <c r="M21">
        <f>+M18-M20</f>
        <v>214</v>
      </c>
      <c r="V21">
        <f>+V20-INT(V20)</f>
        <v>0.720647773279353</v>
      </c>
      <c r="W21">
        <f>+W20-INT(W20)</f>
        <v>0.27935222672064697</v>
      </c>
    </row>
    <row r="22" spans="1:23" ht="12.75">
      <c r="A22" t="s">
        <v>11</v>
      </c>
      <c r="D22" s="7">
        <f>+D21/(D15+D19)</f>
        <v>6.0344827586206895</v>
      </c>
      <c r="H22" t="s">
        <v>11</v>
      </c>
      <c r="M22" s="7">
        <f>+M21/(M15+M19)</f>
        <v>4.553191489361702</v>
      </c>
      <c r="V22">
        <f>+V21*60</f>
        <v>43.23886639676118</v>
      </c>
      <c r="W22">
        <f>+W21*60</f>
        <v>16.761133603238818</v>
      </c>
    </row>
    <row r="23" spans="1:23" ht="12.75">
      <c r="A23" t="s">
        <v>12</v>
      </c>
      <c r="D23" s="7">
        <f>+D18/D16</f>
        <v>13</v>
      </c>
      <c r="H23" t="s">
        <v>12</v>
      </c>
      <c r="M23" s="7">
        <f>+M18/M16</f>
        <v>11.590909090909092</v>
      </c>
      <c r="U23">
        <v>0</v>
      </c>
      <c r="V23" s="11">
        <f>ROUND(V22,0)</f>
        <v>43</v>
      </c>
      <c r="W23">
        <f>ROUND(W22,0)</f>
        <v>17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289</v>
      </c>
      <c r="H26" t="s">
        <v>14</v>
      </c>
      <c r="M26">
        <f>+M21+M12</f>
        <v>411</v>
      </c>
      <c r="V26" s="14" t="str">
        <f>+V24&amp;V25&amp;V23</f>
        <v>26:43</v>
      </c>
      <c r="W26" s="9" t="str">
        <f>+W24&amp;W25&amp;W23</f>
        <v>33:17</v>
      </c>
    </row>
    <row r="27" spans="1:23" ht="12.75">
      <c r="A27" t="s">
        <v>15</v>
      </c>
      <c r="D27" s="7">
        <f>+D12/D26*100</f>
        <v>39.44636678200692</v>
      </c>
      <c r="H27" t="s">
        <v>15</v>
      </c>
      <c r="M27" s="7">
        <f>+M12/M26*100</f>
        <v>47.93187347931874</v>
      </c>
      <c r="V27" s="9" t="str">
        <f>IF(V23&lt;10,+V24&amp;V25&amp;$U$23&amp;V23,+V24&amp;V25&amp;V23)</f>
        <v>26:43</v>
      </c>
      <c r="W27" s="9" t="str">
        <f>IF(W23&lt;10,+W24&amp;W25&amp;$U$23&amp;W23,+W24&amp;W25&amp;W23)</f>
        <v>33:17</v>
      </c>
    </row>
    <row r="28" spans="1:13" ht="12.75">
      <c r="A28" s="1" t="s">
        <v>86</v>
      </c>
      <c r="D28" s="7">
        <f>+D21/D26*100</f>
        <v>60.553633217993074</v>
      </c>
      <c r="H28" s="1" t="s">
        <v>86</v>
      </c>
      <c r="M28" s="7">
        <f>+M21/M26*100</f>
        <v>52.06812652068127</v>
      </c>
    </row>
    <row r="30" spans="1:13" ht="12.75">
      <c r="A30" t="s">
        <v>16</v>
      </c>
      <c r="D30">
        <f>+D11+D15+D19</f>
        <v>58</v>
      </c>
      <c r="H30" t="s">
        <v>16</v>
      </c>
      <c r="M30">
        <f>+M11+M15+M19</f>
        <v>78</v>
      </c>
    </row>
    <row r="31" spans="1:13" ht="12.75">
      <c r="A31" t="s">
        <v>17</v>
      </c>
      <c r="D31" s="8">
        <f>+D26/D30</f>
        <v>4.982758620689655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5.269230769230769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4</v>
      </c>
    </row>
    <row r="35" spans="1:13" ht="12.75">
      <c r="A35" t="s">
        <v>20</v>
      </c>
      <c r="D35" s="2">
        <v>1</v>
      </c>
      <c r="H35" t="s">
        <v>20</v>
      </c>
      <c r="M35" s="2">
        <v>32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4</v>
      </c>
    </row>
    <row r="39" spans="1:13" ht="12.75">
      <c r="A39" t="s">
        <v>23</v>
      </c>
      <c r="D39" s="2">
        <v>210</v>
      </c>
      <c r="H39" t="s">
        <v>23</v>
      </c>
      <c r="M39" s="2">
        <v>146</v>
      </c>
    </row>
    <row r="40" spans="1:13" ht="12.75">
      <c r="A40" t="s">
        <v>24</v>
      </c>
      <c r="D40" s="8">
        <f>+D39/D38</f>
        <v>42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36.5</v>
      </c>
    </row>
    <row r="42" spans="1:13" ht="12.75">
      <c r="A42" t="s">
        <v>25</v>
      </c>
      <c r="D42" s="2">
        <v>3</v>
      </c>
      <c r="H42" t="s">
        <v>25</v>
      </c>
      <c r="M42" s="2">
        <v>1</v>
      </c>
    </row>
    <row r="43" spans="1:13" ht="12.75">
      <c r="A43" t="s">
        <v>26</v>
      </c>
      <c r="D43" s="2">
        <v>19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6.333333333333333</v>
      </c>
      <c r="H44" t="s">
        <v>27</v>
      </c>
      <c r="M44" s="8">
        <f>+M43/M42</f>
        <v>0</v>
      </c>
    </row>
    <row r="45" spans="1:13" ht="12.75">
      <c r="A45" t="s">
        <v>106</v>
      </c>
      <c r="D45" s="2">
        <v>0</v>
      </c>
      <c r="H45" t="s">
        <v>106</v>
      </c>
      <c r="M45" s="2">
        <v>3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6</v>
      </c>
    </row>
    <row r="49" spans="1:13" ht="12.75">
      <c r="A49" t="s">
        <v>26</v>
      </c>
      <c r="D49" s="2">
        <v>30</v>
      </c>
      <c r="H49" t="s">
        <v>26</v>
      </c>
      <c r="M49" s="2">
        <v>113</v>
      </c>
    </row>
    <row r="50" spans="1:13" ht="12.75">
      <c r="A50" t="s">
        <v>27</v>
      </c>
      <c r="D50" s="8">
        <f>+D49/D48</f>
        <v>15</v>
      </c>
      <c r="H50" t="s">
        <v>27</v>
      </c>
      <c r="M50" s="8">
        <f>+M49/M48</f>
        <v>18.833333333333332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5</v>
      </c>
    </row>
    <row r="54" spans="1:13" ht="12.75">
      <c r="A54" t="s">
        <v>32</v>
      </c>
      <c r="D54" s="2">
        <v>40</v>
      </c>
      <c r="H54" t="s">
        <v>32</v>
      </c>
      <c r="M54" s="2">
        <v>40</v>
      </c>
    </row>
    <row r="56" spans="1:13" ht="12.75">
      <c r="A56" t="s">
        <v>33</v>
      </c>
      <c r="D56" s="2">
        <v>1</v>
      </c>
      <c r="H56" t="s">
        <v>33</v>
      </c>
      <c r="M56" s="2">
        <v>3</v>
      </c>
    </row>
    <row r="57" spans="1:13" ht="12.75">
      <c r="A57" t="s">
        <v>101</v>
      </c>
      <c r="D57" s="2">
        <v>1</v>
      </c>
      <c r="H57" t="s">
        <v>101</v>
      </c>
      <c r="M57" s="2">
        <v>3</v>
      </c>
    </row>
    <row r="59" spans="1:13" ht="12.75">
      <c r="A59" t="s">
        <v>34</v>
      </c>
      <c r="D59" s="2">
        <v>27</v>
      </c>
      <c r="H59" t="s">
        <v>34</v>
      </c>
      <c r="M59" s="2">
        <v>14</v>
      </c>
    </row>
    <row r="60" spans="1:13" ht="12.75">
      <c r="A60" t="s">
        <v>35</v>
      </c>
      <c r="D60" s="2">
        <v>3</v>
      </c>
      <c r="H60" t="s">
        <v>35</v>
      </c>
      <c r="M60" s="2">
        <v>2</v>
      </c>
    </row>
    <row r="61" spans="1:13" ht="12.75">
      <c r="A61" t="s">
        <v>36</v>
      </c>
      <c r="D61" s="2">
        <v>2</v>
      </c>
      <c r="H61" t="s">
        <v>36</v>
      </c>
      <c r="M61" s="2">
        <v>1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0</v>
      </c>
    </row>
    <row r="67" spans="1:13" ht="12.75">
      <c r="A67" t="s">
        <v>42</v>
      </c>
      <c r="D67" s="2">
        <v>3</v>
      </c>
      <c r="H67" t="s">
        <v>42</v>
      </c>
      <c r="M67" s="2">
        <v>0</v>
      </c>
    </row>
    <row r="68" spans="1:13" ht="12.75">
      <c r="A68" t="s">
        <v>43</v>
      </c>
      <c r="D68" s="8">
        <f>+D66/D67*100</f>
        <v>66.66666666666666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v>0</v>
      </c>
    </row>
    <row r="69" spans="1:13" ht="12.75">
      <c r="A69" t="s">
        <v>92</v>
      </c>
      <c r="D69" s="10">
        <v>26.42</v>
      </c>
      <c r="E69" s="8"/>
      <c r="F69" s="8"/>
      <c r="H69" t="s">
        <v>92</v>
      </c>
      <c r="M69" s="10" t="str">
        <f>IF(W23&lt;10,W27,W26)</f>
        <v>33:17</v>
      </c>
    </row>
    <row r="70" spans="1:13" ht="12.75">
      <c r="A70" t="s">
        <v>102</v>
      </c>
      <c r="D70" s="23">
        <f>D154</f>
        <v>45.45454545454545</v>
      </c>
      <c r="E70" s="8"/>
      <c r="F70" s="8"/>
      <c r="H70" t="s">
        <v>102</v>
      </c>
      <c r="M70" s="23">
        <f>M154</f>
        <v>43.75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17</v>
      </c>
      <c r="D74">
        <v>64</v>
      </c>
      <c r="E74" s="12">
        <f aca="true" t="shared" si="0" ref="E74:E82">+D74/C74</f>
        <v>3.764705882352941</v>
      </c>
      <c r="F74">
        <v>38</v>
      </c>
      <c r="G74">
        <v>1</v>
      </c>
      <c r="H74">
        <v>0</v>
      </c>
    </row>
    <row r="75" spans="1:8" ht="12.75">
      <c r="A75" t="s">
        <v>110</v>
      </c>
      <c r="C75">
        <v>8</v>
      </c>
      <c r="D75">
        <v>34</v>
      </c>
      <c r="E75" s="12">
        <f t="shared" si="0"/>
        <v>4.25</v>
      </c>
      <c r="F75">
        <v>13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3</v>
      </c>
      <c r="D77">
        <v>9</v>
      </c>
      <c r="E77" s="12">
        <f t="shared" si="0"/>
        <v>3</v>
      </c>
      <c r="F77">
        <v>5</v>
      </c>
      <c r="G77">
        <v>1</v>
      </c>
      <c r="H77">
        <v>0</v>
      </c>
    </row>
    <row r="78" spans="1:8" ht="12.75">
      <c r="A78" t="s">
        <v>113</v>
      </c>
      <c r="C78">
        <v>1</v>
      </c>
      <c r="D78">
        <v>7</v>
      </c>
      <c r="E78" s="12">
        <f t="shared" si="0"/>
        <v>7</v>
      </c>
      <c r="F78">
        <v>7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4</v>
      </c>
      <c r="D85">
        <v>56</v>
      </c>
      <c r="E85" s="12">
        <f aca="true" t="shared" si="1" ref="E85:E96">+D85/C85</f>
        <v>14</v>
      </c>
      <c r="F85">
        <v>35</v>
      </c>
      <c r="G85">
        <v>0</v>
      </c>
      <c r="H85">
        <v>0</v>
      </c>
    </row>
    <row r="86" spans="1:5" ht="12.75">
      <c r="A86" t="s">
        <v>118</v>
      </c>
      <c r="E86" s="12" t="e">
        <f t="shared" si="1"/>
        <v>#DIV/0!</v>
      </c>
    </row>
    <row r="87" spans="1:8" ht="12.75">
      <c r="A87" t="s">
        <v>113</v>
      </c>
      <c r="C87">
        <v>5</v>
      </c>
      <c r="D87">
        <v>78</v>
      </c>
      <c r="E87" s="12">
        <f t="shared" si="1"/>
        <v>15.6</v>
      </c>
      <c r="F87">
        <v>27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43</v>
      </c>
      <c r="E88" s="12">
        <f t="shared" si="1"/>
        <v>14.333333333333334</v>
      </c>
      <c r="F88">
        <v>17</v>
      </c>
      <c r="G88">
        <v>0</v>
      </c>
      <c r="H88">
        <v>0</v>
      </c>
    </row>
    <row r="89" spans="1:8" ht="12.75">
      <c r="A89" t="s">
        <v>116</v>
      </c>
      <c r="C89">
        <v>1</v>
      </c>
      <c r="D89">
        <v>6</v>
      </c>
      <c r="E89" s="12">
        <f t="shared" si="1"/>
        <v>6</v>
      </c>
      <c r="F89">
        <v>6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-3</v>
      </c>
      <c r="E90" s="12">
        <f t="shared" si="1"/>
        <v>-3</v>
      </c>
      <c r="F90">
        <v>-3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8" ht="12.75">
      <c r="A92" t="s">
        <v>120</v>
      </c>
      <c r="C92">
        <v>1</v>
      </c>
      <c r="D92">
        <v>15</v>
      </c>
      <c r="E92" s="12">
        <f t="shared" si="1"/>
        <v>15</v>
      </c>
      <c r="F92">
        <v>15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27</v>
      </c>
      <c r="D100">
        <v>15</v>
      </c>
      <c r="E100" s="12">
        <f>+D100/C100*100</f>
        <v>55.55555555555556</v>
      </c>
      <c r="F100">
        <v>195</v>
      </c>
      <c r="G100">
        <v>0</v>
      </c>
      <c r="H100">
        <v>35</v>
      </c>
      <c r="I100">
        <v>1</v>
      </c>
      <c r="J100" s="8">
        <f>+G100/C100*100</f>
        <v>0</v>
      </c>
      <c r="K100" s="12">
        <f>+I100/C100*100</f>
        <v>3.7037037037037033</v>
      </c>
      <c r="L100" s="12">
        <f>+F100/C100</f>
        <v>7.222222222222222</v>
      </c>
      <c r="M100" s="12">
        <f>100*(S100+U100+W100+Y100)/6</f>
        <v>63.04012345679013</v>
      </c>
      <c r="R100">
        <f>+(E100-30)/20</f>
        <v>1.277777777777778</v>
      </c>
      <c r="S100" s="2">
        <f>IF(R100&lt;0,0,IF(R100&gt;2.375,2.375,R100))</f>
        <v>1.277777777777778</v>
      </c>
      <c r="T100" s="6">
        <f>+(L100-3)/4</f>
        <v>1.0555555555555556</v>
      </c>
      <c r="U100" s="2">
        <f>IF(T100&lt;0,0,IF(T100&gt;2.375,2.375,T100))</f>
        <v>1.0555555555555556</v>
      </c>
      <c r="V100">
        <f>+J100/5</f>
        <v>0</v>
      </c>
      <c r="W100" s="2">
        <f>IF(V100&lt;0,0,IF(V100&gt;2.375,2.375,V100))</f>
        <v>0</v>
      </c>
      <c r="X100">
        <f>(9.5-K100)/4</f>
        <v>1.4490740740740742</v>
      </c>
      <c r="Y100" s="2">
        <f>IF(X100&lt;0,0,X100)</f>
        <v>1.4490740740740742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0</v>
      </c>
      <c r="E107">
        <v>19</v>
      </c>
      <c r="F107" s="12">
        <f>+E107/C107</f>
        <v>6.333333333333333</v>
      </c>
      <c r="G107">
        <v>9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1</v>
      </c>
      <c r="D110">
        <v>21</v>
      </c>
      <c r="E110" s="12">
        <f aca="true" t="shared" si="2" ref="E110:E115">+D110/C110</f>
        <v>21</v>
      </c>
      <c r="F110">
        <v>21</v>
      </c>
      <c r="G110">
        <v>0</v>
      </c>
      <c r="H110">
        <v>0</v>
      </c>
    </row>
    <row r="111" spans="1:8" ht="12.75">
      <c r="A111" t="s">
        <v>112</v>
      </c>
      <c r="C111">
        <v>1</v>
      </c>
      <c r="D111">
        <v>9</v>
      </c>
      <c r="E111" s="12">
        <f t="shared" si="2"/>
        <v>9</v>
      </c>
      <c r="F111">
        <v>9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5</v>
      </c>
      <c r="D118">
        <v>210</v>
      </c>
      <c r="E118" s="12">
        <f>+D118/C118</f>
        <v>42</v>
      </c>
      <c r="F118">
        <v>55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7</v>
      </c>
      <c r="D121">
        <v>1</v>
      </c>
      <c r="E121">
        <v>3</v>
      </c>
      <c r="F121">
        <v>3</v>
      </c>
      <c r="G121">
        <v>3</v>
      </c>
      <c r="H121">
        <v>2</v>
      </c>
      <c r="I121" s="12">
        <f>+H121/G121*100</f>
        <v>66.66666666666666</v>
      </c>
      <c r="J121">
        <v>45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2</v>
      </c>
      <c r="D124">
        <v>30</v>
      </c>
      <c r="E124" s="12">
        <f>+D124/C124</f>
        <v>15</v>
      </c>
      <c r="F124">
        <v>26</v>
      </c>
      <c r="G124">
        <v>0</v>
      </c>
      <c r="H124">
        <v>0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8" ht="12.75">
      <c r="A130" t="s">
        <v>123</v>
      </c>
      <c r="C130">
        <v>1</v>
      </c>
      <c r="D130">
        <v>4</v>
      </c>
      <c r="E130" s="12">
        <f t="shared" si="3"/>
        <v>4</v>
      </c>
      <c r="F130">
        <v>4</v>
      </c>
      <c r="G130">
        <v>0</v>
      </c>
      <c r="H130">
        <v>0</v>
      </c>
    </row>
    <row r="131" spans="1:8" ht="12.75">
      <c r="A131" t="s">
        <v>132</v>
      </c>
      <c r="C131">
        <v>1</v>
      </c>
      <c r="D131">
        <v>-2</v>
      </c>
      <c r="E131" s="12">
        <f t="shared" si="3"/>
        <v>-2</v>
      </c>
      <c r="F131">
        <v>-2</v>
      </c>
      <c r="G131">
        <v>0</v>
      </c>
      <c r="H131">
        <v>0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3</v>
      </c>
    </row>
    <row r="136" ht="12.75">
      <c r="A136" t="s">
        <v>135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130</v>
      </c>
    </row>
    <row r="140" spans="1:3" ht="12.75">
      <c r="A140" t="s">
        <v>107</v>
      </c>
      <c r="C140">
        <v>2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11</v>
      </c>
      <c r="H152" t="s">
        <v>93</v>
      </c>
      <c r="M152">
        <v>16</v>
      </c>
    </row>
    <row r="153" spans="1:13" ht="12.75">
      <c r="A153" t="s">
        <v>94</v>
      </c>
      <c r="D153">
        <v>5</v>
      </c>
      <c r="H153" t="s">
        <v>94</v>
      </c>
      <c r="M153">
        <v>7</v>
      </c>
    </row>
    <row r="154" spans="1:13" ht="12.75">
      <c r="A154" t="s">
        <v>95</v>
      </c>
      <c r="D154" s="8">
        <f>D153/D152*100</f>
        <v>45.45454545454545</v>
      </c>
      <c r="H154" t="s">
        <v>95</v>
      </c>
      <c r="M154" s="8">
        <f>+M153/M152*100</f>
        <v>43.75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18</v>
      </c>
    </row>
    <row r="7" spans="1:13" ht="12.75">
      <c r="A7" s="1" t="s">
        <v>103</v>
      </c>
      <c r="D7" s="2">
        <v>8</v>
      </c>
      <c r="H7" s="1" t="s">
        <v>103</v>
      </c>
      <c r="M7" s="2">
        <v>2</v>
      </c>
    </row>
    <row r="8" spans="1:13" ht="12.75">
      <c r="A8" s="1" t="s">
        <v>105</v>
      </c>
      <c r="D8" s="2">
        <v>10</v>
      </c>
      <c r="H8" s="1" t="s">
        <v>105</v>
      </c>
      <c r="M8" s="2">
        <v>15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13" ht="12.75">
      <c r="A11" t="s">
        <v>1</v>
      </c>
      <c r="D11" s="2">
        <v>26</v>
      </c>
      <c r="H11" t="s">
        <v>1</v>
      </c>
      <c r="M11" s="2">
        <v>23</v>
      </c>
    </row>
    <row r="12" spans="1:13" ht="12.75">
      <c r="A12" t="s">
        <v>2</v>
      </c>
      <c r="D12" s="2">
        <v>72</v>
      </c>
      <c r="H12" t="s">
        <v>2</v>
      </c>
      <c r="M12" s="2">
        <v>40</v>
      </c>
    </row>
    <row r="13" spans="1:13" ht="12.75">
      <c r="A13" s="1" t="s">
        <v>3</v>
      </c>
      <c r="D13" s="8">
        <f>+D12/D11</f>
        <v>2.769230769230769</v>
      </c>
      <c r="H13" s="1" t="s">
        <v>3</v>
      </c>
      <c r="M13" s="8">
        <f>+M12/M11</f>
        <v>1.7391304347826086</v>
      </c>
    </row>
    <row r="15" spans="1:13" ht="12.75">
      <c r="A15" t="s">
        <v>4</v>
      </c>
      <c r="D15" s="2">
        <v>35</v>
      </c>
      <c r="H15" t="s">
        <v>4</v>
      </c>
      <c r="M15" s="2">
        <v>34</v>
      </c>
    </row>
    <row r="16" spans="1:13" ht="12.75">
      <c r="A16" t="s">
        <v>5</v>
      </c>
      <c r="D16" s="2">
        <v>19</v>
      </c>
      <c r="H16" t="s">
        <v>5</v>
      </c>
      <c r="M16" s="2">
        <v>21</v>
      </c>
    </row>
    <row r="17" spans="1:13" ht="12.75">
      <c r="A17" t="s">
        <v>6</v>
      </c>
      <c r="D17" s="8">
        <f>+D16/D15*100</f>
        <v>54.285714285714285</v>
      </c>
      <c r="H17" t="s">
        <v>6</v>
      </c>
      <c r="M17" s="8">
        <f>+M16/M15*100</f>
        <v>61.76470588235294</v>
      </c>
    </row>
    <row r="18" spans="1:13" ht="12.75">
      <c r="A18" t="s">
        <v>7</v>
      </c>
      <c r="D18" s="2">
        <v>270</v>
      </c>
      <c r="H18" t="s">
        <v>7</v>
      </c>
      <c r="M18" s="2">
        <v>332</v>
      </c>
    </row>
    <row r="19" spans="1:13" ht="12.75">
      <c r="A19" t="s">
        <v>8</v>
      </c>
      <c r="D19" s="2">
        <v>2</v>
      </c>
      <c r="H19" t="s">
        <v>8</v>
      </c>
      <c r="M19" s="2">
        <v>4</v>
      </c>
    </row>
    <row r="20" spans="1:13" ht="12.75">
      <c r="A20" t="s">
        <v>9</v>
      </c>
      <c r="D20" s="2">
        <v>12</v>
      </c>
      <c r="H20" t="s">
        <v>9</v>
      </c>
      <c r="M20" s="2">
        <v>33</v>
      </c>
    </row>
    <row r="21" spans="1:13" ht="12.75">
      <c r="A21" t="s">
        <v>10</v>
      </c>
      <c r="D21">
        <f>+D18-D20</f>
        <v>258</v>
      </c>
      <c r="H21" t="s">
        <v>10</v>
      </c>
      <c r="M21">
        <f>+M18-M20</f>
        <v>299</v>
      </c>
    </row>
    <row r="22" spans="1:13" ht="12.75">
      <c r="A22" t="s">
        <v>11</v>
      </c>
      <c r="D22" s="7">
        <f>+D21/(D15+D19)</f>
        <v>6.972972972972973</v>
      </c>
      <c r="H22" t="s">
        <v>11</v>
      </c>
      <c r="M22" s="7">
        <f>+M21/(M15+M19)</f>
        <v>7.868421052631579</v>
      </c>
    </row>
    <row r="23" spans="1:13" ht="12.75">
      <c r="A23" t="s">
        <v>12</v>
      </c>
      <c r="D23" s="7">
        <f>+D18/D16</f>
        <v>14.210526315789474</v>
      </c>
      <c r="H23" t="s">
        <v>12</v>
      </c>
      <c r="M23" s="7">
        <f>+M18/M16</f>
        <v>15.80952380952381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330</v>
      </c>
      <c r="H26" t="s">
        <v>14</v>
      </c>
      <c r="M26">
        <f>+M21+M12</f>
        <v>339</v>
      </c>
    </row>
    <row r="27" spans="1:13" ht="12.75">
      <c r="A27" t="s">
        <v>15</v>
      </c>
      <c r="D27" s="7">
        <f>+D12/D26*100</f>
        <v>21.818181818181817</v>
      </c>
      <c r="H27" t="s">
        <v>15</v>
      </c>
      <c r="M27" s="7">
        <f>+M12/M26*100</f>
        <v>11.799410029498524</v>
      </c>
    </row>
    <row r="28" spans="1:13" ht="12.75">
      <c r="A28" s="1" t="s">
        <v>86</v>
      </c>
      <c r="D28" s="7">
        <f>+D21/D26*100</f>
        <v>78.18181818181819</v>
      </c>
      <c r="H28" s="1" t="s">
        <v>86</v>
      </c>
      <c r="M28" s="7">
        <f>+M21/M26*100</f>
        <v>88.20058997050147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61</v>
      </c>
    </row>
    <row r="31" spans="1:13" ht="12.75">
      <c r="A31" t="s">
        <v>17</v>
      </c>
      <c r="D31" s="8">
        <f>+D26/D30</f>
        <v>5.238095238095238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5.557377049180328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21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6</v>
      </c>
    </row>
    <row r="39" spans="1:13" ht="12.75">
      <c r="A39" t="s">
        <v>23</v>
      </c>
      <c r="D39" s="2">
        <v>187</v>
      </c>
      <c r="H39" t="s">
        <v>23</v>
      </c>
      <c r="M39" s="2">
        <v>285</v>
      </c>
    </row>
    <row r="40" spans="1:13" ht="12.75">
      <c r="A40" t="s">
        <v>24</v>
      </c>
      <c r="D40" s="8">
        <f>+D39/D38</f>
        <v>46.75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47.5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22</v>
      </c>
      <c r="H43" t="s">
        <v>26</v>
      </c>
      <c r="M43" s="2">
        <v>23</v>
      </c>
    </row>
    <row r="44" spans="1:13" ht="12.75">
      <c r="A44" t="s">
        <v>27</v>
      </c>
      <c r="D44" s="8">
        <f>+D43/D42</f>
        <v>7.333333333333333</v>
      </c>
      <c r="H44" t="s">
        <v>27</v>
      </c>
      <c r="M44" s="8">
        <f>+M43/M42</f>
        <v>7.666666666666667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5</v>
      </c>
    </row>
    <row r="49" spans="1:13" ht="12.75">
      <c r="A49" t="s">
        <v>26</v>
      </c>
      <c r="D49" s="2">
        <v>204</v>
      </c>
      <c r="H49" t="s">
        <v>26</v>
      </c>
      <c r="M49" s="2">
        <v>184</v>
      </c>
    </row>
    <row r="50" spans="1:13" ht="12.75">
      <c r="A50" t="s">
        <v>27</v>
      </c>
      <c r="D50" s="8">
        <f>+D49/D48</f>
        <v>34</v>
      </c>
      <c r="H50" t="s">
        <v>27</v>
      </c>
      <c r="M50" s="8">
        <f>+M49/M48</f>
        <v>36.8</v>
      </c>
    </row>
    <row r="51" spans="1:13" ht="12.75">
      <c r="A51" t="s">
        <v>28</v>
      </c>
      <c r="D51" s="2">
        <v>1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7</v>
      </c>
    </row>
    <row r="54" spans="1:13" ht="12.75">
      <c r="A54" t="s">
        <v>32</v>
      </c>
      <c r="D54" s="2">
        <v>55</v>
      </c>
      <c r="H54" t="s">
        <v>32</v>
      </c>
      <c r="M54" s="2">
        <v>39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30</v>
      </c>
      <c r="H59" t="s">
        <v>34</v>
      </c>
      <c r="M59" s="2">
        <v>33</v>
      </c>
    </row>
    <row r="60" spans="1:13" ht="12.75">
      <c r="A60" t="s">
        <v>35</v>
      </c>
      <c r="D60" s="2">
        <v>3</v>
      </c>
      <c r="H60" t="s">
        <v>35</v>
      </c>
      <c r="M60" s="2">
        <v>3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2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4</v>
      </c>
    </row>
    <row r="67" spans="1:13" ht="12.75">
      <c r="A67" t="s">
        <v>42</v>
      </c>
      <c r="D67" s="2">
        <v>3</v>
      </c>
      <c r="H67" t="s">
        <v>42</v>
      </c>
      <c r="M67" s="2">
        <v>5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80</v>
      </c>
    </row>
    <row r="69" spans="1:13" ht="12.75">
      <c r="A69" t="s">
        <v>92</v>
      </c>
      <c r="D69" s="10">
        <f>IF(V23&lt;10,V27,V26)</f>
        <v>0</v>
      </c>
      <c r="E69" s="8"/>
      <c r="F69" s="8"/>
      <c r="H69" t="s">
        <v>91</v>
      </c>
      <c r="M69" s="10"/>
    </row>
    <row r="70" spans="1:13" ht="12.75">
      <c r="A70" t="s">
        <v>102</v>
      </c>
      <c r="D70" s="23">
        <f>D154</f>
        <v>50</v>
      </c>
      <c r="E70" s="8"/>
      <c r="F70" s="8"/>
      <c r="H70" t="s">
        <v>102</v>
      </c>
      <c r="M70" s="23">
        <f>M154</f>
        <v>15.384615384615385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16</v>
      </c>
      <c r="D74">
        <v>28</v>
      </c>
      <c r="E74" s="12">
        <f aca="true" t="shared" si="0" ref="E74:E82">+D74/C74</f>
        <v>1.75</v>
      </c>
      <c r="F74">
        <v>8</v>
      </c>
      <c r="G74">
        <v>1</v>
      </c>
      <c r="H74">
        <v>0</v>
      </c>
    </row>
    <row r="75" spans="1:8" ht="12.75">
      <c r="A75" t="s">
        <v>110</v>
      </c>
      <c r="C75">
        <v>8</v>
      </c>
      <c r="D75">
        <v>46</v>
      </c>
      <c r="E75" s="12">
        <f t="shared" si="0"/>
        <v>5.75</v>
      </c>
      <c r="F75">
        <v>16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2</v>
      </c>
      <c r="D77">
        <v>-2</v>
      </c>
      <c r="E77" s="12">
        <f t="shared" si="0"/>
        <v>-1</v>
      </c>
      <c r="F77">
        <v>2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8</v>
      </c>
      <c r="D85">
        <v>149</v>
      </c>
      <c r="E85" s="12">
        <f aca="true" t="shared" si="1" ref="E85:E96">+D85/C85</f>
        <v>18.625</v>
      </c>
      <c r="F85">
        <v>66</v>
      </c>
      <c r="G85">
        <v>1</v>
      </c>
      <c r="H85">
        <v>0</v>
      </c>
    </row>
    <row r="86" spans="1:8" ht="12.75">
      <c r="A86" t="s">
        <v>118</v>
      </c>
      <c r="C86">
        <v>3</v>
      </c>
      <c r="D86">
        <v>27</v>
      </c>
      <c r="E86" s="12">
        <f t="shared" si="1"/>
        <v>9</v>
      </c>
      <c r="F86">
        <v>12</v>
      </c>
      <c r="G86">
        <v>0</v>
      </c>
      <c r="H86">
        <v>0</v>
      </c>
    </row>
    <row r="87" spans="1:8" ht="12.75">
      <c r="A87" t="s">
        <v>113</v>
      </c>
      <c r="C87">
        <v>2</v>
      </c>
      <c r="D87">
        <v>45</v>
      </c>
      <c r="E87" s="12">
        <f t="shared" si="1"/>
        <v>22.5</v>
      </c>
      <c r="F87">
        <v>30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13</v>
      </c>
      <c r="E88" s="12">
        <f t="shared" si="1"/>
        <v>13</v>
      </c>
      <c r="F88">
        <v>13</v>
      </c>
      <c r="G88">
        <v>0</v>
      </c>
      <c r="H88">
        <v>0</v>
      </c>
    </row>
    <row r="89" spans="1:8" ht="12.75">
      <c r="A89" t="s">
        <v>116</v>
      </c>
      <c r="C89">
        <v>3</v>
      </c>
      <c r="D89">
        <v>20</v>
      </c>
      <c r="E89" s="12">
        <f t="shared" si="1"/>
        <v>6.666666666666667</v>
      </c>
      <c r="F89">
        <v>9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1</v>
      </c>
      <c r="D91">
        <v>9</v>
      </c>
      <c r="E91" s="12">
        <f t="shared" si="1"/>
        <v>9</v>
      </c>
      <c r="F91">
        <v>9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8" ht="12.75">
      <c r="A93" t="s">
        <v>121</v>
      </c>
      <c r="C93">
        <v>1</v>
      </c>
      <c r="D93">
        <v>7</v>
      </c>
      <c r="E93" s="12">
        <f t="shared" si="1"/>
        <v>7</v>
      </c>
      <c r="F93">
        <v>7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35</v>
      </c>
      <c r="D100">
        <v>19</v>
      </c>
      <c r="E100" s="12">
        <f>+D100/C100*100</f>
        <v>54.285714285714285</v>
      </c>
      <c r="F100">
        <v>270</v>
      </c>
      <c r="G100">
        <v>1</v>
      </c>
      <c r="H100">
        <v>66</v>
      </c>
      <c r="I100">
        <v>3</v>
      </c>
      <c r="J100" s="8">
        <f>+G100/C100*100</f>
        <v>2.857142857142857</v>
      </c>
      <c r="K100" s="12">
        <f>+I100/C100*100</f>
        <v>8.571428571428571</v>
      </c>
      <c r="L100" s="12">
        <f>+F100/C100</f>
        <v>7.714285714285714</v>
      </c>
      <c r="M100" s="12">
        <f>100*(S100+U100+W100+Y100)/6</f>
        <v>53.273809523809526</v>
      </c>
      <c r="R100">
        <f>+(E100-30)/20</f>
        <v>1.2142857142857142</v>
      </c>
      <c r="S100" s="2">
        <f>IF(R100&lt;0,0,IF(R100&gt;2.375,2.375,R100))</f>
        <v>1.2142857142857142</v>
      </c>
      <c r="T100" s="6">
        <f>+(L100-3)/4</f>
        <v>1.1785714285714286</v>
      </c>
      <c r="U100" s="2">
        <f>IF(T100&lt;0,0,IF(T100&gt;2.375,2.375,T100))</f>
        <v>1.1785714285714286</v>
      </c>
      <c r="V100">
        <f>+J100/5</f>
        <v>0.5714285714285714</v>
      </c>
      <c r="W100" s="2">
        <f>IF(V100&lt;0,0,IF(V100&gt;2.375,2.375,V100))</f>
        <v>0.5714285714285714</v>
      </c>
      <c r="X100">
        <f>(9.5-K100)/4</f>
        <v>0.2321428571428572</v>
      </c>
      <c r="Y100" s="2">
        <f>IF(X100&lt;0,0,X100)</f>
        <v>0.2321428571428572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0</v>
      </c>
      <c r="E107">
        <v>22</v>
      </c>
      <c r="F107" s="12">
        <f>+E107/C107</f>
        <v>7.333333333333333</v>
      </c>
      <c r="G107">
        <v>15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2</v>
      </c>
      <c r="D110">
        <v>133</v>
      </c>
      <c r="E110" s="12">
        <f aca="true" t="shared" si="2" ref="E110:E115">+D110/C110</f>
        <v>66.5</v>
      </c>
      <c r="F110">
        <v>97</v>
      </c>
      <c r="G110">
        <v>1</v>
      </c>
      <c r="H110">
        <v>0</v>
      </c>
    </row>
    <row r="111" spans="1:8" ht="12.75">
      <c r="A111" t="s">
        <v>112</v>
      </c>
      <c r="C111">
        <v>3</v>
      </c>
      <c r="D111">
        <v>51</v>
      </c>
      <c r="E111" s="12">
        <f t="shared" si="2"/>
        <v>17</v>
      </c>
      <c r="F111">
        <v>31</v>
      </c>
      <c r="G111">
        <v>0</v>
      </c>
      <c r="H111">
        <v>0</v>
      </c>
    </row>
    <row r="112" spans="1:8" ht="12.75">
      <c r="A112" t="s">
        <v>123</v>
      </c>
      <c r="C112">
        <v>1</v>
      </c>
      <c r="D112">
        <v>20</v>
      </c>
      <c r="E112" s="12">
        <f t="shared" si="2"/>
        <v>20</v>
      </c>
      <c r="F112">
        <v>20</v>
      </c>
      <c r="G112">
        <v>0</v>
      </c>
      <c r="H112">
        <v>1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4</v>
      </c>
      <c r="D118">
        <v>187</v>
      </c>
      <c r="E118" s="12">
        <f>+D118/C118</f>
        <v>46.75</v>
      </c>
      <c r="F118">
        <v>52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5</v>
      </c>
      <c r="D121">
        <v>1</v>
      </c>
      <c r="E121">
        <v>3</v>
      </c>
      <c r="F121">
        <v>3</v>
      </c>
      <c r="G121">
        <v>3</v>
      </c>
      <c r="H121">
        <v>3</v>
      </c>
      <c r="I121" s="12">
        <f>+H121/G121*100</f>
        <v>100</v>
      </c>
      <c r="J121">
        <v>46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0.5</v>
      </c>
    </row>
    <row r="136" spans="1:3" ht="12.75">
      <c r="A136" t="s">
        <v>135</v>
      </c>
      <c r="C136">
        <v>0.5</v>
      </c>
    </row>
    <row r="137" spans="1:3" ht="12.75">
      <c r="A137" t="s">
        <v>136</v>
      </c>
      <c r="C137">
        <v>0.5</v>
      </c>
    </row>
    <row r="138" ht="12.75">
      <c r="A138" t="s">
        <v>137</v>
      </c>
    </row>
    <row r="139" spans="1:3" ht="12.75">
      <c r="A139" t="s">
        <v>130</v>
      </c>
      <c r="C139">
        <v>1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spans="1:3" ht="12.75">
      <c r="A145" t="s">
        <v>140</v>
      </c>
      <c r="C145">
        <v>0.5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spans="1:3" ht="12.75">
      <c r="A149" t="s">
        <v>142</v>
      </c>
      <c r="C149">
        <v>1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14</v>
      </c>
      <c r="H152" t="s">
        <v>93</v>
      </c>
      <c r="M152">
        <v>13</v>
      </c>
    </row>
    <row r="153" spans="1:13" ht="12.75">
      <c r="A153" t="s">
        <v>94</v>
      </c>
      <c r="D153">
        <v>7</v>
      </c>
      <c r="H153" t="s">
        <v>94</v>
      </c>
      <c r="M153">
        <v>2</v>
      </c>
    </row>
    <row r="154" spans="1:13" ht="12.75">
      <c r="A154" t="s">
        <v>95</v>
      </c>
      <c r="D154">
        <f>D153/D152*100</f>
        <v>50</v>
      </c>
      <c r="H154" t="s">
        <v>95</v>
      </c>
      <c r="M154">
        <f>+M153/M152*100</f>
        <v>15.384615384615385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Y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21</v>
      </c>
      <c r="H6" s="1" t="s">
        <v>29</v>
      </c>
      <c r="M6" s="2">
        <f>M7+M8+M9</f>
        <v>20</v>
      </c>
    </row>
    <row r="7" spans="1:13" ht="12.75">
      <c r="A7" s="1" t="s">
        <v>103</v>
      </c>
      <c r="D7" s="2">
        <v>7</v>
      </c>
      <c r="H7" s="1" t="s">
        <v>103</v>
      </c>
      <c r="M7" s="2">
        <v>8</v>
      </c>
    </row>
    <row r="8" spans="1:13" ht="12.75">
      <c r="A8" s="1" t="s">
        <v>105</v>
      </c>
      <c r="D8" s="2">
        <v>13</v>
      </c>
      <c r="H8" s="1" t="s">
        <v>105</v>
      </c>
      <c r="M8" s="2">
        <v>8</v>
      </c>
    </row>
    <row r="9" spans="1:13" ht="12.75">
      <c r="A9" s="1" t="s">
        <v>104</v>
      </c>
      <c r="D9" s="2">
        <v>1</v>
      </c>
      <c r="H9" s="1" t="s">
        <v>104</v>
      </c>
      <c r="M9" s="2">
        <v>4</v>
      </c>
    </row>
    <row r="11" spans="1:13" ht="12.75">
      <c r="A11" t="s">
        <v>1</v>
      </c>
      <c r="D11" s="2">
        <v>24</v>
      </c>
      <c r="H11" t="s">
        <v>1</v>
      </c>
      <c r="M11" s="2">
        <v>38</v>
      </c>
    </row>
    <row r="12" spans="1:13" ht="12.75">
      <c r="A12" t="s">
        <v>2</v>
      </c>
      <c r="D12" s="2">
        <v>117</v>
      </c>
      <c r="H12" t="s">
        <v>2</v>
      </c>
      <c r="M12" s="2">
        <v>133</v>
      </c>
    </row>
    <row r="13" spans="1:13" ht="12.75">
      <c r="A13" s="1" t="s">
        <v>3</v>
      </c>
      <c r="D13" s="8">
        <f>+D12/D11</f>
        <v>4.875</v>
      </c>
      <c r="H13" s="1" t="s">
        <v>3</v>
      </c>
      <c r="M13" s="8">
        <f>+M12/M11</f>
        <v>3.5</v>
      </c>
    </row>
    <row r="15" spans="1:13" ht="12.75">
      <c r="A15" t="s">
        <v>4</v>
      </c>
      <c r="D15" s="2">
        <v>34</v>
      </c>
      <c r="H15" t="s">
        <v>4</v>
      </c>
      <c r="M15" s="2">
        <v>33</v>
      </c>
    </row>
    <row r="16" spans="1:13" ht="12.75">
      <c r="A16" t="s">
        <v>5</v>
      </c>
      <c r="D16" s="2">
        <v>24</v>
      </c>
      <c r="H16" t="s">
        <v>5</v>
      </c>
      <c r="M16" s="2">
        <v>18</v>
      </c>
    </row>
    <row r="17" spans="1:13" ht="12.75">
      <c r="A17" t="s">
        <v>6</v>
      </c>
      <c r="D17" s="8">
        <f>+D16/D15*100</f>
        <v>70.58823529411765</v>
      </c>
      <c r="H17" t="s">
        <v>6</v>
      </c>
      <c r="M17" s="8">
        <f>+M16/M15*100</f>
        <v>54.54545454545454</v>
      </c>
    </row>
    <row r="18" spans="1:13" ht="12.75">
      <c r="A18" t="s">
        <v>7</v>
      </c>
      <c r="D18" s="2">
        <v>298</v>
      </c>
      <c r="H18" t="s">
        <v>7</v>
      </c>
      <c r="M18" s="2">
        <v>168</v>
      </c>
    </row>
    <row r="19" spans="1:13" ht="12.75">
      <c r="A19" t="s">
        <v>8</v>
      </c>
      <c r="D19" s="2">
        <v>2</v>
      </c>
      <c r="H19" t="s">
        <v>8</v>
      </c>
      <c r="M19" s="2">
        <v>1</v>
      </c>
    </row>
    <row r="20" spans="1:13" ht="12.75">
      <c r="A20" t="s">
        <v>9</v>
      </c>
      <c r="D20" s="2">
        <v>15</v>
      </c>
      <c r="H20" t="s">
        <v>9</v>
      </c>
      <c r="M20" s="2">
        <v>17</v>
      </c>
    </row>
    <row r="21" spans="1:13" ht="12.75">
      <c r="A21" t="s">
        <v>10</v>
      </c>
      <c r="D21">
        <f>+D18-D20</f>
        <v>283</v>
      </c>
      <c r="H21" t="s">
        <v>10</v>
      </c>
      <c r="M21">
        <f>+M18-M20</f>
        <v>151</v>
      </c>
    </row>
    <row r="22" spans="1:13" ht="12.75">
      <c r="A22" t="s">
        <v>11</v>
      </c>
      <c r="D22" s="7">
        <f>+D21/(D15+D19)</f>
        <v>7.861111111111111</v>
      </c>
      <c r="H22" t="s">
        <v>11</v>
      </c>
      <c r="M22" s="7">
        <f>+M21/(M15+M19)</f>
        <v>4.4411764705882355</v>
      </c>
    </row>
    <row r="23" spans="1:13" ht="12.75">
      <c r="A23" t="s">
        <v>12</v>
      </c>
      <c r="D23" s="7">
        <f>+D18/D16</f>
        <v>12.416666666666666</v>
      </c>
      <c r="H23" t="s">
        <v>12</v>
      </c>
      <c r="M23" s="7">
        <f>+M18/M16</f>
        <v>9.333333333333334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400</v>
      </c>
      <c r="H26" t="s">
        <v>14</v>
      </c>
      <c r="M26">
        <f>+M21+M12</f>
        <v>284</v>
      </c>
    </row>
    <row r="27" spans="1:13" ht="12.75">
      <c r="A27" t="s">
        <v>15</v>
      </c>
      <c r="D27" s="7">
        <f>+D12/D26*100</f>
        <v>29.25</v>
      </c>
      <c r="H27" t="s">
        <v>15</v>
      </c>
      <c r="M27" s="7">
        <f>+M12/M26*100</f>
        <v>46.83098591549296</v>
      </c>
    </row>
    <row r="28" spans="1:13" ht="12.75">
      <c r="A28" s="1" t="s">
        <v>86</v>
      </c>
      <c r="D28" s="7">
        <f>+D21/D26*100</f>
        <v>70.75</v>
      </c>
      <c r="H28" s="1" t="s">
        <v>86</v>
      </c>
      <c r="M28" s="7">
        <f>+M21/M26*100</f>
        <v>53.16901408450704</v>
      </c>
    </row>
    <row r="30" spans="1:13" ht="12.75">
      <c r="A30" t="s">
        <v>16</v>
      </c>
      <c r="D30">
        <f>+D11+D15+D19</f>
        <v>60</v>
      </c>
      <c r="H30" t="s">
        <v>16</v>
      </c>
      <c r="M30">
        <f>+M11+M15+M19</f>
        <v>72</v>
      </c>
    </row>
    <row r="31" spans="1:13" ht="12.75">
      <c r="A31" t="s">
        <v>17</v>
      </c>
      <c r="D31" s="8">
        <f>+D26/D30</f>
        <v>6.666666666666667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3.9444444444444446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5</v>
      </c>
    </row>
    <row r="39" spans="1:13" ht="12.75">
      <c r="A39" t="s">
        <v>23</v>
      </c>
      <c r="D39" s="2">
        <v>203</v>
      </c>
      <c r="H39" t="s">
        <v>23</v>
      </c>
      <c r="M39" s="2">
        <v>235</v>
      </c>
    </row>
    <row r="40" spans="1:13" ht="12.75">
      <c r="A40" t="s">
        <v>24</v>
      </c>
      <c r="D40" s="8">
        <f>+D39/D38</f>
        <v>40.6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47</v>
      </c>
    </row>
    <row r="42" spans="1:13" ht="12.75">
      <c r="A42" t="s">
        <v>25</v>
      </c>
      <c r="D42" s="2">
        <v>3</v>
      </c>
      <c r="H42" t="s">
        <v>25</v>
      </c>
      <c r="M42" s="2">
        <v>4</v>
      </c>
    </row>
    <row r="43" spans="1:13" ht="12.75">
      <c r="A43" t="s">
        <v>26</v>
      </c>
      <c r="D43" s="2">
        <v>10</v>
      </c>
      <c r="H43" t="s">
        <v>26</v>
      </c>
      <c r="M43" s="2">
        <v>11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2.75</v>
      </c>
    </row>
    <row r="45" spans="1:13" ht="12.75">
      <c r="A45" t="s">
        <v>106</v>
      </c>
      <c r="D45" s="2">
        <v>2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3</v>
      </c>
    </row>
    <row r="49" spans="1:13" ht="12.75">
      <c r="A49" t="s">
        <v>26</v>
      </c>
      <c r="D49" s="2">
        <v>18</v>
      </c>
      <c r="H49" t="s">
        <v>26</v>
      </c>
      <c r="M49" s="2">
        <v>43</v>
      </c>
    </row>
    <row r="50" spans="1:13" ht="12.75">
      <c r="A50" t="s">
        <v>27</v>
      </c>
      <c r="D50" s="8">
        <f>+D49/D48</f>
        <v>9</v>
      </c>
      <c r="H50" t="s">
        <v>27</v>
      </c>
      <c r="M50" s="8">
        <f>+M49/M48</f>
        <v>14.333333333333334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14</v>
      </c>
      <c r="H53" t="s">
        <v>31</v>
      </c>
      <c r="M53" s="2">
        <v>3</v>
      </c>
    </row>
    <row r="54" spans="1:13" ht="12.75">
      <c r="A54" t="s">
        <v>32</v>
      </c>
      <c r="D54" s="2">
        <v>138</v>
      </c>
      <c r="H54" t="s">
        <v>32</v>
      </c>
      <c r="M54" s="2">
        <v>30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20</v>
      </c>
      <c r="H59" t="s">
        <v>34</v>
      </c>
      <c r="M59" s="2">
        <v>22</v>
      </c>
    </row>
    <row r="60" spans="1:13" ht="12.75">
      <c r="A60" t="s">
        <v>35</v>
      </c>
      <c r="D60" s="2">
        <v>2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1</v>
      </c>
    </row>
    <row r="62" spans="1:13" ht="12.75">
      <c r="A62" t="s">
        <v>37</v>
      </c>
      <c r="D62" s="2">
        <v>0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5</v>
      </c>
    </row>
    <row r="67" spans="1:13" ht="12.75">
      <c r="A67" t="s">
        <v>42</v>
      </c>
      <c r="D67" s="2">
        <v>2</v>
      </c>
      <c r="H67" t="s">
        <v>42</v>
      </c>
      <c r="M67" s="2">
        <v>5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>
        <v>27.18</v>
      </c>
      <c r="E69" s="8"/>
      <c r="F69" s="8"/>
      <c r="H69" t="s">
        <v>91</v>
      </c>
      <c r="M69" s="10">
        <v>33.42</v>
      </c>
    </row>
    <row r="70" spans="1:13" ht="12.75">
      <c r="A70" t="s">
        <v>102</v>
      </c>
      <c r="D70" s="23">
        <f>D154</f>
        <v>38.46153846153847</v>
      </c>
      <c r="E70" s="8"/>
      <c r="F70" s="8"/>
      <c r="H70" t="s">
        <v>102</v>
      </c>
      <c r="M70" s="23">
        <f>M154</f>
        <v>40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13</v>
      </c>
      <c r="D74">
        <v>63</v>
      </c>
      <c r="E74" s="12">
        <f aca="true" t="shared" si="0" ref="E74:E82">+D74/C74</f>
        <v>4.846153846153846</v>
      </c>
      <c r="F74">
        <v>17</v>
      </c>
      <c r="G74">
        <v>1</v>
      </c>
      <c r="H74">
        <v>0</v>
      </c>
    </row>
    <row r="75" spans="1:8" ht="12.75">
      <c r="A75" t="s">
        <v>110</v>
      </c>
      <c r="C75">
        <v>8</v>
      </c>
      <c r="D75">
        <v>45</v>
      </c>
      <c r="E75" s="12">
        <f t="shared" si="0"/>
        <v>5.625</v>
      </c>
      <c r="F75">
        <v>30</v>
      </c>
      <c r="G75">
        <v>1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8" ht="12.75">
      <c r="A77" t="s">
        <v>112</v>
      </c>
      <c r="C77">
        <v>2</v>
      </c>
      <c r="D77">
        <v>2</v>
      </c>
      <c r="E77" s="12">
        <f t="shared" si="0"/>
        <v>1</v>
      </c>
      <c r="F77">
        <v>1</v>
      </c>
      <c r="G77">
        <v>0</v>
      </c>
      <c r="H77">
        <v>0</v>
      </c>
    </row>
    <row r="78" spans="1:8" ht="12.75">
      <c r="A78" t="s">
        <v>113</v>
      </c>
      <c r="C78">
        <v>1</v>
      </c>
      <c r="D78">
        <v>7</v>
      </c>
      <c r="E78" s="12">
        <f t="shared" si="0"/>
        <v>7</v>
      </c>
      <c r="F78">
        <v>7</v>
      </c>
      <c r="G78">
        <v>0</v>
      </c>
      <c r="H78">
        <v>0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7</v>
      </c>
      <c r="D85">
        <v>86</v>
      </c>
      <c r="E85" s="12">
        <f aca="true" t="shared" si="1" ref="E85:E96">+D85/C85</f>
        <v>12.285714285714286</v>
      </c>
      <c r="F85">
        <v>18</v>
      </c>
      <c r="G85">
        <v>0</v>
      </c>
      <c r="H85">
        <v>0</v>
      </c>
    </row>
    <row r="86" spans="1:8" ht="12.75">
      <c r="A86" t="s">
        <v>118</v>
      </c>
      <c r="C86">
        <v>4</v>
      </c>
      <c r="D86">
        <v>26</v>
      </c>
      <c r="E86" s="12">
        <f t="shared" si="1"/>
        <v>6.5</v>
      </c>
      <c r="F86">
        <v>13</v>
      </c>
      <c r="G86">
        <v>0</v>
      </c>
      <c r="H86">
        <v>0</v>
      </c>
    </row>
    <row r="87" spans="1:8" ht="12.75">
      <c r="A87" t="s">
        <v>113</v>
      </c>
      <c r="C87">
        <v>5</v>
      </c>
      <c r="D87">
        <v>89</v>
      </c>
      <c r="E87" s="12">
        <f t="shared" si="1"/>
        <v>17.8</v>
      </c>
      <c r="F87">
        <v>34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3</v>
      </c>
      <c r="E88" s="12">
        <f t="shared" si="1"/>
        <v>3</v>
      </c>
      <c r="F88">
        <v>3</v>
      </c>
      <c r="G88">
        <v>0</v>
      </c>
      <c r="H88">
        <v>0</v>
      </c>
    </row>
    <row r="89" spans="1:8" ht="12.75">
      <c r="A89" t="s">
        <v>116</v>
      </c>
      <c r="C89">
        <v>2</v>
      </c>
      <c r="D89">
        <v>20</v>
      </c>
      <c r="E89" s="12">
        <f t="shared" si="1"/>
        <v>10</v>
      </c>
      <c r="F89">
        <v>12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24</v>
      </c>
      <c r="E90" s="12">
        <f t="shared" si="1"/>
        <v>24</v>
      </c>
      <c r="F90">
        <v>24</v>
      </c>
      <c r="G90">
        <v>0</v>
      </c>
      <c r="H90">
        <v>0</v>
      </c>
    </row>
    <row r="91" spans="1:5" ht="12.75">
      <c r="A91" t="s">
        <v>112</v>
      </c>
      <c r="E91" s="12" t="e">
        <f t="shared" si="1"/>
        <v>#DIV/0!</v>
      </c>
    </row>
    <row r="92" spans="1:8" ht="12.75">
      <c r="A92" t="s">
        <v>120</v>
      </c>
      <c r="C92">
        <v>1</v>
      </c>
      <c r="D92">
        <v>4</v>
      </c>
      <c r="E92" s="12">
        <f t="shared" si="1"/>
        <v>4</v>
      </c>
      <c r="F92">
        <v>4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9</v>
      </c>
      <c r="E93" s="12">
        <f t="shared" si="1"/>
        <v>9</v>
      </c>
      <c r="F93">
        <v>9</v>
      </c>
      <c r="G93">
        <v>0</v>
      </c>
      <c r="H93">
        <v>0</v>
      </c>
    </row>
    <row r="94" spans="1:8" ht="12.75">
      <c r="A94" t="s">
        <v>122</v>
      </c>
      <c r="C94">
        <v>2</v>
      </c>
      <c r="D94">
        <v>32</v>
      </c>
      <c r="E94" s="12">
        <f t="shared" si="1"/>
        <v>16</v>
      </c>
      <c r="F94">
        <v>33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34</v>
      </c>
      <c r="D100">
        <v>24</v>
      </c>
      <c r="E100" s="12">
        <f>+D100/C100*100</f>
        <v>70.58823529411765</v>
      </c>
      <c r="F100">
        <v>298</v>
      </c>
      <c r="G100">
        <v>0</v>
      </c>
      <c r="H100">
        <v>34</v>
      </c>
      <c r="I100">
        <v>1</v>
      </c>
      <c r="J100" s="8">
        <f>+G100/C100*100</f>
        <v>0</v>
      </c>
      <c r="K100" s="12">
        <f>+I100/C100*100</f>
        <v>2.941176470588235</v>
      </c>
      <c r="L100" s="12">
        <f>+F100/C100</f>
        <v>8.764705882352942</v>
      </c>
      <c r="M100" s="12">
        <f>100*(S100+U100+W100+Y100)/6</f>
        <v>85.171568627451</v>
      </c>
      <c r="N100">
        <v>1</v>
      </c>
      <c r="R100">
        <f>+(E100-30)/20</f>
        <v>2.0294117647058827</v>
      </c>
      <c r="S100" s="2">
        <f>IF(R100&lt;0,0,IF(R100&gt;2.375,2.375,R100))</f>
        <v>2.0294117647058827</v>
      </c>
      <c r="T100" s="6">
        <f>+(L100-3)/4</f>
        <v>1.4411764705882355</v>
      </c>
      <c r="U100" s="2">
        <f>IF(T100&lt;0,0,IF(T100&gt;2.375,2.375,T100))</f>
        <v>1.4411764705882355</v>
      </c>
      <c r="V100">
        <f>+J100/5</f>
        <v>0</v>
      </c>
      <c r="W100" s="2">
        <f>IF(V100&lt;0,0,IF(V100&gt;2.375,2.375,V100))</f>
        <v>0</v>
      </c>
      <c r="X100">
        <f>(9.5-K100)/4</f>
        <v>1.6397058823529411</v>
      </c>
      <c r="Y100" s="2">
        <f>IF(X100&lt;0,0,X100)</f>
        <v>1.6397058823529411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2</v>
      </c>
      <c r="E107">
        <v>10</v>
      </c>
      <c r="F107" s="12">
        <v>0</v>
      </c>
      <c r="G107">
        <v>10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1</v>
      </c>
      <c r="D110">
        <v>9</v>
      </c>
      <c r="E110" s="12">
        <f aca="true" t="shared" si="2" ref="E110:E115">+D110/C110</f>
        <v>9</v>
      </c>
      <c r="F110">
        <v>9</v>
      </c>
      <c r="G110">
        <v>0</v>
      </c>
      <c r="H110">
        <v>0</v>
      </c>
    </row>
    <row r="111" spans="1:8" ht="12.75">
      <c r="A111" t="s">
        <v>112</v>
      </c>
      <c r="C111">
        <v>1</v>
      </c>
      <c r="D111">
        <v>9</v>
      </c>
      <c r="E111" s="12">
        <f t="shared" si="2"/>
        <v>9</v>
      </c>
      <c r="F111">
        <v>9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8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  <c r="H117" s="3" t="s">
        <v>80</v>
      </c>
    </row>
    <row r="118" spans="1:8" ht="12.75">
      <c r="A118" t="s">
        <v>125</v>
      </c>
      <c r="C118">
        <v>5</v>
      </c>
      <c r="D118">
        <v>203</v>
      </c>
      <c r="E118" s="12">
        <f>+D118/C118</f>
        <v>40.6</v>
      </c>
      <c r="F118">
        <v>54</v>
      </c>
      <c r="G118">
        <v>0</v>
      </c>
      <c r="H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5</v>
      </c>
      <c r="D121">
        <v>2</v>
      </c>
      <c r="E121">
        <v>2</v>
      </c>
      <c r="F121">
        <v>2</v>
      </c>
      <c r="G121">
        <v>2</v>
      </c>
      <c r="H121">
        <v>2</v>
      </c>
      <c r="I121" s="12">
        <f>+H121/G121*100</f>
        <v>100</v>
      </c>
      <c r="J121">
        <v>41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 aca="true" t="shared" si="3" ref="E124:E132">+D124/C124</f>
        <v>#DIV/0!</v>
      </c>
    </row>
    <row r="125" spans="1:5" ht="12.75">
      <c r="A125" t="s">
        <v>127</v>
      </c>
      <c r="E125" s="12" t="e">
        <f t="shared" si="3"/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ht="12.75">
      <c r="A135" t="s">
        <v>134</v>
      </c>
    </row>
    <row r="136" ht="12.75">
      <c r="A136" t="s">
        <v>135</v>
      </c>
    </row>
    <row r="137" spans="1:3" ht="12.75">
      <c r="A137" t="s">
        <v>136</v>
      </c>
      <c r="C137">
        <v>1</v>
      </c>
    </row>
    <row r="138" ht="12.75">
      <c r="A138" t="s">
        <v>137</v>
      </c>
    </row>
    <row r="139" spans="1:3" ht="12.75">
      <c r="A139" t="s">
        <v>130</v>
      </c>
      <c r="C139">
        <v>1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13</v>
      </c>
      <c r="H152" t="s">
        <v>93</v>
      </c>
      <c r="M152">
        <v>20</v>
      </c>
    </row>
    <row r="153" spans="1:13" ht="12.75">
      <c r="A153" t="s">
        <v>94</v>
      </c>
      <c r="D153">
        <v>5</v>
      </c>
      <c r="H153" t="s">
        <v>94</v>
      </c>
      <c r="M153">
        <v>8</v>
      </c>
    </row>
    <row r="154" spans="1:13" ht="12.75">
      <c r="A154" t="s">
        <v>95</v>
      </c>
      <c r="D154" s="8">
        <f>D153/D152*100</f>
        <v>38.46153846153847</v>
      </c>
      <c r="H154" t="s">
        <v>95</v>
      </c>
      <c r="M154">
        <f>+M153/M152*100</f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Y154"/>
  <sheetViews>
    <sheetView zoomScalePageLayoutView="0" workbookViewId="0" topLeftCell="A60">
      <selection activeCell="S73" sqref="S7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20</v>
      </c>
    </row>
    <row r="7" spans="1:13" ht="12.75">
      <c r="A7" s="1" t="s">
        <v>103</v>
      </c>
      <c r="D7" s="2">
        <v>7</v>
      </c>
      <c r="H7" s="1" t="s">
        <v>103</v>
      </c>
      <c r="M7" s="2">
        <v>5</v>
      </c>
    </row>
    <row r="8" spans="1:13" ht="12.75">
      <c r="A8" s="1" t="s">
        <v>105</v>
      </c>
      <c r="D8" s="2">
        <v>15</v>
      </c>
      <c r="H8" s="1" t="s">
        <v>105</v>
      </c>
      <c r="M8" s="2">
        <v>15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13" ht="12.75">
      <c r="A11" t="s">
        <v>1</v>
      </c>
      <c r="D11" s="2">
        <v>26</v>
      </c>
      <c r="H11" t="s">
        <v>1</v>
      </c>
      <c r="M11" s="2">
        <v>31</v>
      </c>
    </row>
    <row r="12" spans="1:13" ht="12.75">
      <c r="A12" t="s">
        <v>2</v>
      </c>
      <c r="D12" s="2">
        <v>110</v>
      </c>
      <c r="H12" t="s">
        <v>2</v>
      </c>
      <c r="M12" s="2">
        <v>124</v>
      </c>
    </row>
    <row r="13" spans="1:13" ht="12.75">
      <c r="A13" s="1" t="s">
        <v>3</v>
      </c>
      <c r="D13" s="8">
        <f>+D12/D11</f>
        <v>4.230769230769231</v>
      </c>
      <c r="H13" s="1" t="s">
        <v>3</v>
      </c>
      <c r="M13" s="8">
        <f>+M12/M11</f>
        <v>4</v>
      </c>
    </row>
    <row r="15" spans="1:13" ht="12.75">
      <c r="A15" t="s">
        <v>4</v>
      </c>
      <c r="D15" s="2">
        <v>40</v>
      </c>
      <c r="H15" t="s">
        <v>4</v>
      </c>
      <c r="M15" s="2">
        <v>32</v>
      </c>
    </row>
    <row r="16" spans="1:13" ht="12.75">
      <c r="A16" t="s">
        <v>5</v>
      </c>
      <c r="D16" s="2">
        <v>26</v>
      </c>
      <c r="H16" t="s">
        <v>5</v>
      </c>
      <c r="M16" s="2">
        <v>18</v>
      </c>
    </row>
    <row r="17" spans="1:13" ht="12.75">
      <c r="A17" t="s">
        <v>6</v>
      </c>
      <c r="D17" s="8">
        <f>+D16/D15*100</f>
        <v>65</v>
      </c>
      <c r="H17" t="s">
        <v>6</v>
      </c>
      <c r="M17" s="8">
        <f>+M16/M15*100</f>
        <v>56.25</v>
      </c>
    </row>
    <row r="18" spans="1:13" ht="12.75">
      <c r="A18" t="s">
        <v>7</v>
      </c>
      <c r="D18" s="2">
        <v>366</v>
      </c>
      <c r="H18" t="s">
        <v>7</v>
      </c>
      <c r="M18" s="2">
        <v>357</v>
      </c>
    </row>
    <row r="19" spans="1:13" ht="12.75">
      <c r="A19" t="s">
        <v>8</v>
      </c>
      <c r="D19" s="2">
        <v>6</v>
      </c>
      <c r="H19" t="s">
        <v>8</v>
      </c>
      <c r="M19" s="2">
        <v>2</v>
      </c>
    </row>
    <row r="20" spans="1:13" ht="12.75">
      <c r="A20" t="s">
        <v>9</v>
      </c>
      <c r="D20" s="2">
        <v>44</v>
      </c>
      <c r="H20" t="s">
        <v>9</v>
      </c>
      <c r="M20" s="2">
        <v>22</v>
      </c>
    </row>
    <row r="21" spans="1:13" ht="12.75">
      <c r="A21" t="s">
        <v>10</v>
      </c>
      <c r="D21">
        <f>+D18-D20</f>
        <v>322</v>
      </c>
      <c r="H21" t="s">
        <v>10</v>
      </c>
      <c r="M21">
        <f>+M18-M20</f>
        <v>335</v>
      </c>
    </row>
    <row r="22" spans="1:13" ht="12.75">
      <c r="A22" t="s">
        <v>11</v>
      </c>
      <c r="D22" s="7">
        <f>+D21/(D15+D19)</f>
        <v>7</v>
      </c>
      <c r="H22" t="s">
        <v>11</v>
      </c>
      <c r="M22" s="7">
        <f>+M21/(M15+M19)</f>
        <v>9.852941176470589</v>
      </c>
    </row>
    <row r="23" spans="1:13" ht="12.75">
      <c r="A23" t="s">
        <v>12</v>
      </c>
      <c r="D23" s="7">
        <f>+D18/D16</f>
        <v>14.076923076923077</v>
      </c>
      <c r="H23" t="s">
        <v>12</v>
      </c>
      <c r="M23" s="7">
        <f>+M18/M16</f>
        <v>19.833333333333332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432</v>
      </c>
      <c r="H26" t="s">
        <v>14</v>
      </c>
      <c r="M26">
        <f>+M21+M12</f>
        <v>459</v>
      </c>
    </row>
    <row r="27" spans="1:13" ht="12.75">
      <c r="A27" t="s">
        <v>15</v>
      </c>
      <c r="D27" s="7">
        <f>+D12/D26*100</f>
        <v>25.462962962962965</v>
      </c>
      <c r="H27" t="s">
        <v>15</v>
      </c>
      <c r="M27" s="7">
        <f>+M12/M26*100</f>
        <v>27.01525054466231</v>
      </c>
    </row>
    <row r="28" spans="1:13" ht="12.75">
      <c r="A28" s="1" t="s">
        <v>86</v>
      </c>
      <c r="D28" s="7">
        <f>+D21/D26*100</f>
        <v>74.53703703703704</v>
      </c>
      <c r="H28" s="1" t="s">
        <v>86</v>
      </c>
      <c r="M28" s="7">
        <f>+M21/M26*100</f>
        <v>72.98474945533769</v>
      </c>
    </row>
    <row r="30" spans="1:13" ht="12.75">
      <c r="A30" t="s">
        <v>16</v>
      </c>
      <c r="D30">
        <f>+D11+D15+D19</f>
        <v>72</v>
      </c>
      <c r="H30" t="s">
        <v>16</v>
      </c>
      <c r="M30">
        <f>+M11+M15+M19</f>
        <v>65</v>
      </c>
    </row>
    <row r="31" spans="1:13" ht="12.75">
      <c r="A31" t="s">
        <v>17</v>
      </c>
      <c r="D31" s="8">
        <f>+D26/D30</f>
        <v>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7.061538461538461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52</v>
      </c>
      <c r="H35" t="s">
        <v>20</v>
      </c>
      <c r="M35" s="2">
        <v>49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5</v>
      </c>
    </row>
    <row r="39" spans="1:13" ht="12.75">
      <c r="A39" t="s">
        <v>23</v>
      </c>
      <c r="D39" s="2">
        <v>120</v>
      </c>
      <c r="H39" t="s">
        <v>23</v>
      </c>
      <c r="M39" s="2">
        <v>229</v>
      </c>
    </row>
    <row r="40" spans="1:13" ht="12.75">
      <c r="A40" t="s">
        <v>24</v>
      </c>
      <c r="D40" s="8">
        <f>+D39/D38</f>
        <v>40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45.8</v>
      </c>
    </row>
    <row r="42" spans="1:13" ht="12.75">
      <c r="A42" t="s">
        <v>25</v>
      </c>
      <c r="D42" s="2">
        <v>3</v>
      </c>
      <c r="H42" t="s">
        <v>25</v>
      </c>
      <c r="M42" s="2">
        <v>2</v>
      </c>
    </row>
    <row r="43" spans="1:13" ht="12.75">
      <c r="A43" t="s">
        <v>26</v>
      </c>
      <c r="D43" s="2">
        <v>63</v>
      </c>
      <c r="H43" t="s">
        <v>26</v>
      </c>
      <c r="M43" s="2">
        <v>32</v>
      </c>
    </row>
    <row r="44" spans="1:13" ht="12.75">
      <c r="A44" t="s">
        <v>27</v>
      </c>
      <c r="D44" s="8">
        <f>+D43/D42</f>
        <v>21</v>
      </c>
      <c r="H44" t="s">
        <v>27</v>
      </c>
      <c r="M44" s="8">
        <f>+M43/M42</f>
        <v>16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5</v>
      </c>
      <c r="H48" t="s">
        <v>30</v>
      </c>
      <c r="M48" s="2">
        <v>6</v>
      </c>
    </row>
    <row r="49" spans="1:13" ht="12.75">
      <c r="A49" t="s">
        <v>26</v>
      </c>
      <c r="D49" s="2">
        <v>88</v>
      </c>
      <c r="H49" t="s">
        <v>26</v>
      </c>
      <c r="M49" s="2">
        <v>106</v>
      </c>
    </row>
    <row r="50" spans="1:13" ht="12.75">
      <c r="A50" t="s">
        <v>27</v>
      </c>
      <c r="D50" s="8">
        <f>+D49/D48</f>
        <v>17.6</v>
      </c>
      <c r="H50" t="s">
        <v>27</v>
      </c>
      <c r="M50" s="8">
        <f>+M49/M48</f>
        <v>17.666666666666668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2</v>
      </c>
    </row>
    <row r="54" spans="1:13" ht="12.75">
      <c r="A54" t="s">
        <v>32</v>
      </c>
      <c r="D54" s="2">
        <v>25</v>
      </c>
      <c r="H54" t="s">
        <v>32</v>
      </c>
      <c r="M54" s="2">
        <v>15</v>
      </c>
    </row>
    <row r="56" spans="1:13" ht="12.75">
      <c r="A56" t="s">
        <v>33</v>
      </c>
      <c r="D56" s="2">
        <v>5</v>
      </c>
      <c r="H56" t="s">
        <v>33</v>
      </c>
      <c r="M56" s="2">
        <v>0</v>
      </c>
    </row>
    <row r="57" spans="1:13" ht="12.75">
      <c r="A57" t="s">
        <v>101</v>
      </c>
      <c r="D57" s="2">
        <v>4</v>
      </c>
      <c r="H57" t="s">
        <v>101</v>
      </c>
      <c r="M57" s="2">
        <v>0</v>
      </c>
    </row>
    <row r="58" ht="12.75">
      <c r="M58" s="2"/>
    </row>
    <row r="59" spans="1:13" ht="12.75">
      <c r="A59" t="s">
        <v>34</v>
      </c>
      <c r="D59" s="2">
        <v>31</v>
      </c>
      <c r="H59" t="s">
        <v>34</v>
      </c>
      <c r="M59" s="2">
        <v>38</v>
      </c>
    </row>
    <row r="60" spans="1:13" ht="12.75">
      <c r="A60" t="s">
        <v>35</v>
      </c>
      <c r="D60" s="2">
        <v>4</v>
      </c>
      <c r="H60" t="s">
        <v>35</v>
      </c>
      <c r="M60" s="2">
        <v>5</v>
      </c>
    </row>
    <row r="61" spans="1:13" ht="12.75">
      <c r="A61" t="s">
        <v>36</v>
      </c>
      <c r="D61" s="2">
        <v>1</v>
      </c>
      <c r="H61" t="s">
        <v>36</v>
      </c>
      <c r="M61" s="2">
        <v>2</v>
      </c>
    </row>
    <row r="62" spans="1:13" ht="12.75">
      <c r="A62" t="s">
        <v>37</v>
      </c>
      <c r="D62" s="2">
        <v>2</v>
      </c>
      <c r="H62" t="s">
        <v>37</v>
      </c>
      <c r="M62" s="2">
        <v>3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4</v>
      </c>
      <c r="H64" t="s">
        <v>39</v>
      </c>
      <c r="M64" s="2">
        <v>5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7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50</v>
      </c>
    </row>
    <row r="69" spans="1:13" ht="12.75">
      <c r="A69" t="s">
        <v>92</v>
      </c>
      <c r="D69" s="10">
        <v>30.28</v>
      </c>
      <c r="E69" s="8"/>
      <c r="F69" s="8"/>
      <c r="H69" t="s">
        <v>91</v>
      </c>
      <c r="M69" s="10">
        <v>29.32</v>
      </c>
    </row>
    <row r="70" spans="1:13" ht="12.75">
      <c r="A70" t="s">
        <v>102</v>
      </c>
      <c r="D70" s="23">
        <f>D161</f>
        <v>0</v>
      </c>
      <c r="E70" s="8"/>
      <c r="F70" s="8"/>
      <c r="H70" t="s">
        <v>102</v>
      </c>
      <c r="M70" s="23">
        <f>M161</f>
        <v>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16</v>
      </c>
      <c r="D74">
        <v>77</v>
      </c>
      <c r="E74" s="12">
        <f aca="true" t="shared" si="0" ref="E74:E83">+D74/C74</f>
        <v>4.8125</v>
      </c>
      <c r="F74">
        <v>33</v>
      </c>
      <c r="G74">
        <v>0</v>
      </c>
      <c r="H74">
        <v>0</v>
      </c>
    </row>
    <row r="75" spans="1:8" ht="12.75">
      <c r="A75" t="s">
        <v>110</v>
      </c>
      <c r="C75">
        <v>1</v>
      </c>
      <c r="D75">
        <v>5</v>
      </c>
      <c r="E75" s="12">
        <f t="shared" si="0"/>
        <v>5</v>
      </c>
      <c r="F75">
        <v>5</v>
      </c>
      <c r="G75">
        <v>0</v>
      </c>
      <c r="H75">
        <v>0</v>
      </c>
    </row>
    <row r="76" spans="1:8" ht="12.75">
      <c r="A76" t="s">
        <v>111</v>
      </c>
      <c r="C76">
        <v>1</v>
      </c>
      <c r="D76">
        <v>16</v>
      </c>
      <c r="E76" s="12">
        <f t="shared" si="0"/>
        <v>16</v>
      </c>
      <c r="F76">
        <v>16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8" ht="12.75">
      <c r="A82" t="s">
        <v>116</v>
      </c>
      <c r="C82">
        <v>1</v>
      </c>
      <c r="D82">
        <v>-7</v>
      </c>
      <c r="E82" s="12">
        <f t="shared" si="0"/>
        <v>-7</v>
      </c>
      <c r="F82">
        <v>-7</v>
      </c>
      <c r="G82">
        <v>0</v>
      </c>
      <c r="H82">
        <v>0</v>
      </c>
    </row>
    <row r="83" spans="1:8" ht="12.75">
      <c r="A83" s="27" t="s">
        <v>143</v>
      </c>
      <c r="C83">
        <v>1</v>
      </c>
      <c r="D83">
        <v>4</v>
      </c>
      <c r="E83" s="12">
        <f t="shared" si="0"/>
        <v>4</v>
      </c>
      <c r="F83">
        <v>4</v>
      </c>
      <c r="G83">
        <v>0</v>
      </c>
      <c r="H83">
        <v>1</v>
      </c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9</v>
      </c>
      <c r="D85">
        <v>95</v>
      </c>
      <c r="E85" s="12">
        <f aca="true" t="shared" si="1" ref="E85:E96">+D85/C85</f>
        <v>10.555555555555555</v>
      </c>
      <c r="F85">
        <v>28</v>
      </c>
      <c r="G85">
        <v>0</v>
      </c>
      <c r="H85">
        <v>1</v>
      </c>
    </row>
    <row r="86" spans="1:8" ht="12.75">
      <c r="A86" t="s">
        <v>118</v>
      </c>
      <c r="C86">
        <v>4</v>
      </c>
      <c r="D86">
        <v>93</v>
      </c>
      <c r="E86" s="12">
        <f t="shared" si="1"/>
        <v>23.25</v>
      </c>
      <c r="F86">
        <v>49</v>
      </c>
      <c r="G86">
        <v>0</v>
      </c>
      <c r="H86">
        <v>0</v>
      </c>
    </row>
    <row r="87" spans="1:8" ht="12.75">
      <c r="A87" t="s">
        <v>113</v>
      </c>
      <c r="C87">
        <v>3</v>
      </c>
      <c r="D87">
        <v>63</v>
      </c>
      <c r="E87" s="12">
        <f t="shared" si="1"/>
        <v>21</v>
      </c>
      <c r="F87">
        <v>28</v>
      </c>
      <c r="G87">
        <v>0</v>
      </c>
      <c r="H87">
        <v>0</v>
      </c>
    </row>
    <row r="88" spans="1:8" ht="12.75">
      <c r="A88" t="s">
        <v>119</v>
      </c>
      <c r="C88">
        <v>4</v>
      </c>
      <c r="D88">
        <v>55</v>
      </c>
      <c r="E88" s="12">
        <f t="shared" si="1"/>
        <v>13.75</v>
      </c>
      <c r="F88">
        <v>38</v>
      </c>
      <c r="G88">
        <v>1</v>
      </c>
      <c r="H88">
        <v>0</v>
      </c>
    </row>
    <row r="89" spans="1:8" ht="12.75">
      <c r="A89" t="s">
        <v>116</v>
      </c>
      <c r="C89">
        <v>3</v>
      </c>
      <c r="D89">
        <v>39</v>
      </c>
      <c r="E89" s="12">
        <f t="shared" si="1"/>
        <v>13</v>
      </c>
      <c r="F89">
        <v>31</v>
      </c>
      <c r="G89">
        <v>1</v>
      </c>
      <c r="H89">
        <v>0</v>
      </c>
    </row>
    <row r="90" spans="1:8" ht="12.75">
      <c r="A90" t="s">
        <v>110</v>
      </c>
      <c r="C90">
        <v>1</v>
      </c>
      <c r="D90">
        <v>12</v>
      </c>
      <c r="E90" s="12">
        <f t="shared" si="1"/>
        <v>12</v>
      </c>
      <c r="F90">
        <v>12</v>
      </c>
      <c r="G90">
        <v>0</v>
      </c>
      <c r="H90">
        <v>0</v>
      </c>
    </row>
    <row r="91" spans="1:8" ht="12.75">
      <c r="A91" t="s">
        <v>112</v>
      </c>
      <c r="C91">
        <v>1</v>
      </c>
      <c r="D91">
        <v>2</v>
      </c>
      <c r="E91" s="12">
        <f t="shared" si="1"/>
        <v>2</v>
      </c>
      <c r="F91">
        <v>2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7</v>
      </c>
      <c r="E94" s="12">
        <f t="shared" si="1"/>
        <v>7</v>
      </c>
      <c r="F94">
        <v>7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40</v>
      </c>
      <c r="D100">
        <v>26</v>
      </c>
      <c r="E100" s="12">
        <f>+D100/C100*100</f>
        <v>65</v>
      </c>
      <c r="F100">
        <v>366</v>
      </c>
      <c r="G100">
        <v>2</v>
      </c>
      <c r="H100">
        <v>49</v>
      </c>
      <c r="I100">
        <v>2</v>
      </c>
      <c r="J100" s="8">
        <f>+G100/C100*100</f>
        <v>5</v>
      </c>
      <c r="K100" s="12">
        <f>+I100/C100*100</f>
        <v>5</v>
      </c>
      <c r="L100" s="12">
        <f>+F100/C100</f>
        <v>9.15</v>
      </c>
      <c r="M100" s="12">
        <f>100*(S100+U100+W100+Y100)/6</f>
        <v>90.20833333333333</v>
      </c>
      <c r="N100">
        <v>2</v>
      </c>
      <c r="R100">
        <f>+(E100-30)/20</f>
        <v>1.75</v>
      </c>
      <c r="S100" s="2">
        <f>IF(R100&lt;0,0,IF(R100&gt;2.375,2.375,R100))</f>
        <v>1.75</v>
      </c>
      <c r="T100" s="6">
        <f>+(L100-3)/4</f>
        <v>1.5375</v>
      </c>
      <c r="U100" s="2">
        <f>IF(T100&lt;0,0,IF(T100&gt;2.375,2.375,T100))</f>
        <v>1.5375</v>
      </c>
      <c r="V100">
        <f>+J100/5</f>
        <v>1</v>
      </c>
      <c r="W100" s="2">
        <f>IF(V100&lt;0,0,IF(V100&gt;2.375,2.375,V100))</f>
        <v>1</v>
      </c>
      <c r="X100">
        <f>(9.5-K100)/4</f>
        <v>1.125</v>
      </c>
      <c r="Y100" s="2">
        <f>IF(X100&lt;0,0,X100)</f>
        <v>1.125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0</v>
      </c>
      <c r="E107">
        <v>63</v>
      </c>
      <c r="F107" s="12">
        <f>+E107/C107</f>
        <v>21</v>
      </c>
      <c r="G107">
        <v>43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2</v>
      </c>
      <c r="D110">
        <v>36</v>
      </c>
      <c r="E110" s="12">
        <f aca="true" t="shared" si="2" ref="E110:E115">+D110/C110</f>
        <v>18</v>
      </c>
      <c r="F110">
        <v>19</v>
      </c>
      <c r="G110">
        <v>0</v>
      </c>
      <c r="H110">
        <v>0</v>
      </c>
    </row>
    <row r="111" spans="1:8" ht="12.75">
      <c r="A111" t="s">
        <v>112</v>
      </c>
      <c r="C111">
        <v>3</v>
      </c>
      <c r="D111">
        <v>52</v>
      </c>
      <c r="E111" s="12">
        <f t="shared" si="2"/>
        <v>17.333333333333332</v>
      </c>
      <c r="F111">
        <v>21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3</v>
      </c>
      <c r="D118">
        <v>120</v>
      </c>
      <c r="E118" s="12">
        <f>+D118/C118</f>
        <v>40</v>
      </c>
      <c r="F118">
        <v>42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6</v>
      </c>
      <c r="D121">
        <v>0</v>
      </c>
      <c r="E121">
        <v>4</v>
      </c>
      <c r="F121">
        <v>4</v>
      </c>
      <c r="G121">
        <v>2</v>
      </c>
      <c r="H121">
        <v>1</v>
      </c>
      <c r="I121" s="12">
        <f>+H121/G121*100</f>
        <v>50</v>
      </c>
      <c r="J121">
        <v>32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1</v>
      </c>
      <c r="D124">
        <v>0</v>
      </c>
      <c r="E124" s="12">
        <f aca="true" t="shared" si="3" ref="E124:E132">+D124/C124</f>
        <v>0</v>
      </c>
      <c r="F124">
        <v>0</v>
      </c>
      <c r="G124">
        <v>0</v>
      </c>
      <c r="H124">
        <v>0</v>
      </c>
    </row>
    <row r="125" spans="1:5" ht="12.75">
      <c r="A125" t="s">
        <v>127</v>
      </c>
      <c r="E125" s="12" t="e">
        <f t="shared" si="3"/>
        <v>#DIV/0!</v>
      </c>
    </row>
    <row r="126" spans="1:8" ht="12.75">
      <c r="A126" t="s">
        <v>128</v>
      </c>
      <c r="C126">
        <v>1</v>
      </c>
      <c r="D126">
        <v>49</v>
      </c>
      <c r="E126" s="12">
        <f t="shared" si="3"/>
        <v>49</v>
      </c>
      <c r="F126">
        <v>49</v>
      </c>
      <c r="G126">
        <v>0</v>
      </c>
      <c r="H126">
        <v>0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0.5</v>
      </c>
    </row>
    <row r="136" ht="12.75">
      <c r="A136" t="s">
        <v>135</v>
      </c>
    </row>
    <row r="137" spans="1:3" ht="12.75">
      <c r="A137" t="s">
        <v>136</v>
      </c>
      <c r="C137">
        <v>0.5</v>
      </c>
    </row>
    <row r="138" spans="1:3" ht="12.75">
      <c r="A138" t="s">
        <v>137</v>
      </c>
      <c r="C138">
        <v>0.5</v>
      </c>
    </row>
    <row r="139" ht="12.75">
      <c r="A139" t="s">
        <v>130</v>
      </c>
    </row>
    <row r="140" ht="12.75">
      <c r="A140" t="s">
        <v>107</v>
      </c>
    </row>
    <row r="141" spans="1:3" ht="12.75">
      <c r="A141" t="s">
        <v>138</v>
      </c>
      <c r="C141">
        <v>0.5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16</v>
      </c>
      <c r="H152" t="s">
        <v>93</v>
      </c>
      <c r="M152">
        <v>15</v>
      </c>
    </row>
    <row r="153" spans="1:13" ht="12.75">
      <c r="A153" t="s">
        <v>94</v>
      </c>
      <c r="D153">
        <v>5</v>
      </c>
      <c r="H153" t="s">
        <v>94</v>
      </c>
      <c r="M153">
        <v>2</v>
      </c>
    </row>
    <row r="154" spans="1:13" ht="12.75">
      <c r="A154" t="s">
        <v>95</v>
      </c>
      <c r="D154">
        <f>D153/D152*100</f>
        <v>31.25</v>
      </c>
      <c r="H154" t="s">
        <v>95</v>
      </c>
      <c r="M154">
        <f>+M153/M152*100</f>
        <v>13.333333333333334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54"/>
  <sheetViews>
    <sheetView zoomScalePageLayoutView="0" workbookViewId="0" topLeftCell="A56">
      <selection activeCell="W100" sqref="W100:W10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11</v>
      </c>
    </row>
    <row r="7" spans="1:13" ht="12.75">
      <c r="A7" s="1" t="s">
        <v>103</v>
      </c>
      <c r="D7" s="2">
        <v>8</v>
      </c>
      <c r="H7" s="1" t="s">
        <v>103</v>
      </c>
      <c r="M7" s="2">
        <v>4</v>
      </c>
    </row>
    <row r="8" spans="1:13" ht="12.75">
      <c r="A8" s="1" t="s">
        <v>105</v>
      </c>
      <c r="D8" s="2">
        <v>10</v>
      </c>
      <c r="H8" s="1" t="s">
        <v>105</v>
      </c>
      <c r="M8" s="2">
        <v>6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27</v>
      </c>
      <c r="H11" t="s">
        <v>1</v>
      </c>
      <c r="M11" s="2">
        <v>32</v>
      </c>
      <c r="V11">
        <f>+D11</f>
        <v>27</v>
      </c>
      <c r="W11">
        <f>+M11</f>
        <v>32</v>
      </c>
    </row>
    <row r="12" spans="1:23" ht="12.75">
      <c r="A12" t="s">
        <v>2</v>
      </c>
      <c r="D12" s="2">
        <v>118</v>
      </c>
      <c r="H12" t="s">
        <v>2</v>
      </c>
      <c r="M12" s="2">
        <v>65</v>
      </c>
      <c r="P12" s="13"/>
      <c r="U12" s="13"/>
      <c r="V12">
        <f>+D16</f>
        <v>21</v>
      </c>
      <c r="W12">
        <f>+M16</f>
        <v>11</v>
      </c>
    </row>
    <row r="13" spans="1:23" ht="12.75">
      <c r="A13" s="1" t="s">
        <v>3</v>
      </c>
      <c r="D13" s="8">
        <f>+D12/D11</f>
        <v>4.37037037037037</v>
      </c>
      <c r="H13" s="1" t="s">
        <v>3</v>
      </c>
      <c r="M13" s="8">
        <f>+M12/M11</f>
        <v>2.03125</v>
      </c>
      <c r="V13">
        <f>+(D15-D16)/2</f>
        <v>9</v>
      </c>
      <c r="W13">
        <f>+(M15-M16)/2</f>
        <v>6</v>
      </c>
    </row>
    <row r="14" spans="22:23" ht="12.75">
      <c r="V14">
        <f>+D38/2</f>
        <v>2.5</v>
      </c>
      <c r="W14">
        <f>+M38/2</f>
        <v>3.5</v>
      </c>
    </row>
    <row r="15" spans="1:23" ht="12.75">
      <c r="A15" t="s">
        <v>4</v>
      </c>
      <c r="D15" s="2">
        <v>39</v>
      </c>
      <c r="H15" t="s">
        <v>4</v>
      </c>
      <c r="M15" s="2">
        <v>23</v>
      </c>
      <c r="V15">
        <f>+D42/2</f>
        <v>1.5</v>
      </c>
      <c r="W15">
        <f>+M42/2</f>
        <v>1.5</v>
      </c>
    </row>
    <row r="16" spans="1:23" ht="12.75">
      <c r="A16" t="s">
        <v>5</v>
      </c>
      <c r="D16" s="2">
        <v>21</v>
      </c>
      <c r="H16" t="s">
        <v>5</v>
      </c>
      <c r="M16" s="2">
        <v>11</v>
      </c>
      <c r="V16">
        <f>+D48/2</f>
        <v>0.5</v>
      </c>
      <c r="W16">
        <f>+M48/2</f>
        <v>0</v>
      </c>
    </row>
    <row r="17" spans="1:13" ht="12.75">
      <c r="A17" t="s">
        <v>6</v>
      </c>
      <c r="D17" s="8">
        <f>+D16/D15*100</f>
        <v>53.84615384615385</v>
      </c>
      <c r="H17" t="s">
        <v>6</v>
      </c>
      <c r="M17" s="8">
        <f>+M16/M15*100</f>
        <v>47.82608695652174</v>
      </c>
    </row>
    <row r="18" spans="1:24" ht="12.75">
      <c r="A18" t="s">
        <v>7</v>
      </c>
      <c r="D18" s="2">
        <v>220</v>
      </c>
      <c r="H18" t="s">
        <v>7</v>
      </c>
      <c r="M18" s="2">
        <v>118</v>
      </c>
      <c r="V18">
        <f>SUM(V11:V16)</f>
        <v>61.5</v>
      </c>
      <c r="W18">
        <f>SUM(W11:W16)</f>
        <v>54</v>
      </c>
      <c r="X18">
        <f>+W18+V18</f>
        <v>115.5</v>
      </c>
    </row>
    <row r="19" spans="1:23" ht="12.75">
      <c r="A19" t="s">
        <v>8</v>
      </c>
      <c r="D19" s="2">
        <v>3</v>
      </c>
      <c r="H19" t="s">
        <v>8</v>
      </c>
      <c r="M19" s="2">
        <v>1</v>
      </c>
      <c r="V19">
        <f>+V18/X18</f>
        <v>0.5324675324675324</v>
      </c>
      <c r="W19">
        <f>+W18/X18</f>
        <v>0.4675324675324675</v>
      </c>
    </row>
    <row r="20" spans="1:23" ht="12.75">
      <c r="A20" t="s">
        <v>9</v>
      </c>
      <c r="D20" s="2">
        <v>25</v>
      </c>
      <c r="H20" t="s">
        <v>9</v>
      </c>
      <c r="M20" s="2">
        <v>8</v>
      </c>
      <c r="V20">
        <f>+V19*60</f>
        <v>31.948051948051944</v>
      </c>
      <c r="W20">
        <f>+W19*60</f>
        <v>28.051948051948052</v>
      </c>
    </row>
    <row r="21" spans="1:23" ht="12.75">
      <c r="A21" t="s">
        <v>10</v>
      </c>
      <c r="D21">
        <f>+D18-D20</f>
        <v>195</v>
      </c>
      <c r="H21" t="s">
        <v>10</v>
      </c>
      <c r="M21">
        <f>+M18-M20</f>
        <v>110</v>
      </c>
      <c r="V21">
        <f>+V20-INT(V20)</f>
        <v>0.948051948051944</v>
      </c>
      <c r="W21">
        <f>+W20-INT(W20)</f>
        <v>0.05194805194805241</v>
      </c>
    </row>
    <row r="22" spans="1:23" ht="12.75">
      <c r="A22" t="s">
        <v>11</v>
      </c>
      <c r="D22" s="7">
        <f>+D21/(D15+D19)</f>
        <v>4.642857142857143</v>
      </c>
      <c r="H22" t="s">
        <v>11</v>
      </c>
      <c r="M22" s="7">
        <f>+M21/(M15+M19)</f>
        <v>4.583333333333333</v>
      </c>
      <c r="V22">
        <f>+V21*60</f>
        <v>56.88311688311664</v>
      </c>
      <c r="W22">
        <f>+W21*60</f>
        <v>3.1168831168831446</v>
      </c>
    </row>
    <row r="23" spans="1:23" ht="12.75">
      <c r="A23" t="s">
        <v>12</v>
      </c>
      <c r="D23" s="7">
        <f>+D18/D16</f>
        <v>10.476190476190476</v>
      </c>
      <c r="H23" t="s">
        <v>12</v>
      </c>
      <c r="M23" s="7">
        <f>+M18/M16</f>
        <v>10.727272727272727</v>
      </c>
      <c r="Q23" s="11"/>
      <c r="U23">
        <v>0</v>
      </c>
      <c r="V23" s="11">
        <f>ROUND(V22,0)</f>
        <v>57</v>
      </c>
      <c r="W23">
        <f>ROUND(W22,0)</f>
        <v>3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313</v>
      </c>
      <c r="H26" t="s">
        <v>14</v>
      </c>
      <c r="M26">
        <f>+M21+M12</f>
        <v>175</v>
      </c>
      <c r="Q26" s="14"/>
      <c r="R26" s="9"/>
      <c r="V26" s="14" t="str">
        <f>+V24&amp;V25&amp;V23</f>
        <v>31:57</v>
      </c>
      <c r="W26" s="9" t="str">
        <f>+W24&amp;W25&amp;W23</f>
        <v>28:3</v>
      </c>
    </row>
    <row r="27" spans="1:23" ht="12.75">
      <c r="A27" t="s">
        <v>15</v>
      </c>
      <c r="D27" s="7">
        <f>+D12/D26*100</f>
        <v>37.69968051118211</v>
      </c>
      <c r="H27" t="s">
        <v>15</v>
      </c>
      <c r="M27" s="7">
        <f>+M12/M26*100</f>
        <v>37.142857142857146</v>
      </c>
      <c r="Q27" s="9"/>
      <c r="R27" s="9"/>
      <c r="V27" s="9" t="str">
        <f>IF(V23&lt;10,+V24&amp;V25&amp;$U$23&amp;V23,+V24&amp;V25&amp;V23)</f>
        <v>31:57</v>
      </c>
      <c r="W27" s="9" t="str">
        <f>IF(W23&lt;10,+W24&amp;W25&amp;$U$23&amp;W23,+W24&amp;W25&amp;W23)</f>
        <v>28:03</v>
      </c>
    </row>
    <row r="28" spans="1:16" ht="12.75">
      <c r="A28" s="1" t="s">
        <v>86</v>
      </c>
      <c r="D28" s="7">
        <f>+D21/D26*100</f>
        <v>62.30031948881789</v>
      </c>
      <c r="H28" s="1" t="s">
        <v>86</v>
      </c>
      <c r="M28" s="7">
        <f>+M21/M26*100</f>
        <v>62.857142857142854</v>
      </c>
      <c r="P28" s="13"/>
    </row>
    <row r="30" spans="1:13" ht="12.75">
      <c r="A30" t="s">
        <v>16</v>
      </c>
      <c r="D30">
        <f>D11+D15+D19</f>
        <v>69</v>
      </c>
      <c r="H30" t="s">
        <v>16</v>
      </c>
      <c r="M30">
        <f>+M11+M15+M19</f>
        <v>56</v>
      </c>
    </row>
    <row r="31" spans="1:13" ht="12.75">
      <c r="A31" t="s">
        <v>17</v>
      </c>
      <c r="D31" s="8">
        <f>+D26/D30</f>
        <v>4.536231884057971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3.125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17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7</v>
      </c>
    </row>
    <row r="39" spans="1:13" ht="12.75">
      <c r="A39" t="s">
        <v>23</v>
      </c>
      <c r="D39" s="2">
        <v>213</v>
      </c>
      <c r="H39" t="s">
        <v>23</v>
      </c>
      <c r="M39" s="2">
        <v>293</v>
      </c>
    </row>
    <row r="40" spans="1:13" ht="12.75">
      <c r="A40" t="s">
        <v>24</v>
      </c>
      <c r="D40" s="8">
        <f>+D39/D38</f>
        <v>42.6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41.857142857142854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26</v>
      </c>
      <c r="H43" t="s">
        <v>26</v>
      </c>
      <c r="M43" s="2">
        <v>33</v>
      </c>
    </row>
    <row r="44" spans="1:13" ht="12.75">
      <c r="A44" t="s">
        <v>27</v>
      </c>
      <c r="D44" s="8">
        <f>+D43/D42</f>
        <v>8.666666666666666</v>
      </c>
      <c r="H44" t="s">
        <v>27</v>
      </c>
      <c r="M44" s="8">
        <f>+M43/M42</f>
        <v>11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</v>
      </c>
      <c r="H48" t="s">
        <v>30</v>
      </c>
      <c r="M48" s="2">
        <v>0</v>
      </c>
    </row>
    <row r="49" spans="1:13" ht="12.75">
      <c r="A49" t="s">
        <v>26</v>
      </c>
      <c r="D49" s="2">
        <v>10</v>
      </c>
      <c r="H49" t="s">
        <v>26</v>
      </c>
      <c r="M49" s="2">
        <v>0</v>
      </c>
    </row>
    <row r="50" spans="1:13" ht="12.75">
      <c r="A50" t="s">
        <v>27</v>
      </c>
      <c r="D50" s="8">
        <f>+D49/D48</f>
        <v>10</v>
      </c>
      <c r="H50" t="s">
        <v>27</v>
      </c>
      <c r="M50" s="8">
        <v>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10</v>
      </c>
      <c r="H53" t="s">
        <v>31</v>
      </c>
      <c r="M53" s="2">
        <v>3</v>
      </c>
    </row>
    <row r="54" spans="1:13" ht="12.75">
      <c r="A54" t="s">
        <v>32</v>
      </c>
      <c r="D54" s="2">
        <v>83</v>
      </c>
      <c r="H54" t="s">
        <v>32</v>
      </c>
      <c r="M54" s="2">
        <v>40</v>
      </c>
    </row>
    <row r="56" spans="1:13" ht="12.75">
      <c r="A56" t="s">
        <v>33</v>
      </c>
      <c r="D56" s="2">
        <v>5</v>
      </c>
      <c r="H56" t="s">
        <v>33</v>
      </c>
      <c r="M56" s="2">
        <v>1</v>
      </c>
    </row>
    <row r="57" spans="1:13" ht="12.75">
      <c r="A57" t="s">
        <v>101</v>
      </c>
      <c r="D57" s="2">
        <v>4</v>
      </c>
      <c r="H57" t="s">
        <v>101</v>
      </c>
      <c r="M57" s="2">
        <v>0</v>
      </c>
    </row>
    <row r="59" spans="1:13" ht="12.75">
      <c r="A59" t="s">
        <v>34</v>
      </c>
      <c r="D59" s="2">
        <v>0</v>
      </c>
      <c r="H59" t="s">
        <v>34</v>
      </c>
      <c r="M59" s="2">
        <v>13</v>
      </c>
    </row>
    <row r="60" spans="1:13" ht="12.75">
      <c r="A60" t="s">
        <v>35</v>
      </c>
      <c r="D60" s="2">
        <v>0</v>
      </c>
      <c r="H60" t="s">
        <v>35</v>
      </c>
      <c r="M60" s="2">
        <v>1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0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66.66666666666666</v>
      </c>
    </row>
    <row r="69" spans="1:13" ht="12.75">
      <c r="A69" t="s">
        <v>89</v>
      </c>
      <c r="D69" s="10" t="str">
        <f>IF(V23&lt;10,V27,V26)</f>
        <v>31:57</v>
      </c>
      <c r="E69" s="8"/>
      <c r="F69" s="8"/>
      <c r="H69" t="s">
        <v>89</v>
      </c>
      <c r="M69" s="10" t="str">
        <f>IF(W23&lt;10,W27,W26)</f>
        <v>28:03</v>
      </c>
    </row>
    <row r="70" spans="1:13" ht="12.75">
      <c r="A70" t="s">
        <v>102</v>
      </c>
      <c r="D70" s="23">
        <f>D154</f>
        <v>38.46153846153847</v>
      </c>
      <c r="E70" s="8"/>
      <c r="F70" s="8"/>
      <c r="H70" t="s">
        <v>102</v>
      </c>
      <c r="M70" s="23">
        <f>M154</f>
        <v>20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9</v>
      </c>
      <c r="D74">
        <v>28</v>
      </c>
      <c r="E74" s="12">
        <f aca="true" t="shared" si="0" ref="E74:E82">+D74/C74</f>
        <v>3.111111111111111</v>
      </c>
      <c r="F74">
        <v>8</v>
      </c>
      <c r="G74">
        <v>0</v>
      </c>
      <c r="H74">
        <v>0</v>
      </c>
    </row>
    <row r="75" spans="1:8" ht="12.75">
      <c r="A75" t="s">
        <v>110</v>
      </c>
      <c r="C75">
        <v>15</v>
      </c>
      <c r="D75">
        <v>80</v>
      </c>
      <c r="E75" s="12">
        <f t="shared" si="0"/>
        <v>5.333333333333333</v>
      </c>
      <c r="F75">
        <v>30</v>
      </c>
      <c r="G75">
        <v>0</v>
      </c>
      <c r="H75">
        <v>3</v>
      </c>
    </row>
    <row r="76" spans="1:8" ht="12.75">
      <c r="A76" t="s">
        <v>111</v>
      </c>
      <c r="C76">
        <v>2</v>
      </c>
      <c r="D76">
        <v>6</v>
      </c>
      <c r="E76" s="12">
        <f t="shared" si="0"/>
        <v>3</v>
      </c>
      <c r="F76">
        <v>4</v>
      </c>
      <c r="G76">
        <v>0</v>
      </c>
      <c r="H76">
        <v>0</v>
      </c>
    </row>
    <row r="77" spans="1:8" ht="12.75">
      <c r="A77" t="s">
        <v>112</v>
      </c>
      <c r="C77">
        <v>1</v>
      </c>
      <c r="D77">
        <v>4</v>
      </c>
      <c r="E77" s="12">
        <f t="shared" si="0"/>
        <v>4</v>
      </c>
      <c r="F77">
        <v>4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11</v>
      </c>
      <c r="D85">
        <v>125</v>
      </c>
      <c r="E85" s="12">
        <f aca="true" t="shared" si="1" ref="E85:E96">+D85/C85</f>
        <v>11.363636363636363</v>
      </c>
      <c r="F85">
        <v>23</v>
      </c>
      <c r="G85">
        <v>0</v>
      </c>
      <c r="H85">
        <v>0</v>
      </c>
    </row>
    <row r="86" spans="1:8" ht="12.75">
      <c r="A86" t="s">
        <v>118</v>
      </c>
      <c r="C86">
        <v>2</v>
      </c>
      <c r="D86">
        <v>25</v>
      </c>
      <c r="E86" s="12">
        <f t="shared" si="1"/>
        <v>12.5</v>
      </c>
      <c r="F86">
        <v>15</v>
      </c>
      <c r="G86">
        <v>0</v>
      </c>
      <c r="H86">
        <v>0</v>
      </c>
    </row>
    <row r="87" spans="1:8" ht="12.75">
      <c r="A87" t="s">
        <v>113</v>
      </c>
      <c r="C87">
        <v>2</v>
      </c>
      <c r="D87">
        <v>46</v>
      </c>
      <c r="E87" s="12">
        <f t="shared" si="1"/>
        <v>23</v>
      </c>
      <c r="F87">
        <v>34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4</v>
      </c>
      <c r="E88" s="12">
        <f t="shared" si="1"/>
        <v>4</v>
      </c>
      <c r="F88">
        <v>4</v>
      </c>
      <c r="G88">
        <v>0</v>
      </c>
      <c r="H88">
        <v>0</v>
      </c>
    </row>
    <row r="89" spans="1:5" ht="12.75">
      <c r="A89" t="s">
        <v>116</v>
      </c>
      <c r="E89" s="12" t="e">
        <f t="shared" si="1"/>
        <v>#DIV/0!</v>
      </c>
    </row>
    <row r="90" spans="1:8" ht="12.75">
      <c r="A90" t="s">
        <v>110</v>
      </c>
      <c r="C90">
        <v>1</v>
      </c>
      <c r="D90">
        <v>2</v>
      </c>
      <c r="E90" s="12">
        <f t="shared" si="1"/>
        <v>2</v>
      </c>
      <c r="F90">
        <v>2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12</v>
      </c>
      <c r="E91" s="12">
        <f t="shared" si="1"/>
        <v>6</v>
      </c>
      <c r="F91">
        <v>8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8" ht="12.75">
      <c r="A93" t="s">
        <v>121</v>
      </c>
      <c r="C93">
        <v>2</v>
      </c>
      <c r="D93">
        <v>6</v>
      </c>
      <c r="E93" s="12">
        <f t="shared" si="1"/>
        <v>3</v>
      </c>
      <c r="F93">
        <v>8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33</v>
      </c>
      <c r="D100">
        <v>17</v>
      </c>
      <c r="E100" s="12">
        <f>+D100/C100*100</f>
        <v>51.515151515151516</v>
      </c>
      <c r="F100">
        <v>159</v>
      </c>
      <c r="G100">
        <v>0</v>
      </c>
      <c r="H100">
        <v>34</v>
      </c>
      <c r="I100">
        <v>1</v>
      </c>
      <c r="J100" s="8">
        <f>+G100/C100*100</f>
        <v>0</v>
      </c>
      <c r="K100" s="12">
        <f>+I100/C100*100</f>
        <v>3.0303030303030303</v>
      </c>
      <c r="L100" s="12">
        <f>+F100/C100</f>
        <v>4.818181818181818</v>
      </c>
      <c r="M100" s="12">
        <f>100*(S100+U100+W100+Y100)/6</f>
        <v>52.46212121212121</v>
      </c>
      <c r="R100">
        <f>+(E100-30)/20</f>
        <v>1.0757575757575757</v>
      </c>
      <c r="S100" s="2">
        <f>IF(R100&lt;0,0,IF(R100&gt;2.375,2.375,R100))</f>
        <v>1.0757575757575757</v>
      </c>
      <c r="T100" s="6">
        <f>+(L100-3)/4</f>
        <v>0.4545454545454546</v>
      </c>
      <c r="U100" s="2">
        <f>IF(T100&lt;0,0,IF(T100&gt;2.375,2.375,T100))</f>
        <v>0.4545454545454546</v>
      </c>
      <c r="V100">
        <f>+J100/5</f>
        <v>0</v>
      </c>
      <c r="W100" s="2">
        <f>IF(V100&lt;0,0,IF(V100&gt;2.375,2.375,V100))</f>
        <v>0</v>
      </c>
      <c r="X100">
        <f>(9.5-K100)/4</f>
        <v>1.6174242424242424</v>
      </c>
      <c r="Y100" s="2">
        <f>IF(X100&lt;0,0,X100)</f>
        <v>1.6174242424242424</v>
      </c>
    </row>
    <row r="101" spans="1:25" ht="12.75">
      <c r="A101" t="s">
        <v>117</v>
      </c>
      <c r="C101">
        <v>6</v>
      </c>
      <c r="D101">
        <v>4</v>
      </c>
      <c r="E101" s="12">
        <f>+D101/C101*100</f>
        <v>66.66666666666666</v>
      </c>
      <c r="F101">
        <v>61</v>
      </c>
      <c r="G101">
        <v>0</v>
      </c>
      <c r="H101">
        <v>23</v>
      </c>
      <c r="I101">
        <v>0</v>
      </c>
      <c r="J101" s="8">
        <f>+G101/C101*100</f>
        <v>0</v>
      </c>
      <c r="K101" s="12">
        <f>+I101/C101*100</f>
        <v>0</v>
      </c>
      <c r="L101" s="12">
        <f>+F101/C101</f>
        <v>10.166666666666666</v>
      </c>
      <c r="M101" s="12">
        <f>100*(S101+U101+W101+Y101)/6</f>
        <v>99.99999999999999</v>
      </c>
      <c r="R101">
        <f>+(E101-30)/20</f>
        <v>1.8333333333333328</v>
      </c>
      <c r="S101" s="2">
        <f>IF(R101&lt;0,0,IF(R101&gt;2.375,2.375,R101))</f>
        <v>1.8333333333333328</v>
      </c>
      <c r="T101" s="6">
        <f>+(L101-3)/4</f>
        <v>1.7916666666666665</v>
      </c>
      <c r="U101" s="2">
        <f>IF(T101&lt;0,0,IF(T101&gt;2.375,2.375,T101))</f>
        <v>1.7916666666666665</v>
      </c>
      <c r="V101">
        <f>+J101/5</f>
        <v>0</v>
      </c>
      <c r="W101" s="2">
        <f>IF(V101&lt;0,0,IF(V101&gt;2.375,2.375,V101))</f>
        <v>0</v>
      </c>
      <c r="X101">
        <f>(9.5-K101)/4</f>
        <v>2.375</v>
      </c>
      <c r="Y101" s="2">
        <f>IF(X101&lt;0,0,X101)</f>
        <v>2.375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1</v>
      </c>
      <c r="E107">
        <v>26</v>
      </c>
      <c r="F107" s="12">
        <f>+E107/C107</f>
        <v>8.666666666666666</v>
      </c>
      <c r="G107">
        <v>16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5" ht="12.75">
      <c r="A110" t="s">
        <v>121</v>
      </c>
      <c r="E110" s="12" t="e">
        <f aca="true" t="shared" si="2" ref="E110:E115">+D110/C110</f>
        <v>#DIV/0!</v>
      </c>
    </row>
    <row r="111" spans="1:5" ht="12.75">
      <c r="A111" t="s">
        <v>112</v>
      </c>
      <c r="E111" s="12" t="e">
        <f t="shared" si="2"/>
        <v>#DIV/0!</v>
      </c>
    </row>
    <row r="112" spans="1:8" ht="12.75">
      <c r="A112" t="s">
        <v>123</v>
      </c>
      <c r="C112">
        <v>1</v>
      </c>
      <c r="D112">
        <v>10</v>
      </c>
      <c r="E112" s="12">
        <f t="shared" si="2"/>
        <v>10</v>
      </c>
      <c r="F112">
        <v>10</v>
      </c>
      <c r="G112">
        <v>0</v>
      </c>
      <c r="H112">
        <v>0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5</v>
      </c>
      <c r="D118">
        <v>213</v>
      </c>
      <c r="E118" s="12">
        <f>+D118/C118</f>
        <v>42.6</v>
      </c>
      <c r="F118">
        <v>54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1</v>
      </c>
      <c r="D121">
        <v>1</v>
      </c>
      <c r="E121">
        <v>0</v>
      </c>
      <c r="F121">
        <v>0</v>
      </c>
      <c r="G121">
        <v>3</v>
      </c>
      <c r="H121">
        <v>0</v>
      </c>
      <c r="I121" s="12">
        <f>+H121/G121*100</f>
        <v>0</v>
      </c>
      <c r="J121">
        <v>0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2" t="s">
        <v>68</v>
      </c>
      <c r="D134" s="2"/>
    </row>
    <row r="135" ht="12.75">
      <c r="A135" t="s">
        <v>134</v>
      </c>
    </row>
    <row r="136" ht="12.75">
      <c r="A136" t="s">
        <v>135</v>
      </c>
    </row>
    <row r="137" spans="1:3" ht="12.75">
      <c r="A137" t="s">
        <v>136</v>
      </c>
      <c r="C137">
        <v>1</v>
      </c>
    </row>
    <row r="138" ht="12.75">
      <c r="A138" t="s">
        <v>137</v>
      </c>
    </row>
    <row r="139" ht="12.75">
      <c r="A139" t="s">
        <v>130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13</v>
      </c>
      <c r="H152" t="s">
        <v>93</v>
      </c>
      <c r="M152">
        <v>15</v>
      </c>
    </row>
    <row r="153" spans="1:13" ht="12.75">
      <c r="A153" t="s">
        <v>94</v>
      </c>
      <c r="D153">
        <v>5</v>
      </c>
      <c r="H153" t="s">
        <v>94</v>
      </c>
      <c r="M153">
        <v>3</v>
      </c>
    </row>
    <row r="154" spans="1:13" ht="12.75">
      <c r="A154" t="s">
        <v>95</v>
      </c>
      <c r="D154">
        <f>D153/D152*100</f>
        <v>38.46153846153847</v>
      </c>
      <c r="H154" t="s">
        <v>95</v>
      </c>
      <c r="M154">
        <f>+M153/M152*100</f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54"/>
  <sheetViews>
    <sheetView zoomScalePageLayoutView="0" workbookViewId="0" topLeftCell="A70">
      <selection activeCell="W100" sqref="W100:W10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25</v>
      </c>
      <c r="H6" s="1" t="s">
        <v>29</v>
      </c>
      <c r="M6" s="2">
        <f>M7+M8+M9</f>
        <v>21</v>
      </c>
    </row>
    <row r="7" spans="1:13" ht="12.75">
      <c r="A7" s="1" t="s">
        <v>103</v>
      </c>
      <c r="D7" s="2">
        <v>13</v>
      </c>
      <c r="H7" s="1" t="s">
        <v>103</v>
      </c>
      <c r="M7" s="2">
        <v>9</v>
      </c>
    </row>
    <row r="8" spans="1:13" ht="12.75">
      <c r="A8" s="1" t="s">
        <v>105</v>
      </c>
      <c r="D8" s="2">
        <v>9</v>
      </c>
      <c r="H8" s="1" t="s">
        <v>105</v>
      </c>
      <c r="M8" s="2">
        <v>9</v>
      </c>
    </row>
    <row r="9" spans="1:13" ht="12.75">
      <c r="A9" s="1" t="s">
        <v>104</v>
      </c>
      <c r="D9" s="2">
        <v>3</v>
      </c>
      <c r="H9" s="1" t="s">
        <v>104</v>
      </c>
      <c r="M9" s="2">
        <v>3</v>
      </c>
    </row>
    <row r="11" spans="1:23" ht="12.75">
      <c r="A11" t="s">
        <v>1</v>
      </c>
      <c r="D11" s="2">
        <v>32</v>
      </c>
      <c r="H11" t="s">
        <v>1</v>
      </c>
      <c r="M11" s="2">
        <v>32</v>
      </c>
      <c r="V11">
        <f>+D11</f>
        <v>32</v>
      </c>
      <c r="W11">
        <f>+M11</f>
        <v>32</v>
      </c>
    </row>
    <row r="12" spans="1:23" ht="12.75">
      <c r="A12" t="s">
        <v>2</v>
      </c>
      <c r="D12" s="2">
        <v>171</v>
      </c>
      <c r="H12" t="s">
        <v>2</v>
      </c>
      <c r="M12" s="2">
        <v>145</v>
      </c>
      <c r="U12" s="13"/>
      <c r="V12">
        <f>+D16</f>
        <v>21</v>
      </c>
      <c r="W12">
        <f>+M16</f>
        <v>18</v>
      </c>
    </row>
    <row r="13" spans="1:23" ht="12.75">
      <c r="A13" s="1" t="s">
        <v>3</v>
      </c>
      <c r="D13" s="8">
        <f>+D12/D11</f>
        <v>5.34375</v>
      </c>
      <c r="H13" s="1" t="s">
        <v>3</v>
      </c>
      <c r="M13" s="8">
        <f>+M12/M11</f>
        <v>4.53125</v>
      </c>
      <c r="V13">
        <f>+(D15-D16)/2</f>
        <v>4</v>
      </c>
      <c r="W13">
        <f>+(M15-M16)/2</f>
        <v>6</v>
      </c>
    </row>
    <row r="14" spans="22:23" ht="12.75">
      <c r="V14">
        <f>+D38/2</f>
        <v>2.5</v>
      </c>
      <c r="W14">
        <f>+M38/2</f>
        <v>3</v>
      </c>
    </row>
    <row r="15" spans="1:23" ht="12.75">
      <c r="A15" t="s">
        <v>4</v>
      </c>
      <c r="D15" s="2">
        <v>29</v>
      </c>
      <c r="H15" t="s">
        <v>4</v>
      </c>
      <c r="M15" s="2">
        <v>30</v>
      </c>
      <c r="V15">
        <f>+D42/2</f>
        <v>1.5</v>
      </c>
      <c r="W15">
        <f>+M42/2</f>
        <v>1.5</v>
      </c>
    </row>
    <row r="16" spans="1:23" ht="12.75">
      <c r="A16" t="s">
        <v>5</v>
      </c>
      <c r="D16" s="2">
        <v>21</v>
      </c>
      <c r="H16" t="s">
        <v>5</v>
      </c>
      <c r="M16" s="2">
        <v>18</v>
      </c>
      <c r="V16">
        <f>+D48/2</f>
        <v>3</v>
      </c>
      <c r="W16">
        <f>+M48/2</f>
        <v>1.5</v>
      </c>
    </row>
    <row r="17" spans="1:13" ht="12.75">
      <c r="A17" t="s">
        <v>6</v>
      </c>
      <c r="D17" s="8">
        <f>+D16/D15*100</f>
        <v>72.41379310344827</v>
      </c>
      <c r="H17" t="s">
        <v>6</v>
      </c>
      <c r="M17" s="8">
        <f>+M16/M15*100</f>
        <v>60</v>
      </c>
    </row>
    <row r="18" spans="1:24" ht="12.75">
      <c r="A18" t="s">
        <v>7</v>
      </c>
      <c r="D18" s="2">
        <v>251</v>
      </c>
      <c r="H18" t="s">
        <v>7</v>
      </c>
      <c r="M18" s="2">
        <v>177</v>
      </c>
      <c r="V18">
        <f>SUM(V11:V16)</f>
        <v>64</v>
      </c>
      <c r="W18">
        <f>SUM(W11:W16)</f>
        <v>62</v>
      </c>
      <c r="X18">
        <f>+W18+V18</f>
        <v>126</v>
      </c>
    </row>
    <row r="19" spans="1:23" ht="12.75">
      <c r="A19" t="s">
        <v>8</v>
      </c>
      <c r="D19" s="2">
        <v>2</v>
      </c>
      <c r="H19" t="s">
        <v>8</v>
      </c>
      <c r="M19" s="2">
        <v>5</v>
      </c>
      <c r="V19">
        <f>+V18/X18</f>
        <v>0.5079365079365079</v>
      </c>
      <c r="W19">
        <f>+W18/X18</f>
        <v>0.49206349206349204</v>
      </c>
    </row>
    <row r="20" spans="1:23" ht="12.75">
      <c r="A20" t="s">
        <v>9</v>
      </c>
      <c r="D20" s="2">
        <v>28</v>
      </c>
      <c r="H20" t="s">
        <v>9</v>
      </c>
      <c r="M20" s="2">
        <v>36</v>
      </c>
      <c r="V20">
        <f>+V19*60</f>
        <v>30.476190476190474</v>
      </c>
      <c r="W20">
        <f>+W19*60</f>
        <v>29.523809523809522</v>
      </c>
    </row>
    <row r="21" spans="1:23" ht="12.75">
      <c r="A21" t="s">
        <v>10</v>
      </c>
      <c r="D21">
        <f>+D18-D20</f>
        <v>223</v>
      </c>
      <c r="H21" t="s">
        <v>10</v>
      </c>
      <c r="M21">
        <f>+M18-M20</f>
        <v>141</v>
      </c>
      <c r="V21">
        <f>+V20-INT(V20)</f>
        <v>0.4761904761904745</v>
      </c>
      <c r="W21">
        <f>+W20-INT(W20)</f>
        <v>0.523809523809522</v>
      </c>
    </row>
    <row r="22" spans="1:23" ht="12.75">
      <c r="A22" t="s">
        <v>11</v>
      </c>
      <c r="D22" s="7">
        <f>+D21/(D15+D19)</f>
        <v>7.193548387096774</v>
      </c>
      <c r="H22" t="s">
        <v>11</v>
      </c>
      <c r="M22" s="7">
        <f>+M21/(M15+M19)</f>
        <v>4.0285714285714285</v>
      </c>
      <c r="V22">
        <f>+V21*60</f>
        <v>28.57142857142847</v>
      </c>
      <c r="W22">
        <f>+W21*60</f>
        <v>31.428571428571317</v>
      </c>
    </row>
    <row r="23" spans="1:23" ht="12.75">
      <c r="A23" t="s">
        <v>12</v>
      </c>
      <c r="D23" s="7">
        <f>+D18/D16</f>
        <v>11.952380952380953</v>
      </c>
      <c r="H23" t="s">
        <v>12</v>
      </c>
      <c r="M23" s="7">
        <f>+M18/M16</f>
        <v>9.833333333333334</v>
      </c>
      <c r="U23">
        <v>0</v>
      </c>
      <c r="V23" s="11">
        <f>ROUND(V22,0)</f>
        <v>29</v>
      </c>
      <c r="W23">
        <f>ROUND(W22,0)</f>
        <v>31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394</v>
      </c>
      <c r="H26" t="s">
        <v>14</v>
      </c>
      <c r="M26">
        <f>+M21+M12</f>
        <v>286</v>
      </c>
      <c r="Q26" s="9"/>
      <c r="R26" s="9"/>
      <c r="V26" s="14" t="str">
        <f>+V24&amp;V25&amp;V23</f>
        <v>30:29</v>
      </c>
      <c r="W26" s="9" t="str">
        <f>+W24&amp;W25&amp;W23</f>
        <v>29:31</v>
      </c>
    </row>
    <row r="27" spans="1:23" ht="12.75">
      <c r="A27" t="s">
        <v>15</v>
      </c>
      <c r="D27" s="7">
        <f>+D12/D26*100</f>
        <v>43.401015228426395</v>
      </c>
      <c r="H27" t="s">
        <v>15</v>
      </c>
      <c r="M27" s="7">
        <f>+M12/M26*100</f>
        <v>50.6993006993007</v>
      </c>
      <c r="V27" s="9" t="str">
        <f>IF(V23&lt;10,+V24&amp;V25&amp;$U$23&amp;V23,+V24&amp;V25&amp;V23)</f>
        <v>30:29</v>
      </c>
      <c r="W27" s="9" t="str">
        <f>IF(W23&lt;10,+W24&amp;W25&amp;$U$23&amp;W23,+W24&amp;W25&amp;W23)</f>
        <v>29:31</v>
      </c>
    </row>
    <row r="28" spans="1:13" ht="12.75">
      <c r="A28" s="1" t="s">
        <v>86</v>
      </c>
      <c r="D28" s="7">
        <f>+D21/D26*100</f>
        <v>56.598984771573605</v>
      </c>
      <c r="H28" s="1" t="s">
        <v>86</v>
      </c>
      <c r="M28" s="7">
        <f>+M21/M26*100</f>
        <v>49.3006993006993</v>
      </c>
    </row>
    <row r="30" spans="1:13" ht="12.75">
      <c r="A30" t="s">
        <v>16</v>
      </c>
      <c r="D30">
        <f>+D15+D11+D19</f>
        <v>63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6.253968253968254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4.268656716417911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6</v>
      </c>
    </row>
    <row r="39" spans="1:13" ht="12.75">
      <c r="A39" t="s">
        <v>23</v>
      </c>
      <c r="D39" s="2">
        <v>204</v>
      </c>
      <c r="H39" t="s">
        <v>23</v>
      </c>
      <c r="M39" s="2">
        <v>245</v>
      </c>
    </row>
    <row r="40" spans="1:13" ht="12.75">
      <c r="A40" t="s">
        <v>24</v>
      </c>
      <c r="D40" s="8">
        <f>+D39/D38</f>
        <v>40.8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40.833333333333336</v>
      </c>
    </row>
    <row r="42" spans="1:13" ht="12.75">
      <c r="A42" t="s">
        <v>25</v>
      </c>
      <c r="D42" s="2">
        <v>3</v>
      </c>
      <c r="H42" t="s">
        <v>25</v>
      </c>
      <c r="M42" s="2">
        <v>3</v>
      </c>
    </row>
    <row r="43" spans="1:13" ht="12.75">
      <c r="A43" t="s">
        <v>26</v>
      </c>
      <c r="D43" s="2">
        <v>30</v>
      </c>
      <c r="H43" t="s">
        <v>26</v>
      </c>
      <c r="M43" s="2">
        <v>23</v>
      </c>
    </row>
    <row r="44" spans="1:13" ht="12.75">
      <c r="A44" t="s">
        <v>27</v>
      </c>
      <c r="D44" s="8">
        <f>+D43/D42</f>
        <v>10</v>
      </c>
      <c r="H44" t="s">
        <v>27</v>
      </c>
      <c r="M44" s="8">
        <f>+M43/M42</f>
        <v>7.666666666666667</v>
      </c>
    </row>
    <row r="45" spans="1:13" ht="12.75">
      <c r="A45" t="s">
        <v>106</v>
      </c>
      <c r="D45" s="2">
        <v>2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3</v>
      </c>
    </row>
    <row r="49" spans="1:13" ht="12.75">
      <c r="A49" t="s">
        <v>26</v>
      </c>
      <c r="D49" s="2">
        <v>113</v>
      </c>
      <c r="H49" t="s">
        <v>26</v>
      </c>
      <c r="M49" s="2">
        <v>47</v>
      </c>
    </row>
    <row r="50" spans="1:13" ht="12.75">
      <c r="A50" t="s">
        <v>27</v>
      </c>
      <c r="D50" s="8">
        <f>+D49/D48</f>
        <v>18.833333333333332</v>
      </c>
      <c r="H50" t="s">
        <v>27</v>
      </c>
      <c r="M50" s="8">
        <f>+M49/M48</f>
        <v>15.666666666666666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9</v>
      </c>
    </row>
    <row r="54" spans="1:13" ht="12.75">
      <c r="A54" t="s">
        <v>32</v>
      </c>
      <c r="D54" s="2">
        <v>60</v>
      </c>
      <c r="H54" t="s">
        <v>32</v>
      </c>
      <c r="M54" s="2">
        <v>57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23</v>
      </c>
      <c r="H59" t="s">
        <v>34</v>
      </c>
      <c r="M59" s="2">
        <v>20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30:29</v>
      </c>
      <c r="E69" s="8"/>
      <c r="F69" s="8"/>
      <c r="H69" t="s">
        <v>92</v>
      </c>
      <c r="M69" s="10" t="str">
        <f>IF(W23&lt;10,W27,W26)</f>
        <v>29:31</v>
      </c>
    </row>
    <row r="70" spans="1:13" ht="12.75">
      <c r="A70" t="s">
        <v>102</v>
      </c>
      <c r="D70" s="23">
        <f>D154</f>
        <v>36.36363636363637</v>
      </c>
      <c r="E70" s="8"/>
      <c r="F70" s="8"/>
      <c r="H70" t="s">
        <v>102</v>
      </c>
      <c r="M70" s="23">
        <f>M154</f>
        <v>37.5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13</v>
      </c>
      <c r="D74">
        <v>116</v>
      </c>
      <c r="E74" s="12">
        <f aca="true" t="shared" si="0" ref="E74:E82">+D74/C74</f>
        <v>8.923076923076923</v>
      </c>
      <c r="F74">
        <v>18</v>
      </c>
      <c r="G74">
        <v>0</v>
      </c>
      <c r="H74">
        <v>0</v>
      </c>
    </row>
    <row r="75" spans="1:8" ht="12.75">
      <c r="A75" t="s">
        <v>110</v>
      </c>
      <c r="C75">
        <v>10</v>
      </c>
      <c r="D75">
        <v>38</v>
      </c>
      <c r="E75" s="12">
        <f t="shared" si="0"/>
        <v>3.8</v>
      </c>
      <c r="F75">
        <v>12</v>
      </c>
      <c r="G75">
        <v>0</v>
      </c>
      <c r="H75">
        <v>0</v>
      </c>
    </row>
    <row r="76" spans="1:8" ht="12.75">
      <c r="A76" t="s">
        <v>111</v>
      </c>
      <c r="C76">
        <v>3</v>
      </c>
      <c r="D76">
        <v>2</v>
      </c>
      <c r="E76" s="12">
        <f t="shared" si="0"/>
        <v>0.6666666666666666</v>
      </c>
      <c r="F76">
        <v>2</v>
      </c>
      <c r="G76">
        <v>0</v>
      </c>
      <c r="H76">
        <v>0</v>
      </c>
    </row>
    <row r="77" spans="1:8" ht="12.75">
      <c r="A77" t="s">
        <v>112</v>
      </c>
      <c r="C77">
        <v>1</v>
      </c>
      <c r="D77">
        <v>2</v>
      </c>
      <c r="E77" s="12">
        <f t="shared" si="0"/>
        <v>2</v>
      </c>
      <c r="F77">
        <v>2</v>
      </c>
      <c r="G77">
        <v>1</v>
      </c>
      <c r="H77">
        <v>0</v>
      </c>
    </row>
    <row r="78" spans="1:8" ht="12.75">
      <c r="A78" t="s">
        <v>113</v>
      </c>
      <c r="C78">
        <v>1</v>
      </c>
      <c r="D78">
        <v>0</v>
      </c>
      <c r="E78" s="12">
        <f t="shared" si="0"/>
        <v>0</v>
      </c>
      <c r="F78">
        <v>0</v>
      </c>
      <c r="G78">
        <v>0</v>
      </c>
      <c r="H78">
        <v>0</v>
      </c>
    </row>
    <row r="79" spans="1:8" ht="12.75">
      <c r="A79" t="s">
        <v>114</v>
      </c>
      <c r="C79">
        <v>4</v>
      </c>
      <c r="D79">
        <v>13</v>
      </c>
      <c r="E79" s="12">
        <f t="shared" si="0"/>
        <v>3.25</v>
      </c>
      <c r="F79">
        <v>5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5</v>
      </c>
      <c r="D85">
        <v>63</v>
      </c>
      <c r="E85" s="12">
        <f aca="true" t="shared" si="1" ref="E85:E96">+D85/C85</f>
        <v>12.6</v>
      </c>
      <c r="F85">
        <v>22</v>
      </c>
      <c r="G85">
        <v>0</v>
      </c>
      <c r="H85">
        <v>0</v>
      </c>
    </row>
    <row r="86" spans="1:8" ht="12.75">
      <c r="A86" t="s">
        <v>118</v>
      </c>
      <c r="C86">
        <v>6</v>
      </c>
      <c r="D86">
        <v>47</v>
      </c>
      <c r="E86" s="12">
        <f t="shared" si="1"/>
        <v>7.833333333333333</v>
      </c>
      <c r="F86">
        <v>16</v>
      </c>
      <c r="G86">
        <v>0</v>
      </c>
      <c r="H86">
        <v>0</v>
      </c>
    </row>
    <row r="87" spans="1:8" ht="12.75">
      <c r="A87" t="s">
        <v>113</v>
      </c>
      <c r="C87">
        <v>4</v>
      </c>
      <c r="D87">
        <v>115</v>
      </c>
      <c r="E87" s="12">
        <f t="shared" si="1"/>
        <v>28.75</v>
      </c>
      <c r="F87">
        <v>43</v>
      </c>
      <c r="G87">
        <v>0</v>
      </c>
      <c r="H87">
        <v>0</v>
      </c>
    </row>
    <row r="88" spans="1:5" ht="12.75">
      <c r="A88" t="s">
        <v>119</v>
      </c>
      <c r="E88" s="12" t="e">
        <f t="shared" si="1"/>
        <v>#DIV/0!</v>
      </c>
    </row>
    <row r="89" spans="1:8" ht="12.75">
      <c r="A89" t="s">
        <v>116</v>
      </c>
      <c r="C89">
        <v>2</v>
      </c>
      <c r="D89">
        <v>26</v>
      </c>
      <c r="E89" s="12">
        <f t="shared" si="1"/>
        <v>13</v>
      </c>
      <c r="F89">
        <v>13</v>
      </c>
      <c r="G89">
        <v>1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2</v>
      </c>
      <c r="D91">
        <v>2</v>
      </c>
      <c r="E91" s="12">
        <f t="shared" si="1"/>
        <v>1</v>
      </c>
      <c r="F91">
        <v>6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8" ht="12.75">
      <c r="A93" t="s">
        <v>121</v>
      </c>
      <c r="C93">
        <v>1</v>
      </c>
      <c r="D93">
        <v>0</v>
      </c>
      <c r="E93" s="12">
        <f t="shared" si="1"/>
        <v>0</v>
      </c>
      <c r="F93">
        <v>0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-2</v>
      </c>
      <c r="E94" s="12">
        <f t="shared" si="1"/>
        <v>-2</v>
      </c>
      <c r="F94">
        <v>-2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29</v>
      </c>
      <c r="D100">
        <v>21</v>
      </c>
      <c r="E100" s="12">
        <f>+D100/C100*100</f>
        <v>72.41379310344827</v>
      </c>
      <c r="F100">
        <v>251</v>
      </c>
      <c r="G100">
        <v>1</v>
      </c>
      <c r="H100">
        <v>43</v>
      </c>
      <c r="I100">
        <v>0</v>
      </c>
      <c r="J100" s="8">
        <f>+G100/C100*100</f>
        <v>3.4482758620689653</v>
      </c>
      <c r="K100" s="12">
        <f>+I100/C100*100</f>
        <v>0</v>
      </c>
      <c r="L100" s="12">
        <f>+F100/C100</f>
        <v>8.655172413793103</v>
      </c>
      <c r="M100" s="12">
        <f>100*(S100+U100+W100+Y100)/6</f>
        <v>109.98563218390804</v>
      </c>
      <c r="R100">
        <f>+(E100-30)/20</f>
        <v>2.1206896551724137</v>
      </c>
      <c r="S100" s="2">
        <f>IF(R100&lt;0,0,IF(R100&gt;2.375,2.375,R100))</f>
        <v>2.1206896551724137</v>
      </c>
      <c r="T100" s="6">
        <f>+(L100-3)/4</f>
        <v>1.4137931034482758</v>
      </c>
      <c r="U100" s="2">
        <f>IF(T100&lt;0,0,IF(T100&gt;2.375,2.375,T100))</f>
        <v>1.4137931034482758</v>
      </c>
      <c r="V100">
        <f>+J100/5</f>
        <v>0.689655172413793</v>
      </c>
      <c r="W100" s="2">
        <f>IF(V100&lt;0,0,IF(V100&gt;2.375,2.375,V100))</f>
        <v>0.689655172413793</v>
      </c>
      <c r="X100">
        <f>(9.5-K100)/4</f>
        <v>2.375</v>
      </c>
      <c r="Y100" s="2">
        <f>IF(X100&lt;0,0,X100)</f>
        <v>2.375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2</v>
      </c>
      <c r="E107">
        <v>30</v>
      </c>
      <c r="F107" s="12">
        <f>+E107/C107</f>
        <v>10</v>
      </c>
      <c r="G107">
        <v>18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5" ht="12.75">
      <c r="A110" t="s">
        <v>121</v>
      </c>
      <c r="E110" s="12" t="e">
        <f aca="true" t="shared" si="2" ref="E110:E115">+D110/C110</f>
        <v>#DIV/0!</v>
      </c>
    </row>
    <row r="111" spans="1:8" ht="12.75">
      <c r="A111" t="s">
        <v>112</v>
      </c>
      <c r="C111">
        <v>5</v>
      </c>
      <c r="D111">
        <v>95</v>
      </c>
      <c r="E111" s="12">
        <f t="shared" si="2"/>
        <v>19</v>
      </c>
      <c r="F111">
        <v>38</v>
      </c>
      <c r="G111">
        <v>0</v>
      </c>
      <c r="H111">
        <v>0</v>
      </c>
    </row>
    <row r="112" spans="1:8" ht="12.75">
      <c r="A112" t="s">
        <v>123</v>
      </c>
      <c r="C112">
        <v>1</v>
      </c>
      <c r="D112">
        <v>18</v>
      </c>
      <c r="E112" s="12">
        <f t="shared" si="2"/>
        <v>18</v>
      </c>
      <c r="F112">
        <v>18</v>
      </c>
      <c r="G112">
        <v>0</v>
      </c>
      <c r="H112">
        <v>0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5</v>
      </c>
      <c r="D118">
        <v>204</v>
      </c>
      <c r="E118" s="12">
        <f>+D118/C118</f>
        <v>40.8</v>
      </c>
      <c r="F118">
        <v>54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5</v>
      </c>
      <c r="D121">
        <v>1</v>
      </c>
      <c r="E121">
        <v>2</v>
      </c>
      <c r="F121">
        <v>2</v>
      </c>
      <c r="G121">
        <v>3</v>
      </c>
      <c r="H121">
        <v>3</v>
      </c>
      <c r="I121" s="12">
        <f>+H121/G121*100</f>
        <v>100</v>
      </c>
      <c r="J121">
        <v>47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2" t="s">
        <v>68</v>
      </c>
      <c r="D134" s="2"/>
    </row>
    <row r="135" spans="1:3" ht="12.75">
      <c r="A135" t="s">
        <v>134</v>
      </c>
      <c r="C135">
        <v>1.5</v>
      </c>
    </row>
    <row r="136" ht="12.75">
      <c r="A136" t="s">
        <v>135</v>
      </c>
    </row>
    <row r="137" ht="12.75">
      <c r="A137" t="s">
        <v>136</v>
      </c>
    </row>
    <row r="138" spans="1:3" ht="12.75">
      <c r="A138" t="s">
        <v>137</v>
      </c>
      <c r="C138">
        <v>2</v>
      </c>
    </row>
    <row r="139" ht="12.75">
      <c r="A139" t="s">
        <v>130</v>
      </c>
    </row>
    <row r="140" ht="12.75">
      <c r="A140" t="s">
        <v>107</v>
      </c>
    </row>
    <row r="141" spans="1:3" ht="12.75">
      <c r="A141" t="s">
        <v>138</v>
      </c>
      <c r="C141">
        <v>1</v>
      </c>
    </row>
    <row r="142" ht="12.75">
      <c r="A142" t="s">
        <v>132</v>
      </c>
    </row>
    <row r="143" ht="12.75">
      <c r="A143" t="s">
        <v>139</v>
      </c>
    </row>
    <row r="144" ht="12.75">
      <c r="A144" t="s">
        <v>131</v>
      </c>
    </row>
    <row r="145" ht="12.75">
      <c r="A145" t="s">
        <v>140</v>
      </c>
    </row>
    <row r="146" spans="1:3" ht="12.75">
      <c r="A146" t="s">
        <v>124</v>
      </c>
      <c r="C146">
        <v>0.5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11</v>
      </c>
      <c r="H152" t="s">
        <v>93</v>
      </c>
      <c r="M152">
        <v>16</v>
      </c>
    </row>
    <row r="153" spans="1:13" ht="12.75">
      <c r="A153" t="s">
        <v>94</v>
      </c>
      <c r="D153">
        <v>4</v>
      </c>
      <c r="H153" t="s">
        <v>94</v>
      </c>
      <c r="M153">
        <v>6</v>
      </c>
    </row>
    <row r="154" spans="1:13" ht="12.75">
      <c r="A154" t="s">
        <v>95</v>
      </c>
      <c r="D154">
        <f>D153/D152*100</f>
        <v>36.36363636363637</v>
      </c>
      <c r="H154" t="s">
        <v>95</v>
      </c>
      <c r="M154">
        <f>+M153/M152*100</f>
        <v>37.5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54"/>
  <sheetViews>
    <sheetView zoomScalePageLayoutView="0" workbookViewId="0" topLeftCell="A94">
      <selection activeCell="W100" sqref="W100:W10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15</v>
      </c>
      <c r="H6" s="1" t="s">
        <v>29</v>
      </c>
      <c r="M6" s="2">
        <f>M7+M8+M9</f>
        <v>17</v>
      </c>
    </row>
    <row r="7" spans="1:13" ht="12.75">
      <c r="A7" s="1" t="s">
        <v>103</v>
      </c>
      <c r="D7" s="2">
        <v>5</v>
      </c>
      <c r="H7" s="1" t="s">
        <v>103</v>
      </c>
      <c r="M7" s="2">
        <v>5</v>
      </c>
    </row>
    <row r="8" spans="1:13" ht="12.75">
      <c r="A8" s="1" t="s">
        <v>105</v>
      </c>
      <c r="D8" s="2">
        <v>8</v>
      </c>
      <c r="H8" s="1" t="s">
        <v>105</v>
      </c>
      <c r="M8" s="2">
        <v>12</v>
      </c>
    </row>
    <row r="9" spans="1:13" ht="12.75">
      <c r="A9" s="1" t="s">
        <v>104</v>
      </c>
      <c r="D9" s="2">
        <v>2</v>
      </c>
      <c r="H9" s="1" t="s">
        <v>104</v>
      </c>
      <c r="M9" s="2">
        <v>0</v>
      </c>
    </row>
    <row r="11" spans="1:23" ht="12.75">
      <c r="A11" t="s">
        <v>1</v>
      </c>
      <c r="D11" s="2">
        <v>26</v>
      </c>
      <c r="H11" t="s">
        <v>1</v>
      </c>
      <c r="M11" s="2">
        <v>23</v>
      </c>
      <c r="V11">
        <f>+D11</f>
        <v>26</v>
      </c>
      <c r="W11">
        <f>+M11</f>
        <v>23</v>
      </c>
    </row>
    <row r="12" spans="1:23" ht="12.75">
      <c r="A12" t="s">
        <v>2</v>
      </c>
      <c r="D12" s="2">
        <v>103</v>
      </c>
      <c r="H12" t="s">
        <v>2</v>
      </c>
      <c r="M12" s="2">
        <v>85</v>
      </c>
      <c r="U12" s="13"/>
      <c r="V12">
        <f>+D16</f>
        <v>15</v>
      </c>
      <c r="W12">
        <f>+M16</f>
        <v>21</v>
      </c>
    </row>
    <row r="13" spans="1:23" ht="12.75">
      <c r="A13" s="1" t="s">
        <v>3</v>
      </c>
      <c r="D13" s="8">
        <f>D12/D11</f>
        <v>3.9615384615384617</v>
      </c>
      <c r="H13" s="1" t="s">
        <v>3</v>
      </c>
      <c r="M13" s="8">
        <f>+M12/M11</f>
        <v>3.6956521739130435</v>
      </c>
      <c r="V13">
        <f>+(D15-D16)/2</f>
        <v>4.5</v>
      </c>
      <c r="W13">
        <f>+(M15-M16)/2</f>
        <v>9</v>
      </c>
    </row>
    <row r="14" spans="22:23" ht="12.75">
      <c r="V14">
        <f>+D38/2</f>
        <v>3</v>
      </c>
      <c r="W14">
        <f>+M38/2</f>
        <v>4</v>
      </c>
    </row>
    <row r="15" spans="1:23" ht="12.75">
      <c r="A15" t="s">
        <v>4</v>
      </c>
      <c r="D15" s="2">
        <v>24</v>
      </c>
      <c r="H15" t="s">
        <v>4</v>
      </c>
      <c r="M15" s="2">
        <v>39</v>
      </c>
      <c r="V15">
        <f>+D42/2</f>
        <v>1.5</v>
      </c>
      <c r="W15">
        <f>+M42/2</f>
        <v>2</v>
      </c>
    </row>
    <row r="16" spans="1:23" ht="12.75">
      <c r="A16" t="s">
        <v>5</v>
      </c>
      <c r="D16" s="2">
        <v>15</v>
      </c>
      <c r="H16" t="s">
        <v>5</v>
      </c>
      <c r="M16" s="2">
        <v>21</v>
      </c>
      <c r="V16">
        <f>+D48/2</f>
        <v>1</v>
      </c>
      <c r="W16">
        <f>+M48/2</f>
        <v>2</v>
      </c>
    </row>
    <row r="17" spans="1:13" ht="12.75">
      <c r="A17" t="s">
        <v>6</v>
      </c>
      <c r="D17" s="8">
        <f>+D16/D15*100</f>
        <v>62.5</v>
      </c>
      <c r="H17" t="s">
        <v>6</v>
      </c>
      <c r="M17" s="8">
        <f>+M16/M15*100</f>
        <v>53.84615384615385</v>
      </c>
    </row>
    <row r="18" spans="1:24" ht="12.75">
      <c r="A18" t="s">
        <v>7</v>
      </c>
      <c r="D18" s="2">
        <v>224</v>
      </c>
      <c r="H18" t="s">
        <v>7</v>
      </c>
      <c r="M18" s="2">
        <v>236</v>
      </c>
      <c r="V18">
        <f>SUM(V11:V16)</f>
        <v>51</v>
      </c>
      <c r="W18">
        <f>SUM(W11:W16)</f>
        <v>61</v>
      </c>
      <c r="X18">
        <f>+W18+V18</f>
        <v>112</v>
      </c>
    </row>
    <row r="19" spans="1:23" ht="12.75">
      <c r="A19" t="s">
        <v>8</v>
      </c>
      <c r="D19" s="2">
        <v>2</v>
      </c>
      <c r="H19" t="s">
        <v>8</v>
      </c>
      <c r="M19" s="2">
        <v>7</v>
      </c>
      <c r="V19">
        <f>+V18/X18</f>
        <v>0.45535714285714285</v>
      </c>
      <c r="W19">
        <f>+W18/X18</f>
        <v>0.5446428571428571</v>
      </c>
    </row>
    <row r="20" spans="1:23" ht="12.75">
      <c r="A20" t="s">
        <v>9</v>
      </c>
      <c r="D20" s="2">
        <v>16</v>
      </c>
      <c r="H20" t="s">
        <v>9</v>
      </c>
      <c r="M20" s="2">
        <v>64</v>
      </c>
      <c r="V20">
        <f>+V19*60</f>
        <v>27.32142857142857</v>
      </c>
      <c r="W20">
        <f>+W19*60</f>
        <v>32.67857142857142</v>
      </c>
    </row>
    <row r="21" spans="1:23" ht="12.75">
      <c r="A21" t="s">
        <v>10</v>
      </c>
      <c r="D21">
        <f>+D18-D20</f>
        <v>208</v>
      </c>
      <c r="H21" t="s">
        <v>10</v>
      </c>
      <c r="M21">
        <f>+M18-M20</f>
        <v>172</v>
      </c>
      <c r="V21">
        <f>+V20-INT(V20)</f>
        <v>0.3214285714285694</v>
      </c>
      <c r="W21">
        <f>+W20-INT(W20)</f>
        <v>0.6785714285714235</v>
      </c>
    </row>
    <row r="22" spans="1:23" ht="12.75">
      <c r="A22" t="s">
        <v>11</v>
      </c>
      <c r="D22" s="7">
        <f>+D21/(D15+D19)</f>
        <v>8</v>
      </c>
      <c r="H22" t="s">
        <v>11</v>
      </c>
      <c r="M22" s="7">
        <f>+M21/(M15+M19)</f>
        <v>3.739130434782609</v>
      </c>
      <c r="V22">
        <f>+V21*60</f>
        <v>19.285714285714164</v>
      </c>
      <c r="W22">
        <f>+W21*60</f>
        <v>40.71428571428541</v>
      </c>
    </row>
    <row r="23" spans="1:23" ht="12.75">
      <c r="A23" t="s">
        <v>12</v>
      </c>
      <c r="D23" s="7">
        <f>+D18/D16</f>
        <v>14.933333333333334</v>
      </c>
      <c r="H23" t="s">
        <v>12</v>
      </c>
      <c r="M23" s="7">
        <f>+M18/M16</f>
        <v>11.238095238095237</v>
      </c>
      <c r="U23">
        <v>0</v>
      </c>
      <c r="V23" s="11">
        <f>ROUND(V22,0)</f>
        <v>19</v>
      </c>
      <c r="W23">
        <f>ROUND(W22,0)</f>
        <v>41</v>
      </c>
    </row>
    <row r="24" spans="22:23" ht="12.75">
      <c r="V24">
        <f>INT(V20)</f>
        <v>27</v>
      </c>
      <c r="W24">
        <f>INT(W20)</f>
        <v>32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311</v>
      </c>
      <c r="H26" t="s">
        <v>14</v>
      </c>
      <c r="M26">
        <f>+M21+M12</f>
        <v>257</v>
      </c>
      <c r="Q26" s="9"/>
      <c r="R26" s="9"/>
      <c r="V26" s="14" t="str">
        <f>+V24&amp;V25&amp;V23</f>
        <v>27:19</v>
      </c>
      <c r="W26" s="9" t="str">
        <f>+W24&amp;W25&amp;W23</f>
        <v>32:41</v>
      </c>
    </row>
    <row r="27" spans="1:23" ht="12.75">
      <c r="A27" t="s">
        <v>15</v>
      </c>
      <c r="D27" s="7">
        <f>+D12/D26*100</f>
        <v>33.11897106109325</v>
      </c>
      <c r="H27" t="s">
        <v>15</v>
      </c>
      <c r="M27" s="7">
        <f>+M12/M26*100</f>
        <v>33.07392996108949</v>
      </c>
      <c r="V27" s="9" t="str">
        <f>IF(V23&lt;10,+V24&amp;V25&amp;$U$23&amp;V23,+V24&amp;V25&amp;V23)</f>
        <v>27:19</v>
      </c>
      <c r="W27" s="9" t="str">
        <f>IF(W23&lt;10,+W24&amp;W25&amp;$U$23&amp;W23,+W24&amp;W25&amp;W23)</f>
        <v>32:41</v>
      </c>
    </row>
    <row r="28" spans="1:13" ht="12.75">
      <c r="A28" s="1" t="s">
        <v>86</v>
      </c>
      <c r="D28" s="7">
        <f>+D21/D26*100</f>
        <v>66.88102893890675</v>
      </c>
      <c r="H28" s="1" t="s">
        <v>86</v>
      </c>
      <c r="M28" s="7">
        <f>+M21/M26*100</f>
        <v>66.9260700389105</v>
      </c>
    </row>
    <row r="30" spans="1:13" ht="12.75">
      <c r="A30" t="s">
        <v>16</v>
      </c>
      <c r="D30">
        <f>+D11+D15+D19</f>
        <v>52</v>
      </c>
      <c r="H30" t="s">
        <v>16</v>
      </c>
      <c r="M30">
        <f>+M11+M15+M19</f>
        <v>69</v>
      </c>
    </row>
    <row r="31" spans="1:13" ht="12.75">
      <c r="A31" t="s">
        <v>17</v>
      </c>
      <c r="D31" s="8">
        <f>+D26/D30</f>
        <v>5.980769230769231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3.7246376811594204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1</v>
      </c>
    </row>
    <row r="35" spans="1:13" ht="12.75">
      <c r="A35" t="s">
        <v>20</v>
      </c>
      <c r="D35" s="2">
        <v>10</v>
      </c>
      <c r="H35" t="s">
        <v>20</v>
      </c>
      <c r="M35" s="2">
        <v>6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8</v>
      </c>
    </row>
    <row r="39" spans="1:13" ht="12.75">
      <c r="A39" t="s">
        <v>23</v>
      </c>
      <c r="D39" s="2">
        <v>257</v>
      </c>
      <c r="H39" t="s">
        <v>23</v>
      </c>
      <c r="M39" s="2">
        <v>290</v>
      </c>
    </row>
    <row r="40" spans="1:13" ht="12.75">
      <c r="A40" t="s">
        <v>24</v>
      </c>
      <c r="D40" s="8">
        <f>+D39/D38</f>
        <v>42.833333333333336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36.25</v>
      </c>
    </row>
    <row r="42" spans="1:13" ht="12.75">
      <c r="A42" t="s">
        <v>25</v>
      </c>
      <c r="D42" s="2">
        <v>3</v>
      </c>
      <c r="H42" t="s">
        <v>25</v>
      </c>
      <c r="M42" s="2">
        <v>4</v>
      </c>
    </row>
    <row r="43" spans="1:13" ht="12.75">
      <c r="A43" t="s">
        <v>26</v>
      </c>
      <c r="D43" s="2">
        <v>12</v>
      </c>
      <c r="H43" t="s">
        <v>26</v>
      </c>
      <c r="M43" s="2">
        <v>35</v>
      </c>
    </row>
    <row r="44" spans="1:13" ht="12.75">
      <c r="A44" t="s">
        <v>27</v>
      </c>
      <c r="D44" s="8">
        <f>+D43/D42</f>
        <v>4</v>
      </c>
      <c r="H44" t="s">
        <v>27</v>
      </c>
      <c r="M44" s="8">
        <f>+M43/M42</f>
        <v>8.75</v>
      </c>
    </row>
    <row r="45" spans="1:13" ht="12.75">
      <c r="A45" t="s">
        <v>106</v>
      </c>
      <c r="D45" s="2">
        <v>2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4</v>
      </c>
    </row>
    <row r="49" spans="1:13" ht="12.75">
      <c r="A49" t="s">
        <v>26</v>
      </c>
      <c r="D49" s="2">
        <v>46</v>
      </c>
      <c r="H49" t="s">
        <v>26</v>
      </c>
      <c r="M49" s="2">
        <v>101</v>
      </c>
    </row>
    <row r="50" spans="1:13" ht="12.75">
      <c r="A50" t="s">
        <v>27</v>
      </c>
      <c r="D50" s="8">
        <f>+D49/D48</f>
        <v>23</v>
      </c>
      <c r="H50" t="s">
        <v>27</v>
      </c>
      <c r="M50" s="8">
        <f>+M49/M48</f>
        <v>25.25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8</v>
      </c>
      <c r="H53" t="s">
        <v>31</v>
      </c>
      <c r="M53" s="2">
        <v>4</v>
      </c>
    </row>
    <row r="54" spans="1:13" ht="12.75">
      <c r="A54" t="s">
        <v>32</v>
      </c>
      <c r="D54" s="2">
        <v>52</v>
      </c>
      <c r="H54" t="s">
        <v>32</v>
      </c>
      <c r="M54" s="2">
        <v>31</v>
      </c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24</v>
      </c>
      <c r="H59" t="s">
        <v>34</v>
      </c>
      <c r="M59" s="2">
        <v>13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2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3</v>
      </c>
    </row>
    <row r="68" spans="1:13" ht="12.75">
      <c r="A68" t="s">
        <v>43</v>
      </c>
      <c r="D68" s="7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66.66666666666666</v>
      </c>
    </row>
    <row r="69" spans="1:13" ht="12.75">
      <c r="A69" t="s">
        <v>89</v>
      </c>
      <c r="D69" s="10" t="str">
        <f>IF(V23&lt;10,V27,V26)</f>
        <v>27:19</v>
      </c>
      <c r="E69" s="8"/>
      <c r="F69" s="8"/>
      <c r="H69" t="s">
        <v>89</v>
      </c>
      <c r="M69" s="10" t="str">
        <f>IF(W23&lt;10,W27,W26)</f>
        <v>32:41</v>
      </c>
    </row>
    <row r="70" spans="1:13" ht="12.75">
      <c r="A70" t="s">
        <v>102</v>
      </c>
      <c r="D70" s="23">
        <f>D154</f>
        <v>33.33333333333333</v>
      </c>
      <c r="E70" s="8"/>
      <c r="F70" s="8"/>
      <c r="H70" t="s">
        <v>102</v>
      </c>
      <c r="M70" s="23">
        <f>M154</f>
        <v>33.33333333333333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109</v>
      </c>
      <c r="C74">
        <v>10</v>
      </c>
      <c r="D74">
        <v>59</v>
      </c>
      <c r="E74" s="12">
        <f aca="true" t="shared" si="0" ref="E74:E82">+D74/C74</f>
        <v>5.9</v>
      </c>
      <c r="F74">
        <v>41</v>
      </c>
      <c r="G74">
        <v>1</v>
      </c>
      <c r="H74">
        <v>1</v>
      </c>
    </row>
    <row r="75" spans="1:8" ht="12.75">
      <c r="A75" t="s">
        <v>110</v>
      </c>
      <c r="C75">
        <v>14</v>
      </c>
      <c r="D75">
        <v>38</v>
      </c>
      <c r="E75" s="12">
        <f t="shared" si="0"/>
        <v>2.7142857142857144</v>
      </c>
      <c r="F75">
        <v>15</v>
      </c>
      <c r="G75">
        <v>0</v>
      </c>
      <c r="H75">
        <v>0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6</v>
      </c>
      <c r="E79" s="12">
        <f t="shared" si="0"/>
        <v>3</v>
      </c>
      <c r="F79">
        <v>3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6</v>
      </c>
      <c r="D85">
        <v>90</v>
      </c>
      <c r="E85" s="12">
        <f aca="true" t="shared" si="1" ref="E85:E95">+D85/C85</f>
        <v>15</v>
      </c>
      <c r="F85">
        <v>35</v>
      </c>
      <c r="G85">
        <v>2</v>
      </c>
      <c r="H85">
        <v>0</v>
      </c>
    </row>
    <row r="86" spans="1:8" ht="12.75">
      <c r="A86" t="s">
        <v>118</v>
      </c>
      <c r="C86">
        <v>1</v>
      </c>
      <c r="D86">
        <v>41</v>
      </c>
      <c r="E86" s="12">
        <f t="shared" si="1"/>
        <v>41</v>
      </c>
      <c r="F86">
        <v>41</v>
      </c>
      <c r="G86">
        <v>0</v>
      </c>
      <c r="H86">
        <v>0</v>
      </c>
    </row>
    <row r="87" spans="1:8" ht="12.75">
      <c r="A87" t="s">
        <v>113</v>
      </c>
      <c r="C87">
        <v>1</v>
      </c>
      <c r="D87">
        <v>15</v>
      </c>
      <c r="E87" s="12">
        <f t="shared" si="1"/>
        <v>15</v>
      </c>
      <c r="F87">
        <v>15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21</v>
      </c>
      <c r="E88" s="12">
        <f t="shared" si="1"/>
        <v>10.5</v>
      </c>
      <c r="F88">
        <v>16</v>
      </c>
      <c r="G88">
        <v>0</v>
      </c>
      <c r="H88">
        <v>0</v>
      </c>
    </row>
    <row r="89" spans="1:8" ht="12.75">
      <c r="A89" t="s">
        <v>116</v>
      </c>
      <c r="C89">
        <v>4</v>
      </c>
      <c r="D89">
        <v>52</v>
      </c>
      <c r="E89" s="12">
        <f t="shared" si="1"/>
        <v>13</v>
      </c>
      <c r="F89">
        <v>39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1</v>
      </c>
      <c r="D91">
        <v>5</v>
      </c>
      <c r="E91" s="12">
        <f t="shared" si="1"/>
        <v>5</v>
      </c>
      <c r="F91">
        <v>5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/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24</v>
      </c>
      <c r="D100">
        <v>15</v>
      </c>
      <c r="E100" s="12">
        <f>+D100/C100*100</f>
        <v>62.5</v>
      </c>
      <c r="F100">
        <v>224</v>
      </c>
      <c r="G100">
        <v>2</v>
      </c>
      <c r="H100">
        <v>41</v>
      </c>
      <c r="I100">
        <v>1</v>
      </c>
      <c r="J100" s="8">
        <f>+G100/C100*100</f>
        <v>8.333333333333332</v>
      </c>
      <c r="K100" s="12">
        <f>+I100/C100*100</f>
        <v>4.166666666666666</v>
      </c>
      <c r="L100" s="12">
        <f>+F100/C100</f>
        <v>9.333333333333334</v>
      </c>
      <c r="M100" s="12">
        <f>100*(S100+U100+W100+Y100)/6</f>
        <v>103.47222222222223</v>
      </c>
      <c r="R100">
        <f>+(E100-30)/20</f>
        <v>1.625</v>
      </c>
      <c r="S100" s="2">
        <f>IF(R100&lt;0,0,IF(R100&gt;2.375,2.375,R100))</f>
        <v>1.625</v>
      </c>
      <c r="T100" s="6">
        <f>+(L100-3)/4</f>
        <v>1.5833333333333335</v>
      </c>
      <c r="U100" s="2">
        <f>IF(T100&lt;0,0,IF(T100&gt;2.375,2.375,T100))</f>
        <v>1.5833333333333335</v>
      </c>
      <c r="V100">
        <f>+J100/5</f>
        <v>1.6666666666666665</v>
      </c>
      <c r="W100" s="2">
        <f>IF(V100&lt;0,0,IF(V100&gt;2.375,2.375,V100))</f>
        <v>1.6666666666666665</v>
      </c>
      <c r="X100">
        <f>(9.5-K100)/4</f>
        <v>1.3333333333333335</v>
      </c>
      <c r="Y100" s="2">
        <f>IF(X100&lt;0,0,X100)</f>
        <v>1.3333333333333335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2</v>
      </c>
      <c r="E107">
        <v>12</v>
      </c>
      <c r="F107" s="12">
        <f>+E107/C107</f>
        <v>4</v>
      </c>
      <c r="G107">
        <v>12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1</v>
      </c>
      <c r="D110">
        <v>26</v>
      </c>
      <c r="E110" s="12">
        <f aca="true" t="shared" si="2" ref="E110:E115">+D110/C110</f>
        <v>26</v>
      </c>
      <c r="F110">
        <v>26</v>
      </c>
      <c r="G110">
        <v>0</v>
      </c>
      <c r="H110">
        <v>0</v>
      </c>
    </row>
    <row r="111" spans="1:8" ht="12.75">
      <c r="A111" t="s">
        <v>112</v>
      </c>
      <c r="C111">
        <v>1</v>
      </c>
      <c r="D111">
        <v>20</v>
      </c>
      <c r="E111" s="12">
        <f t="shared" si="2"/>
        <v>20</v>
      </c>
      <c r="F111">
        <v>20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6</v>
      </c>
      <c r="D118">
        <v>257</v>
      </c>
      <c r="E118" s="12">
        <f>+D118/C118</f>
        <v>42.833333333333336</v>
      </c>
      <c r="F118">
        <v>53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6</v>
      </c>
      <c r="D121">
        <v>1</v>
      </c>
      <c r="E121">
        <v>3</v>
      </c>
      <c r="F121">
        <v>3</v>
      </c>
      <c r="G121">
        <v>2</v>
      </c>
      <c r="H121">
        <v>1</v>
      </c>
      <c r="I121" s="12">
        <f>+H121/G121*100</f>
        <v>50</v>
      </c>
      <c r="J121">
        <v>32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1</v>
      </c>
      <c r="D124">
        <v>6</v>
      </c>
      <c r="E124" s="12">
        <f>+D124/C124</f>
        <v>6</v>
      </c>
      <c r="F124">
        <v>6</v>
      </c>
      <c r="G124">
        <v>0</v>
      </c>
      <c r="H124">
        <v>0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1.5</v>
      </c>
    </row>
    <row r="136" spans="1:3" ht="12.75">
      <c r="A136" t="s">
        <v>135</v>
      </c>
      <c r="C136">
        <v>1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130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spans="1:3" ht="12.75">
      <c r="A143" t="s">
        <v>139</v>
      </c>
      <c r="C143">
        <v>2</v>
      </c>
    </row>
    <row r="144" spans="1:3" ht="12.75">
      <c r="A144" t="s">
        <v>131</v>
      </c>
      <c r="C144">
        <v>2</v>
      </c>
    </row>
    <row r="145" ht="12.75">
      <c r="A145" t="s">
        <v>140</v>
      </c>
    </row>
    <row r="146" ht="12.75">
      <c r="A146" t="s">
        <v>124</v>
      </c>
    </row>
    <row r="147" spans="1:3" ht="12.75">
      <c r="A147" t="s">
        <v>127</v>
      </c>
      <c r="C147">
        <v>0.5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15</v>
      </c>
      <c r="H152" t="s">
        <v>93</v>
      </c>
      <c r="M152">
        <v>18</v>
      </c>
    </row>
    <row r="153" spans="1:13" ht="12.75">
      <c r="A153" t="s">
        <v>94</v>
      </c>
      <c r="D153">
        <v>5</v>
      </c>
      <c r="H153" t="s">
        <v>94</v>
      </c>
      <c r="M153">
        <v>6</v>
      </c>
    </row>
    <row r="154" spans="1:13" ht="12.75">
      <c r="A154" t="s">
        <v>95</v>
      </c>
      <c r="D154">
        <f>D153/D152*100</f>
        <v>33.33333333333333</v>
      </c>
      <c r="H154" t="s">
        <v>95</v>
      </c>
      <c r="M154">
        <f>+M153/M152*100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54"/>
  <sheetViews>
    <sheetView zoomScalePageLayoutView="0" workbookViewId="0" topLeftCell="A112">
      <selection activeCell="W100" sqref="W100:W10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34</v>
      </c>
      <c r="H6" s="1" t="s">
        <v>29</v>
      </c>
      <c r="M6" s="2">
        <f>M7+M8+M9</f>
        <v>7</v>
      </c>
    </row>
    <row r="7" spans="1:13" ht="12.75">
      <c r="A7" s="1" t="s">
        <v>103</v>
      </c>
      <c r="D7" s="2">
        <v>16</v>
      </c>
      <c r="H7" s="1" t="s">
        <v>103</v>
      </c>
      <c r="M7" s="2">
        <v>5</v>
      </c>
    </row>
    <row r="8" spans="1:13" ht="12.75">
      <c r="A8" s="1" t="s">
        <v>105</v>
      </c>
      <c r="D8" s="2">
        <v>16</v>
      </c>
      <c r="H8" s="1" t="s">
        <v>105</v>
      </c>
      <c r="M8" s="2">
        <v>2</v>
      </c>
    </row>
    <row r="9" spans="1:13" ht="12.75">
      <c r="A9" s="1" t="s">
        <v>104</v>
      </c>
      <c r="D9" s="2">
        <v>2</v>
      </c>
      <c r="H9" s="1" t="s">
        <v>104</v>
      </c>
      <c r="M9" s="2">
        <v>0</v>
      </c>
    </row>
    <row r="11" spans="1:23" ht="12.75">
      <c r="A11" t="s">
        <v>1</v>
      </c>
      <c r="D11" s="2">
        <v>44</v>
      </c>
      <c r="H11" t="s">
        <v>1</v>
      </c>
      <c r="M11" s="2">
        <v>22</v>
      </c>
      <c r="V11">
        <f>+D11</f>
        <v>44</v>
      </c>
      <c r="W11">
        <f>+M11</f>
        <v>22</v>
      </c>
    </row>
    <row r="12" spans="1:23" ht="12.75">
      <c r="A12" t="s">
        <v>2</v>
      </c>
      <c r="D12" s="2">
        <v>198</v>
      </c>
      <c r="H12" t="s">
        <v>2</v>
      </c>
      <c r="M12" s="2">
        <v>87</v>
      </c>
      <c r="U12" s="13"/>
      <c r="V12">
        <f>+D16</f>
        <v>28</v>
      </c>
      <c r="W12">
        <f>+M16</f>
        <v>8</v>
      </c>
    </row>
    <row r="13" spans="1:23" ht="12.75">
      <c r="A13" s="1" t="s">
        <v>3</v>
      </c>
      <c r="D13" s="8">
        <f>+D12/D11</f>
        <v>4.5</v>
      </c>
      <c r="H13" s="1" t="s">
        <v>3</v>
      </c>
      <c r="M13" s="8">
        <f>+M12/M11</f>
        <v>3.9545454545454546</v>
      </c>
      <c r="V13">
        <f>+(D15-D16)/2</f>
        <v>5.5</v>
      </c>
      <c r="W13">
        <f>+(M15-M16)/2</f>
        <v>4</v>
      </c>
    </row>
    <row r="14" spans="22:23" ht="12.75">
      <c r="V14">
        <f>+D38/2</f>
        <v>1</v>
      </c>
      <c r="W14">
        <f>+M38/2</f>
        <v>3.5</v>
      </c>
    </row>
    <row r="15" spans="1:23" ht="12.75">
      <c r="A15" t="s">
        <v>4</v>
      </c>
      <c r="D15" s="2">
        <v>39</v>
      </c>
      <c r="H15" t="s">
        <v>4</v>
      </c>
      <c r="M15" s="2">
        <v>16</v>
      </c>
      <c r="V15">
        <f>+D42/2</f>
        <v>2.5</v>
      </c>
      <c r="W15">
        <f>+M42/2</f>
        <v>0</v>
      </c>
    </row>
    <row r="16" spans="1:23" ht="12.75">
      <c r="A16" t="s">
        <v>5</v>
      </c>
      <c r="D16" s="2">
        <v>28</v>
      </c>
      <c r="H16" t="s">
        <v>5</v>
      </c>
      <c r="M16" s="2">
        <v>8</v>
      </c>
      <c r="V16">
        <f>+D48/2</f>
        <v>0.5</v>
      </c>
      <c r="W16">
        <f>+M48/2</f>
        <v>3</v>
      </c>
    </row>
    <row r="17" spans="1:13" ht="12.75">
      <c r="A17" t="s">
        <v>6</v>
      </c>
      <c r="D17" s="8">
        <f>+D16/D15*100</f>
        <v>71.7948717948718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361</v>
      </c>
      <c r="H18" t="s">
        <v>7</v>
      </c>
      <c r="M18" s="2">
        <v>60</v>
      </c>
      <c r="V18">
        <f>SUM(V11:V16)</f>
        <v>81.5</v>
      </c>
      <c r="W18">
        <f>SUM(W11:W16)</f>
        <v>40.5</v>
      </c>
      <c r="X18">
        <f>+W18+V18</f>
        <v>122</v>
      </c>
    </row>
    <row r="19" spans="1:23" ht="12.75">
      <c r="A19" t="s">
        <v>8</v>
      </c>
      <c r="D19" s="2">
        <v>0</v>
      </c>
      <c r="H19" t="s">
        <v>8</v>
      </c>
      <c r="M19" s="2">
        <v>2</v>
      </c>
      <c r="V19">
        <f>+V18/X18</f>
        <v>0.6680327868852459</v>
      </c>
      <c r="W19">
        <f>+W18/X18</f>
        <v>0.3319672131147541</v>
      </c>
    </row>
    <row r="20" spans="1:23" ht="12.75">
      <c r="A20" t="s">
        <v>9</v>
      </c>
      <c r="D20" s="2">
        <v>0</v>
      </c>
      <c r="H20" t="s">
        <v>9</v>
      </c>
      <c r="M20" s="2">
        <v>19</v>
      </c>
      <c r="V20">
        <f>+V19*60</f>
        <v>40.08196721311476</v>
      </c>
      <c r="W20">
        <f>+W19*60</f>
        <v>19.918032786885245</v>
      </c>
    </row>
    <row r="21" spans="1:23" ht="12.75">
      <c r="A21" t="s">
        <v>10</v>
      </c>
      <c r="D21">
        <f>+D18-D20</f>
        <v>361</v>
      </c>
      <c r="H21" t="s">
        <v>10</v>
      </c>
      <c r="M21">
        <f>+M18-M20</f>
        <v>41</v>
      </c>
      <c r="V21">
        <f>+V20-INT(V20)</f>
        <v>0.08196721311475841</v>
      </c>
      <c r="W21">
        <f>+W20-INT(W20)</f>
        <v>0.9180327868852451</v>
      </c>
    </row>
    <row r="22" spans="1:23" ht="12.75">
      <c r="A22" t="s">
        <v>11</v>
      </c>
      <c r="D22" s="7">
        <f>+D21/(D15+D19)</f>
        <v>9.256410256410257</v>
      </c>
      <c r="H22" t="s">
        <v>11</v>
      </c>
      <c r="M22" s="7">
        <f>+M21/(M15+M19)</f>
        <v>2.2777777777777777</v>
      </c>
      <c r="V22">
        <f>+V21*60</f>
        <v>4.9180327868855045</v>
      </c>
      <c r="W22">
        <f>+W21*60</f>
        <v>55.08196721311471</v>
      </c>
    </row>
    <row r="23" spans="1:23" ht="12.75">
      <c r="A23" t="s">
        <v>12</v>
      </c>
      <c r="D23" s="7">
        <f>+D18/D16</f>
        <v>12.892857142857142</v>
      </c>
      <c r="H23" t="s">
        <v>12</v>
      </c>
      <c r="M23" s="7">
        <f>+M18/M16</f>
        <v>7.5</v>
      </c>
      <c r="U23">
        <v>0</v>
      </c>
      <c r="V23" s="11">
        <f>ROUND(V22,0)</f>
        <v>5</v>
      </c>
      <c r="W23">
        <f>ROUND(W22,0)</f>
        <v>55</v>
      </c>
    </row>
    <row r="24" spans="22:23" ht="12.75">
      <c r="V24">
        <f>INT(V20)</f>
        <v>40</v>
      </c>
      <c r="W24">
        <f>INT(W20)</f>
        <v>19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559</v>
      </c>
      <c r="H26" t="s">
        <v>14</v>
      </c>
      <c r="M26">
        <f>+M21+M12</f>
        <v>128</v>
      </c>
      <c r="Q26" s="9"/>
      <c r="R26" s="9"/>
      <c r="V26" s="14" t="str">
        <f>+V24&amp;V25&amp;V23</f>
        <v>40:5</v>
      </c>
      <c r="W26" s="9" t="str">
        <f>+W24&amp;W25&amp;W23</f>
        <v>19:55</v>
      </c>
    </row>
    <row r="27" spans="1:23" ht="12.75">
      <c r="A27" t="s">
        <v>15</v>
      </c>
      <c r="D27" s="7">
        <f>+D12/D26*100</f>
        <v>35.42039355992844</v>
      </c>
      <c r="H27" t="s">
        <v>15</v>
      </c>
      <c r="M27" s="7">
        <f>+M12/M26*100</f>
        <v>67.96875</v>
      </c>
      <c r="V27" s="9" t="str">
        <f>IF(V23&lt;10,+V24&amp;V25&amp;$U$23&amp;V23,+V24&amp;V25&amp;V23)</f>
        <v>40:05</v>
      </c>
      <c r="W27" s="9" t="str">
        <f>IF(W23&lt;10,+W24&amp;W25&amp;$U$23&amp;W23,+W24&amp;W25&amp;W23)</f>
        <v>19:55</v>
      </c>
    </row>
    <row r="28" spans="1:13" ht="12.75">
      <c r="A28" s="1" t="s">
        <v>86</v>
      </c>
      <c r="D28" s="7">
        <f>+D21/D26*100</f>
        <v>64.57960644007156</v>
      </c>
      <c r="H28" s="1" t="s">
        <v>86</v>
      </c>
      <c r="M28" s="7">
        <f>+M21/M26*100</f>
        <v>32.03125</v>
      </c>
    </row>
    <row r="30" spans="1:13" ht="12.75">
      <c r="A30" t="s">
        <v>16</v>
      </c>
      <c r="D30">
        <f>+D11+D15+D19</f>
        <v>83</v>
      </c>
      <c r="H30" t="s">
        <v>16</v>
      </c>
      <c r="M30">
        <f>+M11+M15+M19</f>
        <v>40</v>
      </c>
    </row>
    <row r="31" spans="1:13" ht="12.75">
      <c r="A31" t="s">
        <v>17</v>
      </c>
      <c r="D31" s="8">
        <f>+D26/D30</f>
        <v>6.734939759036145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26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2</v>
      </c>
      <c r="H38" t="s">
        <v>22</v>
      </c>
      <c r="M38" s="2">
        <v>7</v>
      </c>
    </row>
    <row r="39" spans="1:13" ht="12.75">
      <c r="A39" t="s">
        <v>23</v>
      </c>
      <c r="D39" s="2">
        <v>79</v>
      </c>
      <c r="H39" t="s">
        <v>23</v>
      </c>
      <c r="M39" s="2">
        <v>326</v>
      </c>
    </row>
    <row r="40" spans="1:13" ht="12.75">
      <c r="A40" t="s">
        <v>24</v>
      </c>
      <c r="D40" s="8">
        <f>+D39/D38</f>
        <v>39.5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46.57142857142857</v>
      </c>
    </row>
    <row r="42" spans="1:13" ht="12.75">
      <c r="A42" t="s">
        <v>25</v>
      </c>
      <c r="D42" s="2">
        <v>5</v>
      </c>
      <c r="H42" t="s">
        <v>25</v>
      </c>
      <c r="M42" s="2">
        <v>0</v>
      </c>
    </row>
    <row r="43" spans="1:13" ht="12.75">
      <c r="A43" t="s">
        <v>26</v>
      </c>
      <c r="D43" s="2">
        <v>38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7.6</v>
      </c>
      <c r="H44" t="s">
        <v>27</v>
      </c>
      <c r="M44" s="8">
        <v>0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</v>
      </c>
      <c r="H48" t="s">
        <v>30</v>
      </c>
      <c r="M48" s="2">
        <v>6</v>
      </c>
    </row>
    <row r="49" spans="1:13" ht="12.75">
      <c r="A49" t="s">
        <v>26</v>
      </c>
      <c r="D49" s="2">
        <v>21</v>
      </c>
      <c r="H49" t="s">
        <v>26</v>
      </c>
      <c r="M49" s="2">
        <v>125</v>
      </c>
    </row>
    <row r="50" spans="1:13" ht="12.75">
      <c r="A50" t="s">
        <v>27</v>
      </c>
      <c r="D50" s="8">
        <f>+D49/D48</f>
        <v>21</v>
      </c>
      <c r="H50" t="s">
        <v>27</v>
      </c>
      <c r="M50" s="8">
        <f>+M49/M48</f>
        <v>20.833333333333332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4</v>
      </c>
    </row>
    <row r="54" spans="1:13" ht="12.75">
      <c r="A54" t="s">
        <v>32</v>
      </c>
      <c r="D54" s="2">
        <v>25</v>
      </c>
      <c r="H54" t="s">
        <v>32</v>
      </c>
      <c r="M54" s="2">
        <v>20</v>
      </c>
    </row>
    <row r="56" spans="1:13" ht="12.75">
      <c r="A56" t="s">
        <v>33</v>
      </c>
      <c r="D56" s="2">
        <v>2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40</v>
      </c>
      <c r="H59" t="s">
        <v>34</v>
      </c>
      <c r="M59" s="2">
        <v>7</v>
      </c>
    </row>
    <row r="60" spans="1:13" ht="12.75">
      <c r="A60" t="s">
        <v>35</v>
      </c>
      <c r="D60" s="2">
        <v>4</v>
      </c>
      <c r="H60" t="s">
        <v>35</v>
      </c>
      <c r="M60" s="2">
        <v>1</v>
      </c>
    </row>
    <row r="61" spans="1:13" ht="12.75">
      <c r="A61" t="s">
        <v>36</v>
      </c>
      <c r="D61" s="2">
        <v>3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4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4</v>
      </c>
      <c r="H66" t="s">
        <v>41</v>
      </c>
      <c r="M66" s="2">
        <v>0</v>
      </c>
    </row>
    <row r="67" spans="1:13" ht="12.75">
      <c r="A67" t="s">
        <v>42</v>
      </c>
      <c r="D67" s="2">
        <v>4</v>
      </c>
      <c r="H67" t="s">
        <v>42</v>
      </c>
      <c r="M67" s="2">
        <v>1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0</v>
      </c>
    </row>
    <row r="69" spans="1:13" ht="12.75">
      <c r="A69" t="s">
        <v>89</v>
      </c>
      <c r="D69" s="10" t="str">
        <f>IF(V23&lt;10,V27,V26)</f>
        <v>40:05</v>
      </c>
      <c r="E69" s="8"/>
      <c r="F69" s="8"/>
      <c r="H69" t="s">
        <v>89</v>
      </c>
      <c r="M69" s="10" t="str">
        <f>IF(W23&lt;10,W27,W26)</f>
        <v>19:55</v>
      </c>
    </row>
    <row r="70" spans="1:13" ht="12.75">
      <c r="A70" t="s">
        <v>102</v>
      </c>
      <c r="D70" s="23">
        <f>D154</f>
        <v>46.15384615384615</v>
      </c>
      <c r="E70" s="8"/>
      <c r="F70" s="8"/>
      <c r="H70" t="s">
        <v>102</v>
      </c>
      <c r="M70" s="23">
        <f>M154</f>
        <v>33.33333333333333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14</v>
      </c>
      <c r="D74">
        <v>69</v>
      </c>
      <c r="E74" s="12">
        <f aca="true" t="shared" si="0" ref="E74:E82">+D74/C74</f>
        <v>4.928571428571429</v>
      </c>
      <c r="F74">
        <v>16</v>
      </c>
      <c r="G74">
        <v>1</v>
      </c>
      <c r="H74">
        <v>0</v>
      </c>
    </row>
    <row r="75" spans="1:8" ht="12.75">
      <c r="A75" t="s">
        <v>110</v>
      </c>
      <c r="C75">
        <v>23</v>
      </c>
      <c r="D75">
        <v>85</v>
      </c>
      <c r="E75" s="12">
        <f t="shared" si="0"/>
        <v>3.6956521739130435</v>
      </c>
      <c r="F75">
        <v>15</v>
      </c>
      <c r="G75">
        <v>0</v>
      </c>
      <c r="H75">
        <v>1</v>
      </c>
    </row>
    <row r="76" spans="1:8" ht="12.75">
      <c r="A76" t="s">
        <v>111</v>
      </c>
      <c r="C76">
        <v>1</v>
      </c>
      <c r="D76">
        <v>3</v>
      </c>
      <c r="E76" s="12">
        <f t="shared" si="0"/>
        <v>3</v>
      </c>
      <c r="F76">
        <v>3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6</v>
      </c>
      <c r="D80">
        <v>41</v>
      </c>
      <c r="E80" s="12">
        <f t="shared" si="0"/>
        <v>6.833333333333333</v>
      </c>
      <c r="F80">
        <v>13</v>
      </c>
      <c r="G80">
        <v>2</v>
      </c>
      <c r="H80">
        <v>0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10</v>
      </c>
      <c r="D85">
        <v>106</v>
      </c>
      <c r="E85" s="12">
        <f aca="true" t="shared" si="1" ref="E85:E96">+D85/C85</f>
        <v>10.6</v>
      </c>
      <c r="F85">
        <v>30</v>
      </c>
      <c r="G85">
        <v>0</v>
      </c>
      <c r="H85">
        <v>0</v>
      </c>
    </row>
    <row r="86" spans="1:8" ht="12.75">
      <c r="A86" t="s">
        <v>118</v>
      </c>
      <c r="C86">
        <v>7</v>
      </c>
      <c r="D86">
        <v>127</v>
      </c>
      <c r="E86" s="12">
        <f t="shared" si="1"/>
        <v>18.142857142857142</v>
      </c>
      <c r="F86">
        <v>27</v>
      </c>
      <c r="G86">
        <v>1</v>
      </c>
      <c r="H86">
        <v>0</v>
      </c>
    </row>
    <row r="87" spans="1:8" ht="12.75">
      <c r="A87" t="s">
        <v>113</v>
      </c>
      <c r="C87">
        <v>2</v>
      </c>
      <c r="D87">
        <v>11</v>
      </c>
      <c r="E87" s="12">
        <f t="shared" si="1"/>
        <v>5.5</v>
      </c>
      <c r="F87">
        <v>6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56</v>
      </c>
      <c r="E88" s="12">
        <f t="shared" si="1"/>
        <v>18.666666666666668</v>
      </c>
      <c r="F88">
        <v>38</v>
      </c>
      <c r="G88">
        <v>0</v>
      </c>
      <c r="H88">
        <v>0</v>
      </c>
    </row>
    <row r="89" spans="1:8" ht="12.75">
      <c r="A89" t="s">
        <v>116</v>
      </c>
      <c r="C89">
        <v>1</v>
      </c>
      <c r="D89">
        <v>9</v>
      </c>
      <c r="E89" s="12">
        <f t="shared" si="1"/>
        <v>9</v>
      </c>
      <c r="F89">
        <v>9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2</v>
      </c>
      <c r="D91">
        <v>15</v>
      </c>
      <c r="E91" s="12">
        <f t="shared" si="1"/>
        <v>7.5</v>
      </c>
      <c r="F91">
        <v>17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18</v>
      </c>
      <c r="E92" s="12">
        <f t="shared" si="1"/>
        <v>18</v>
      </c>
      <c r="F92">
        <v>18</v>
      </c>
      <c r="G92">
        <v>0</v>
      </c>
      <c r="H92">
        <v>0</v>
      </c>
    </row>
    <row r="93" spans="1:8" ht="12.75">
      <c r="A93" t="s">
        <v>121</v>
      </c>
      <c r="C93">
        <v>2</v>
      </c>
      <c r="D93">
        <v>19</v>
      </c>
      <c r="E93" s="12">
        <f t="shared" si="1"/>
        <v>9.5</v>
      </c>
      <c r="F93">
        <v>11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39</v>
      </c>
      <c r="D100">
        <v>28</v>
      </c>
      <c r="E100" s="12">
        <f>+D100/C100*100</f>
        <v>71.7948717948718</v>
      </c>
      <c r="F100">
        <v>361</v>
      </c>
      <c r="G100">
        <v>1</v>
      </c>
      <c r="H100">
        <v>38</v>
      </c>
      <c r="I100">
        <v>1</v>
      </c>
      <c r="J100" s="8">
        <f>+G100/C100*100</f>
        <v>2.564102564102564</v>
      </c>
      <c r="K100" s="12">
        <f>+I100/C100*100</f>
        <v>2.564102564102564</v>
      </c>
      <c r="L100" s="12">
        <f>+F100/C100</f>
        <v>9.256410256410257</v>
      </c>
      <c r="M100" s="12">
        <f>100*(S100+U100+W100+Y100)/6</f>
        <v>98.34401709401709</v>
      </c>
      <c r="R100">
        <f>+(E100-30)/20</f>
        <v>2.08974358974359</v>
      </c>
      <c r="S100" s="2">
        <f>IF(R100&lt;0,0,IF(R100&gt;2.375,2.375,R100))</f>
        <v>2.08974358974359</v>
      </c>
      <c r="T100" s="6">
        <f>+(L100-3)/4</f>
        <v>1.5641025641025643</v>
      </c>
      <c r="U100" s="2">
        <f>IF(T100&lt;0,0,IF(T100&gt;2.375,2.375,T100))</f>
        <v>1.5641025641025643</v>
      </c>
      <c r="V100">
        <f>+J100/5</f>
        <v>0.5128205128205128</v>
      </c>
      <c r="W100" s="2">
        <f>IF(V100&lt;0,0,IF(V100&gt;2.375,2.375,V100))</f>
        <v>0.5128205128205128</v>
      </c>
      <c r="X100">
        <f>(9.5-K100)/4</f>
        <v>1.733974358974359</v>
      </c>
      <c r="Y100" s="2">
        <f>IF(X100&lt;0,0,X100)</f>
        <v>1.733974358974359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5</v>
      </c>
      <c r="D107">
        <v>2</v>
      </c>
      <c r="E107">
        <v>38</v>
      </c>
      <c r="F107" s="12">
        <f>+E107/C107</f>
        <v>7.6</v>
      </c>
      <c r="G107">
        <v>17</v>
      </c>
      <c r="H107">
        <v>0</v>
      </c>
      <c r="I107">
        <v>1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5" ht="12.75">
      <c r="A110" t="s">
        <v>121</v>
      </c>
      <c r="E110" s="12" t="e">
        <f aca="true" t="shared" si="2" ref="E110:E115">+D110/C110</f>
        <v>#DIV/0!</v>
      </c>
    </row>
    <row r="111" spans="1:8" ht="12.75">
      <c r="A111" t="s">
        <v>112</v>
      </c>
      <c r="C111">
        <v>1</v>
      </c>
      <c r="D111">
        <v>21</v>
      </c>
      <c r="E111" s="12">
        <f t="shared" si="2"/>
        <v>21</v>
      </c>
      <c r="F111">
        <v>21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2</v>
      </c>
      <c r="D118">
        <v>79</v>
      </c>
      <c r="E118" s="12">
        <f>+D118/C118</f>
        <v>39.5</v>
      </c>
      <c r="F118">
        <v>40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8</v>
      </c>
      <c r="D121">
        <v>2</v>
      </c>
      <c r="E121">
        <v>4</v>
      </c>
      <c r="F121">
        <v>4</v>
      </c>
      <c r="G121">
        <v>4</v>
      </c>
      <c r="H121">
        <v>4</v>
      </c>
      <c r="I121" s="12">
        <f>+H121/G121*100</f>
        <v>100</v>
      </c>
      <c r="J121">
        <v>46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ht="12.75">
      <c r="A135" t="s">
        <v>134</v>
      </c>
    </row>
    <row r="136" ht="12.75">
      <c r="A136" t="s">
        <v>135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130</v>
      </c>
    </row>
    <row r="140" ht="12.75">
      <c r="A140" t="s">
        <v>107</v>
      </c>
    </row>
    <row r="141" spans="1:3" ht="12.75">
      <c r="A141" t="s">
        <v>138</v>
      </c>
      <c r="C141">
        <v>0.5</v>
      </c>
    </row>
    <row r="142" ht="12.75">
      <c r="A142" t="s">
        <v>132</v>
      </c>
    </row>
    <row r="143" spans="1:3" ht="12.75">
      <c r="A143" t="s">
        <v>139</v>
      </c>
      <c r="C143">
        <v>1.5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13</v>
      </c>
      <c r="H152" t="s">
        <v>93</v>
      </c>
      <c r="M152">
        <v>12</v>
      </c>
    </row>
    <row r="153" spans="1:13" ht="12.75">
      <c r="A153" t="s">
        <v>94</v>
      </c>
      <c r="D153">
        <v>6</v>
      </c>
      <c r="H153" t="s">
        <v>94</v>
      </c>
      <c r="M153">
        <v>4</v>
      </c>
    </row>
    <row r="154" spans="1:13" ht="12.75">
      <c r="A154" t="s">
        <v>95</v>
      </c>
      <c r="D154" s="8">
        <f>D153/D152*100</f>
        <v>46.15384615384615</v>
      </c>
      <c r="H154" t="s">
        <v>95</v>
      </c>
      <c r="M154" s="8">
        <f>+M153/M152*100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54"/>
  <sheetViews>
    <sheetView zoomScalePageLayoutView="0" workbookViewId="0" topLeftCell="A60">
      <selection activeCell="W100" sqref="W100:W10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16" ht="12.75">
      <c r="A3" s="2" t="s">
        <v>0</v>
      </c>
      <c r="H3" s="2" t="s">
        <v>44</v>
      </c>
      <c r="P3" s="16"/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10</v>
      </c>
    </row>
    <row r="7" spans="1:13" ht="12.75">
      <c r="A7" s="1" t="s">
        <v>103</v>
      </c>
      <c r="D7" s="2">
        <v>8</v>
      </c>
      <c r="H7" s="1" t="s">
        <v>103</v>
      </c>
      <c r="M7" s="2">
        <v>4</v>
      </c>
    </row>
    <row r="8" spans="1:13" ht="12.75">
      <c r="A8" s="1" t="s">
        <v>105</v>
      </c>
      <c r="D8" s="2">
        <v>9</v>
      </c>
      <c r="H8" s="1" t="s">
        <v>105</v>
      </c>
      <c r="M8" s="2">
        <v>6</v>
      </c>
    </row>
    <row r="9" spans="1:13" ht="12.75">
      <c r="A9" s="1" t="s">
        <v>104</v>
      </c>
      <c r="D9" s="2">
        <v>2</v>
      </c>
      <c r="H9" s="1" t="s">
        <v>104</v>
      </c>
      <c r="M9" s="2">
        <v>0</v>
      </c>
    </row>
    <row r="11" spans="1:23" ht="12.75">
      <c r="A11" t="s">
        <v>1</v>
      </c>
      <c r="D11" s="2">
        <v>23</v>
      </c>
      <c r="H11" t="s">
        <v>1</v>
      </c>
      <c r="M11" s="2">
        <v>15</v>
      </c>
      <c r="V11">
        <f>+D11</f>
        <v>23</v>
      </c>
      <c r="W11">
        <f>+M11</f>
        <v>15</v>
      </c>
    </row>
    <row r="12" spans="1:23" ht="12.75">
      <c r="A12" t="s">
        <v>2</v>
      </c>
      <c r="D12" s="2">
        <v>150</v>
      </c>
      <c r="H12" t="s">
        <v>2</v>
      </c>
      <c r="M12" s="2">
        <v>59</v>
      </c>
      <c r="U12" s="13"/>
      <c r="V12">
        <f>+D16</f>
        <v>28</v>
      </c>
      <c r="W12">
        <f>+M16</f>
        <v>13</v>
      </c>
    </row>
    <row r="13" spans="1:23" ht="12.75">
      <c r="A13" s="1" t="s">
        <v>3</v>
      </c>
      <c r="D13" s="8">
        <f>+D12/D11</f>
        <v>6.521739130434782</v>
      </c>
      <c r="H13" s="1" t="s">
        <v>3</v>
      </c>
      <c r="M13" s="8">
        <f>+M12/M11</f>
        <v>3.933333333333333</v>
      </c>
      <c r="V13">
        <f>+(D15-D16)/2</f>
        <v>10</v>
      </c>
      <c r="W13">
        <f>+(M15-M16)/2</f>
        <v>9.5</v>
      </c>
    </row>
    <row r="14" spans="16:23" ht="12.75">
      <c r="P14" s="18"/>
      <c r="V14">
        <f>+D38/2</f>
        <v>3.5</v>
      </c>
      <c r="W14">
        <f>+M38/2</f>
        <v>6</v>
      </c>
    </row>
    <row r="15" spans="1:23" ht="12.75">
      <c r="A15" t="s">
        <v>4</v>
      </c>
      <c r="D15" s="2">
        <v>48</v>
      </c>
      <c r="F15" s="17"/>
      <c r="H15" t="s">
        <v>4</v>
      </c>
      <c r="M15" s="2">
        <v>32</v>
      </c>
      <c r="V15">
        <f>+D42/2</f>
        <v>4</v>
      </c>
      <c r="W15">
        <f>+M42/2</f>
        <v>3</v>
      </c>
    </row>
    <row r="16" spans="1:23" ht="12.75">
      <c r="A16" t="s">
        <v>5</v>
      </c>
      <c r="D16" s="2">
        <v>28</v>
      </c>
      <c r="F16" s="19"/>
      <c r="H16" t="s">
        <v>5</v>
      </c>
      <c r="M16" s="2">
        <v>13</v>
      </c>
      <c r="V16">
        <f>+D48/2</f>
        <v>0.5</v>
      </c>
      <c r="W16">
        <f>+M48/2</f>
        <v>2.5</v>
      </c>
    </row>
    <row r="17" spans="1:13" ht="12.75">
      <c r="A17" t="s">
        <v>6</v>
      </c>
      <c r="D17" s="8">
        <f>+D16/D15*100</f>
        <v>58.333333333333336</v>
      </c>
      <c r="F17" s="19"/>
      <c r="H17" t="s">
        <v>6</v>
      </c>
      <c r="M17" s="8">
        <f>+M16/M15*100</f>
        <v>40.625</v>
      </c>
    </row>
    <row r="18" spans="1:24" ht="12.75">
      <c r="A18" t="s">
        <v>7</v>
      </c>
      <c r="D18" s="2">
        <v>191</v>
      </c>
      <c r="F18" s="19"/>
      <c r="H18" t="s">
        <v>7</v>
      </c>
      <c r="M18" s="2">
        <v>180</v>
      </c>
      <c r="V18">
        <f>SUM(V11:V16)</f>
        <v>69</v>
      </c>
      <c r="W18">
        <f>SUM(W11:W16)</f>
        <v>49</v>
      </c>
      <c r="X18">
        <f>+W18+V18</f>
        <v>118</v>
      </c>
    </row>
    <row r="19" spans="1:23" ht="12.75">
      <c r="A19" t="s">
        <v>8</v>
      </c>
      <c r="D19" s="2">
        <v>5</v>
      </c>
      <c r="F19" s="19"/>
      <c r="H19" t="s">
        <v>8</v>
      </c>
      <c r="M19" s="2">
        <v>9</v>
      </c>
      <c r="V19">
        <f>+V18/X18</f>
        <v>0.5847457627118644</v>
      </c>
      <c r="W19">
        <f>+W18/X18</f>
        <v>0.4152542372881356</v>
      </c>
    </row>
    <row r="20" spans="1:23" ht="12.75">
      <c r="A20" t="s">
        <v>9</v>
      </c>
      <c r="D20" s="2">
        <v>27</v>
      </c>
      <c r="F20" s="19"/>
      <c r="H20" t="s">
        <v>9</v>
      </c>
      <c r="M20" s="2">
        <v>61</v>
      </c>
      <c r="V20">
        <f>+V19*60</f>
        <v>35.08474576271186</v>
      </c>
      <c r="W20">
        <f>+W19*60</f>
        <v>24.915254237288135</v>
      </c>
    </row>
    <row r="21" spans="1:23" ht="12.75">
      <c r="A21" t="s">
        <v>10</v>
      </c>
      <c r="D21">
        <f>+D18-D20</f>
        <v>164</v>
      </c>
      <c r="F21" s="19"/>
      <c r="H21" t="s">
        <v>10</v>
      </c>
      <c r="M21">
        <f>+M18-M20</f>
        <v>119</v>
      </c>
      <c r="V21">
        <f>+V20-INT(V20)</f>
        <v>0.08474576271186152</v>
      </c>
      <c r="W21">
        <f>+W20-INT(W20)</f>
        <v>0.9152542372881349</v>
      </c>
    </row>
    <row r="22" spans="1:23" ht="12.75">
      <c r="A22" t="s">
        <v>11</v>
      </c>
      <c r="D22" s="7">
        <f>+D21/(D15+D19)</f>
        <v>3.0943396226415096</v>
      </c>
      <c r="F22" s="19"/>
      <c r="H22" t="s">
        <v>11</v>
      </c>
      <c r="M22" s="7">
        <f>+M21/(M15+M19)</f>
        <v>2.902439024390244</v>
      </c>
      <c r="V22">
        <f>+V21*60</f>
        <v>5.084745762711691</v>
      </c>
      <c r="W22">
        <f>+W21*60</f>
        <v>54.915254237288096</v>
      </c>
    </row>
    <row r="23" spans="1:23" ht="12.75">
      <c r="A23" t="s">
        <v>12</v>
      </c>
      <c r="D23" s="7">
        <f>+D18/D16</f>
        <v>6.821428571428571</v>
      </c>
      <c r="F23" s="19"/>
      <c r="H23" t="s">
        <v>12</v>
      </c>
      <c r="M23" s="7">
        <f>+M18/M16</f>
        <v>13.846153846153847</v>
      </c>
      <c r="U23">
        <v>0</v>
      </c>
      <c r="V23" s="11">
        <f>ROUND(V22,0)</f>
        <v>5</v>
      </c>
      <c r="W23">
        <f>ROUND(W22,0)</f>
        <v>55</v>
      </c>
    </row>
    <row r="24" spans="6:23" ht="12.75">
      <c r="F24" s="19"/>
      <c r="V24">
        <f>INT(V20)</f>
        <v>35</v>
      </c>
      <c r="W24">
        <f>INT(W20)</f>
        <v>24</v>
      </c>
    </row>
    <row r="25" spans="1:23" ht="12.75">
      <c r="A25" t="s">
        <v>13</v>
      </c>
      <c r="F25" s="19"/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314</v>
      </c>
      <c r="F26" s="19"/>
      <c r="H26" t="s">
        <v>14</v>
      </c>
      <c r="M26">
        <f>+M21+M12</f>
        <v>178</v>
      </c>
      <c r="Q26" s="9"/>
      <c r="R26" s="9"/>
      <c r="V26" s="14" t="str">
        <f>+V24&amp;V25&amp;V23</f>
        <v>35:5</v>
      </c>
      <c r="W26" s="9" t="str">
        <f>+W24&amp;W25&amp;W23</f>
        <v>24:55</v>
      </c>
    </row>
    <row r="27" spans="1:23" ht="12.75">
      <c r="A27" t="s">
        <v>15</v>
      </c>
      <c r="D27" s="7">
        <f>+D12/D26*100</f>
        <v>47.77070063694268</v>
      </c>
      <c r="F27" s="19"/>
      <c r="H27" t="s">
        <v>15</v>
      </c>
      <c r="M27" s="7">
        <f>+M12/M26*100</f>
        <v>33.146067415730336</v>
      </c>
      <c r="V27" s="9" t="str">
        <f>IF(V23&lt;10,+V24&amp;V25&amp;$U$23&amp;V23,+V24&amp;V25&amp;V23)</f>
        <v>35:05</v>
      </c>
      <c r="W27" s="9" t="str">
        <f>IF(W23&lt;10,+W24&amp;W25&amp;$U$23&amp;W23,+W24&amp;W25&amp;W23)</f>
        <v>24:55</v>
      </c>
    </row>
    <row r="28" spans="1:13" ht="12.75">
      <c r="A28" s="1" t="s">
        <v>86</v>
      </c>
      <c r="D28" s="7">
        <f>+D21/D26*100</f>
        <v>52.22929936305732</v>
      </c>
      <c r="F28" s="19"/>
      <c r="H28" s="1" t="s">
        <v>86</v>
      </c>
      <c r="M28" s="7">
        <f>+M21/M26*100</f>
        <v>66.85393258426966</v>
      </c>
    </row>
    <row r="29" ht="12.75">
      <c r="F29" s="19"/>
    </row>
    <row r="30" spans="1:13" ht="12.75">
      <c r="A30" t="s">
        <v>16</v>
      </c>
      <c r="D30">
        <f>+D11+D15+D19</f>
        <v>76</v>
      </c>
      <c r="F30" s="19"/>
      <c r="H30" t="s">
        <v>16</v>
      </c>
      <c r="M30">
        <f>+M6+M15+M19</f>
        <v>51</v>
      </c>
    </row>
    <row r="31" spans="1:13" ht="12.75">
      <c r="A31" t="s">
        <v>17</v>
      </c>
      <c r="D31" s="8">
        <f>+D26/D30</f>
        <v>4.131578947368421</v>
      </c>
      <c r="E31" s="7"/>
      <c r="F31" s="20"/>
      <c r="G31" s="7"/>
      <c r="H31" s="7" t="s">
        <v>17</v>
      </c>
      <c r="I31" s="7"/>
      <c r="J31" s="7"/>
      <c r="K31" s="7"/>
      <c r="L31" s="7"/>
      <c r="M31" s="8">
        <f>+M26/M30</f>
        <v>3.4901960784313726</v>
      </c>
    </row>
    <row r="32" ht="12.75">
      <c r="F32" s="19"/>
    </row>
    <row r="33" spans="1:8" ht="12.75">
      <c r="A33" t="s">
        <v>18</v>
      </c>
      <c r="F33" s="17"/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3</v>
      </c>
    </row>
    <row r="35" spans="1:13" ht="12.75">
      <c r="A35" t="s">
        <v>20</v>
      </c>
      <c r="D35" s="2">
        <v>-1</v>
      </c>
      <c r="H35" t="s">
        <v>20</v>
      </c>
      <c r="M35" s="2">
        <v>18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12</v>
      </c>
    </row>
    <row r="39" spans="1:13" ht="12.75">
      <c r="A39" t="s">
        <v>23</v>
      </c>
      <c r="D39" s="2">
        <v>316</v>
      </c>
      <c r="H39" t="s">
        <v>23</v>
      </c>
      <c r="M39" s="2">
        <v>496</v>
      </c>
    </row>
    <row r="40" spans="1:13" ht="12.75">
      <c r="A40" t="s">
        <v>24</v>
      </c>
      <c r="D40" s="8">
        <f>+D39/D38</f>
        <v>45.142857142857146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41.333333333333336</v>
      </c>
    </row>
    <row r="42" spans="1:13" ht="12.75">
      <c r="A42" t="s">
        <v>25</v>
      </c>
      <c r="D42" s="2">
        <v>8</v>
      </c>
      <c r="H42" t="s">
        <v>25</v>
      </c>
      <c r="M42" s="2">
        <v>6</v>
      </c>
    </row>
    <row r="43" spans="1:13" ht="12.75">
      <c r="A43" t="s">
        <v>26</v>
      </c>
      <c r="D43" s="2">
        <v>60</v>
      </c>
      <c r="H43" t="s">
        <v>26</v>
      </c>
      <c r="M43" s="2">
        <v>26</v>
      </c>
    </row>
    <row r="44" spans="1:13" ht="12.75">
      <c r="A44" t="s">
        <v>27</v>
      </c>
      <c r="D44" s="8">
        <f>+D43/D42</f>
        <v>7.5</v>
      </c>
      <c r="H44" t="s">
        <v>27</v>
      </c>
      <c r="M44" s="8">
        <f>+M43/M42</f>
        <v>4.333333333333333</v>
      </c>
    </row>
    <row r="45" spans="1:13" ht="12.75">
      <c r="A45" t="s">
        <v>106</v>
      </c>
      <c r="D45" s="2">
        <v>2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</v>
      </c>
      <c r="H48" t="s">
        <v>30</v>
      </c>
      <c r="M48" s="2">
        <v>5</v>
      </c>
    </row>
    <row r="49" spans="1:13" ht="12.75">
      <c r="A49" t="s">
        <v>26</v>
      </c>
      <c r="D49" s="2">
        <v>24</v>
      </c>
      <c r="H49" t="s">
        <v>26</v>
      </c>
      <c r="M49" s="2">
        <v>82</v>
      </c>
    </row>
    <row r="50" spans="1:13" ht="12.75">
      <c r="A50" t="s">
        <v>27</v>
      </c>
      <c r="D50" s="8">
        <f>+D49/D48</f>
        <v>24</v>
      </c>
      <c r="H50" t="s">
        <v>27</v>
      </c>
      <c r="M50" s="8">
        <f>+M49/M48</f>
        <v>16.4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10</v>
      </c>
    </row>
    <row r="54" spans="1:13" ht="12.75">
      <c r="A54" t="s">
        <v>32</v>
      </c>
      <c r="D54" s="2">
        <v>40</v>
      </c>
      <c r="H54" t="s">
        <v>32</v>
      </c>
      <c r="M54" s="2">
        <v>87</v>
      </c>
    </row>
    <row r="56" spans="1:13" ht="12.75">
      <c r="A56" t="s">
        <v>33</v>
      </c>
      <c r="D56" s="2">
        <v>4</v>
      </c>
      <c r="H56" t="s">
        <v>33</v>
      </c>
      <c r="M56" s="2">
        <v>0</v>
      </c>
    </row>
    <row r="57" spans="1:13" ht="12.75">
      <c r="A57" t="s">
        <v>101</v>
      </c>
      <c r="D57" s="2">
        <v>3</v>
      </c>
      <c r="H57" t="s">
        <v>101</v>
      </c>
      <c r="M57" s="2">
        <v>0</v>
      </c>
    </row>
    <row r="59" spans="1:13" ht="12.75">
      <c r="A59" t="s">
        <v>34</v>
      </c>
      <c r="D59" s="2">
        <v>16</v>
      </c>
      <c r="H59" t="s">
        <v>34</v>
      </c>
      <c r="M59" s="2">
        <v>10</v>
      </c>
    </row>
    <row r="60" spans="1:13" ht="12.75">
      <c r="A60" t="s">
        <v>35</v>
      </c>
      <c r="D60" s="2">
        <v>1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1</v>
      </c>
    </row>
    <row r="67" spans="1:13" ht="12.75">
      <c r="A67" t="s">
        <v>42</v>
      </c>
      <c r="D67" s="2">
        <v>3</v>
      </c>
      <c r="H67" t="s">
        <v>42</v>
      </c>
      <c r="M67" s="2">
        <v>1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35:05</v>
      </c>
      <c r="E69" s="8"/>
      <c r="F69" s="8"/>
      <c r="H69" t="s">
        <v>89</v>
      </c>
      <c r="M69" s="10" t="str">
        <f>IF(W23&lt;10,W27,W26)</f>
        <v>24:55</v>
      </c>
    </row>
    <row r="70" spans="1:13" ht="12.75">
      <c r="A70" t="s">
        <v>102</v>
      </c>
      <c r="D70" s="23">
        <f>D154</f>
        <v>23.52941176470588</v>
      </c>
      <c r="E70" s="8"/>
      <c r="F70" s="8"/>
      <c r="H70" t="s">
        <v>102</v>
      </c>
      <c r="M70" s="23">
        <f>M154</f>
        <v>12.5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5</v>
      </c>
      <c r="D74">
        <v>49</v>
      </c>
      <c r="E74" s="12">
        <f aca="true" t="shared" si="0" ref="E74:E82">+D74/C74</f>
        <v>9.8</v>
      </c>
      <c r="F74">
        <v>27</v>
      </c>
      <c r="G74">
        <v>1</v>
      </c>
      <c r="H74">
        <v>0</v>
      </c>
    </row>
    <row r="75" spans="1:8" ht="12.75">
      <c r="A75" t="s">
        <v>110</v>
      </c>
      <c r="C75">
        <v>13</v>
      </c>
      <c r="D75">
        <v>78</v>
      </c>
      <c r="E75" s="12">
        <f t="shared" si="0"/>
        <v>6</v>
      </c>
      <c r="F75">
        <v>20</v>
      </c>
      <c r="G75">
        <v>0</v>
      </c>
      <c r="H75">
        <v>0</v>
      </c>
    </row>
    <row r="76" spans="1:8" ht="12.75">
      <c r="A76" t="s">
        <v>111</v>
      </c>
      <c r="C76">
        <v>5</v>
      </c>
      <c r="D76">
        <v>23</v>
      </c>
      <c r="E76" s="12">
        <f t="shared" si="0"/>
        <v>4.6</v>
      </c>
      <c r="F76">
        <v>17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9</v>
      </c>
      <c r="D85">
        <v>64</v>
      </c>
      <c r="E85" s="12">
        <f aca="true" t="shared" si="1" ref="E85:E96">+D85/C85</f>
        <v>7.111111111111111</v>
      </c>
      <c r="F85">
        <v>19</v>
      </c>
      <c r="G85">
        <v>0</v>
      </c>
      <c r="H85">
        <v>1</v>
      </c>
    </row>
    <row r="86" spans="1:8" ht="12.75">
      <c r="A86" t="s">
        <v>118</v>
      </c>
      <c r="C86">
        <v>5</v>
      </c>
      <c r="D86">
        <v>43</v>
      </c>
      <c r="E86" s="12">
        <f t="shared" si="1"/>
        <v>8.6</v>
      </c>
      <c r="F86">
        <v>14</v>
      </c>
      <c r="G86">
        <v>0</v>
      </c>
      <c r="H86">
        <v>0</v>
      </c>
    </row>
    <row r="87" spans="1:8" ht="12.75">
      <c r="A87" t="s">
        <v>113</v>
      </c>
      <c r="C87">
        <v>1</v>
      </c>
      <c r="D87">
        <v>0</v>
      </c>
      <c r="E87" s="12">
        <f t="shared" si="1"/>
        <v>0</v>
      </c>
      <c r="F87">
        <v>0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8</v>
      </c>
      <c r="E88" s="12">
        <f t="shared" si="1"/>
        <v>4</v>
      </c>
      <c r="F88">
        <v>10</v>
      </c>
      <c r="G88">
        <v>0</v>
      </c>
      <c r="H88">
        <v>0</v>
      </c>
    </row>
    <row r="89" spans="1:8" ht="12.75">
      <c r="A89" t="s">
        <v>116</v>
      </c>
      <c r="C89">
        <v>6</v>
      </c>
      <c r="D89">
        <v>59</v>
      </c>
      <c r="E89" s="12">
        <f t="shared" si="1"/>
        <v>9.833333333333334</v>
      </c>
      <c r="F89">
        <v>24</v>
      </c>
      <c r="G89">
        <v>0</v>
      </c>
      <c r="H89">
        <v>1</v>
      </c>
    </row>
    <row r="90" spans="1:8" ht="12.75">
      <c r="A90" t="s">
        <v>110</v>
      </c>
      <c r="C90">
        <v>2</v>
      </c>
      <c r="D90">
        <v>3</v>
      </c>
      <c r="E90" s="12">
        <f t="shared" si="1"/>
        <v>1.5</v>
      </c>
      <c r="F90">
        <v>3</v>
      </c>
      <c r="G90">
        <v>0</v>
      </c>
      <c r="H90">
        <v>0</v>
      </c>
    </row>
    <row r="91" spans="1:8" ht="12.75">
      <c r="A91" t="s">
        <v>112</v>
      </c>
      <c r="C91">
        <v>2</v>
      </c>
      <c r="D91">
        <v>4</v>
      </c>
      <c r="E91" s="12">
        <f t="shared" si="1"/>
        <v>2</v>
      </c>
      <c r="F91">
        <v>8</v>
      </c>
      <c r="G91">
        <v>0</v>
      </c>
      <c r="H91">
        <v>0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10</v>
      </c>
      <c r="E94" s="12">
        <f t="shared" si="1"/>
        <v>10</v>
      </c>
      <c r="F94">
        <v>10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48</v>
      </c>
      <c r="D100">
        <v>28</v>
      </c>
      <c r="E100" s="12">
        <f>+D100/C100*100</f>
        <v>58.333333333333336</v>
      </c>
      <c r="F100">
        <v>191</v>
      </c>
      <c r="G100">
        <v>0</v>
      </c>
      <c r="H100">
        <v>24</v>
      </c>
      <c r="I100">
        <v>1</v>
      </c>
      <c r="J100" s="8">
        <f>+G100/C100*100</f>
        <v>0</v>
      </c>
      <c r="K100" s="12">
        <f>+I100/C100*100</f>
        <v>2.083333333333333</v>
      </c>
      <c r="L100" s="12">
        <f>+F100/C100</f>
        <v>3.9791666666666665</v>
      </c>
      <c r="M100" s="12">
        <f>100*(S100+U100+W100+Y100)/6</f>
        <v>58.59375</v>
      </c>
      <c r="R100">
        <f>+(E100-30)/20</f>
        <v>1.4166666666666667</v>
      </c>
      <c r="S100" s="2">
        <f>IF(R100&lt;0,0,IF(R100&gt;2.375,2.375,R100))</f>
        <v>1.4166666666666667</v>
      </c>
      <c r="T100" s="6">
        <f>+(L100-3)/4</f>
        <v>0.24479166666666663</v>
      </c>
      <c r="U100" s="2">
        <f>IF(T100&lt;0,0,IF(T100&gt;2.375,2.375,T100))</f>
        <v>0.24479166666666663</v>
      </c>
      <c r="V100">
        <f>+J100/5</f>
        <v>0</v>
      </c>
      <c r="W100" s="2">
        <f>IF(V100&lt;0,0,IF(V100&gt;2.375,2.375,V100))</f>
        <v>0</v>
      </c>
      <c r="X100">
        <f>(9.5-K100)/4</f>
        <v>1.8541666666666667</v>
      </c>
      <c r="Y100" s="2">
        <f>IF(X100&lt;0,0,X100)</f>
        <v>1.8541666666666667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8</v>
      </c>
      <c r="D107">
        <v>2</v>
      </c>
      <c r="E107">
        <v>60</v>
      </c>
      <c r="F107" s="12">
        <f>+E107/C107</f>
        <v>7.5</v>
      </c>
      <c r="G107">
        <v>24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1</v>
      </c>
      <c r="D110">
        <v>24</v>
      </c>
      <c r="E110" s="12">
        <f aca="true" t="shared" si="2" ref="E110:E115">+D110/C110</f>
        <v>24</v>
      </c>
      <c r="F110">
        <v>24</v>
      </c>
      <c r="G110">
        <v>0</v>
      </c>
      <c r="H110">
        <v>0</v>
      </c>
    </row>
    <row r="111" spans="1:5" ht="12.75">
      <c r="A111" t="s">
        <v>112</v>
      </c>
      <c r="E111" s="12" t="e">
        <f t="shared" si="2"/>
        <v>#DIV/0!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7</v>
      </c>
      <c r="D118">
        <v>316</v>
      </c>
      <c r="E118" s="12">
        <f>+D118/C118</f>
        <v>45.142857142857146</v>
      </c>
      <c r="F118">
        <v>54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5</v>
      </c>
      <c r="D121">
        <v>0</v>
      </c>
      <c r="E121">
        <v>1</v>
      </c>
      <c r="F121">
        <v>1</v>
      </c>
      <c r="G121">
        <v>3</v>
      </c>
      <c r="H121">
        <v>3</v>
      </c>
      <c r="I121" s="12">
        <f>+H121/G121*100</f>
        <v>100</v>
      </c>
      <c r="J121">
        <v>39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8" ht="12.75">
      <c r="A125" t="s">
        <v>127</v>
      </c>
      <c r="C125">
        <v>1</v>
      </c>
      <c r="D125">
        <v>0</v>
      </c>
      <c r="E125" s="12">
        <f aca="true" t="shared" si="3" ref="E125:E132">+D125/C125</f>
        <v>0</v>
      </c>
      <c r="F125">
        <v>0</v>
      </c>
      <c r="G125">
        <v>0</v>
      </c>
      <c r="H125">
        <v>0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8" ht="12.75">
      <c r="A130" t="s">
        <v>123</v>
      </c>
      <c r="C130">
        <v>1</v>
      </c>
      <c r="D130">
        <v>0</v>
      </c>
      <c r="E130" s="12">
        <f t="shared" si="3"/>
        <v>0</v>
      </c>
      <c r="F130">
        <v>0</v>
      </c>
      <c r="G130">
        <v>0</v>
      </c>
      <c r="H130">
        <v>0</v>
      </c>
    </row>
    <row r="131" spans="1:5" ht="12.75">
      <c r="A131" t="s">
        <v>132</v>
      </c>
      <c r="E131" s="12" t="e">
        <f t="shared" si="3"/>
        <v>#DIV/0!</v>
      </c>
    </row>
    <row r="132" spans="1:8" ht="12.75">
      <c r="A132" t="s">
        <v>133</v>
      </c>
      <c r="C132">
        <v>1</v>
      </c>
      <c r="D132">
        <v>18</v>
      </c>
      <c r="E132" s="12">
        <f t="shared" si="3"/>
        <v>18</v>
      </c>
      <c r="F132">
        <v>18</v>
      </c>
      <c r="G132">
        <v>0</v>
      </c>
      <c r="H132">
        <v>1</v>
      </c>
    </row>
    <row r="134" spans="1:4" ht="12.75">
      <c r="A134" s="2" t="s">
        <v>90</v>
      </c>
      <c r="C134" s="3" t="s">
        <v>68</v>
      </c>
      <c r="D134" s="3"/>
    </row>
    <row r="135" ht="12.75">
      <c r="A135" t="s">
        <v>134</v>
      </c>
    </row>
    <row r="136" spans="1:3" ht="12.75">
      <c r="A136" t="s">
        <v>135</v>
      </c>
      <c r="C136">
        <v>1.5</v>
      </c>
    </row>
    <row r="137" spans="1:3" ht="12.75">
      <c r="A137" t="s">
        <v>136</v>
      </c>
      <c r="C137">
        <v>0.5</v>
      </c>
    </row>
    <row r="138" spans="1:3" ht="12.75">
      <c r="A138" t="s">
        <v>137</v>
      </c>
      <c r="C138">
        <v>3.5</v>
      </c>
    </row>
    <row r="139" ht="12.75">
      <c r="A139" t="s">
        <v>130</v>
      </c>
    </row>
    <row r="140" spans="1:3" ht="12.75">
      <c r="A140" t="s">
        <v>107</v>
      </c>
      <c r="C140">
        <v>1</v>
      </c>
    </row>
    <row r="141" spans="1:3" ht="12.75">
      <c r="A141" t="s">
        <v>138</v>
      </c>
      <c r="C141">
        <v>1</v>
      </c>
    </row>
    <row r="142" spans="1:3" ht="12.75">
      <c r="A142" t="s">
        <v>132</v>
      </c>
      <c r="C142">
        <v>1</v>
      </c>
    </row>
    <row r="143" spans="1:3" ht="12.75">
      <c r="A143" t="s">
        <v>139</v>
      </c>
      <c r="C143">
        <v>0.5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17</v>
      </c>
      <c r="H152" t="s">
        <v>93</v>
      </c>
      <c r="M152">
        <v>16</v>
      </c>
    </row>
    <row r="153" spans="1:13" ht="12.75">
      <c r="A153" t="s">
        <v>94</v>
      </c>
      <c r="D153">
        <v>4</v>
      </c>
      <c r="H153" t="s">
        <v>94</v>
      </c>
      <c r="M153">
        <v>2</v>
      </c>
    </row>
    <row r="154" spans="1:13" ht="12.75">
      <c r="A154" t="s">
        <v>95</v>
      </c>
      <c r="D154">
        <f>D153/D152*100</f>
        <v>23.52941176470588</v>
      </c>
      <c r="H154" t="s">
        <v>95</v>
      </c>
      <c r="M154">
        <f>+M153/M152*100</f>
        <v>12.5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54"/>
  <sheetViews>
    <sheetView zoomScalePageLayoutView="0" workbookViewId="0" topLeftCell="A60">
      <selection activeCell="A73" sqref="A73:M149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14</v>
      </c>
      <c r="H6" s="1" t="s">
        <v>29</v>
      </c>
      <c r="M6" s="2">
        <f>M7+M8+M9</f>
        <v>19</v>
      </c>
    </row>
    <row r="7" spans="1:13" ht="12.75">
      <c r="A7" s="1" t="s">
        <v>103</v>
      </c>
      <c r="D7" s="2">
        <v>4</v>
      </c>
      <c r="H7" s="1" t="s">
        <v>103</v>
      </c>
      <c r="M7" s="2">
        <v>7</v>
      </c>
    </row>
    <row r="8" spans="1:13" ht="12.75">
      <c r="A8" s="1" t="s">
        <v>105</v>
      </c>
      <c r="D8" s="2">
        <v>9</v>
      </c>
      <c r="H8" s="1" t="s">
        <v>105</v>
      </c>
      <c r="M8" s="2">
        <v>10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16</v>
      </c>
      <c r="H11" t="s">
        <v>1</v>
      </c>
      <c r="M11" s="2">
        <v>38</v>
      </c>
      <c r="V11">
        <f>+D11</f>
        <v>16</v>
      </c>
      <c r="W11">
        <f>+M11</f>
        <v>38</v>
      </c>
    </row>
    <row r="12" spans="1:23" ht="12.75">
      <c r="A12" t="s">
        <v>2</v>
      </c>
      <c r="D12" s="2">
        <v>64</v>
      </c>
      <c r="H12" t="s">
        <v>2</v>
      </c>
      <c r="M12" s="2">
        <v>171</v>
      </c>
      <c r="U12" s="13"/>
      <c r="V12">
        <f>+D16</f>
        <v>19</v>
      </c>
      <c r="W12">
        <f>+M16</f>
        <v>14</v>
      </c>
    </row>
    <row r="13" spans="1:23" ht="12.75">
      <c r="A13" s="1" t="s">
        <v>3</v>
      </c>
      <c r="D13" s="8">
        <f>+D12/D11</f>
        <v>4</v>
      </c>
      <c r="H13" s="1" t="s">
        <v>3</v>
      </c>
      <c r="M13" s="8">
        <f>+M12/M11</f>
        <v>4.5</v>
      </c>
      <c r="V13">
        <f>+(D15-D16)/2</f>
        <v>10</v>
      </c>
      <c r="W13">
        <f>+(M15-M16)/2</f>
        <v>5</v>
      </c>
    </row>
    <row r="14" spans="22:23" ht="12.75">
      <c r="V14">
        <f>+D38/2</f>
        <v>3.5</v>
      </c>
      <c r="W14">
        <f>+M38/2</f>
        <v>2.5</v>
      </c>
    </row>
    <row r="15" spans="1:23" ht="12.75">
      <c r="A15" t="s">
        <v>4</v>
      </c>
      <c r="D15" s="2">
        <v>39</v>
      </c>
      <c r="H15" t="s">
        <v>4</v>
      </c>
      <c r="M15" s="2">
        <v>24</v>
      </c>
      <c r="V15">
        <f>+D42/2</f>
        <v>1</v>
      </c>
      <c r="W15">
        <f>+M42/2</f>
        <v>2.5</v>
      </c>
    </row>
    <row r="16" spans="1:23" ht="12.75">
      <c r="A16" t="s">
        <v>5</v>
      </c>
      <c r="D16" s="2">
        <v>19</v>
      </c>
      <c r="H16" t="s">
        <v>5</v>
      </c>
      <c r="M16" s="2">
        <v>14</v>
      </c>
      <c r="V16">
        <f>+D48/2</f>
        <v>2.5</v>
      </c>
      <c r="W16">
        <f>+M48/2</f>
        <v>1.5</v>
      </c>
    </row>
    <row r="17" spans="1:13" ht="12.75">
      <c r="A17" t="s">
        <v>6</v>
      </c>
      <c r="D17" s="8">
        <f>+D16/D15*100</f>
        <v>48.717948717948715</v>
      </c>
      <c r="H17" t="s">
        <v>6</v>
      </c>
      <c r="M17" s="8">
        <f>+M16/M15*100</f>
        <v>58.333333333333336</v>
      </c>
    </row>
    <row r="18" spans="1:24" ht="12.75">
      <c r="A18" t="s">
        <v>7</v>
      </c>
      <c r="D18" s="2">
        <v>211</v>
      </c>
      <c r="H18" t="s">
        <v>7</v>
      </c>
      <c r="M18" s="2">
        <v>247</v>
      </c>
      <c r="V18">
        <f>SUM(V11:V16)</f>
        <v>52</v>
      </c>
      <c r="W18">
        <f>SUM(W11:W16)</f>
        <v>63.5</v>
      </c>
      <c r="X18">
        <f>+W18+V18</f>
        <v>115.5</v>
      </c>
    </row>
    <row r="19" spans="1:23" ht="12.75">
      <c r="A19" t="s">
        <v>8</v>
      </c>
      <c r="D19" s="2">
        <v>5</v>
      </c>
      <c r="H19" t="s">
        <v>8</v>
      </c>
      <c r="M19" s="2">
        <v>5</v>
      </c>
      <c r="V19">
        <f>+V18/X18</f>
        <v>0.45021645021645024</v>
      </c>
      <c r="W19">
        <f>+W18/X18</f>
        <v>0.5497835497835498</v>
      </c>
    </row>
    <row r="20" spans="1:23" ht="12.75">
      <c r="A20" t="s">
        <v>9</v>
      </c>
      <c r="D20" s="2">
        <v>34</v>
      </c>
      <c r="H20" t="s">
        <v>9</v>
      </c>
      <c r="M20" s="2">
        <v>32</v>
      </c>
      <c r="V20">
        <f>+V19*60</f>
        <v>27.012987012987015</v>
      </c>
      <c r="W20">
        <f>+W19*60</f>
        <v>32.98701298701299</v>
      </c>
    </row>
    <row r="21" spans="1:23" ht="12.75">
      <c r="A21" t="s">
        <v>10</v>
      </c>
      <c r="D21">
        <f>+D18-D20</f>
        <v>177</v>
      </c>
      <c r="H21" t="s">
        <v>10</v>
      </c>
      <c r="M21">
        <f>+M18-M20</f>
        <v>215</v>
      </c>
      <c r="V21">
        <f>+V20-INT(V20)</f>
        <v>0.012987012987014879</v>
      </c>
      <c r="W21">
        <f>+W20-INT(W20)</f>
        <v>0.9870129870129887</v>
      </c>
    </row>
    <row r="22" spans="1:23" ht="12.75">
      <c r="A22" t="s">
        <v>11</v>
      </c>
      <c r="D22" s="7">
        <f>+D21/(D15+D19)</f>
        <v>4.0227272727272725</v>
      </c>
      <c r="H22" t="s">
        <v>11</v>
      </c>
      <c r="M22" s="7">
        <f>+M21/(M15+M19)</f>
        <v>7.413793103448276</v>
      </c>
      <c r="V22">
        <f>+V21*60</f>
        <v>0.7792207792208927</v>
      </c>
      <c r="W22">
        <f>+W21*60</f>
        <v>59.22077922077932</v>
      </c>
    </row>
    <row r="23" spans="1:23" ht="12.75">
      <c r="A23" t="s">
        <v>12</v>
      </c>
      <c r="D23" s="7">
        <f>+D18/D16</f>
        <v>11.105263157894736</v>
      </c>
      <c r="H23" t="s">
        <v>12</v>
      </c>
      <c r="M23" s="7">
        <f>+M18/M16</f>
        <v>17.642857142857142</v>
      </c>
      <c r="U23">
        <v>0</v>
      </c>
      <c r="V23" s="11">
        <f>ROUND(V22,0)</f>
        <v>1</v>
      </c>
      <c r="W23">
        <f>ROUND(W22,0)</f>
        <v>59</v>
      </c>
    </row>
    <row r="24" spans="22:23" ht="12.75">
      <c r="V24">
        <f>INT(V20)</f>
        <v>27</v>
      </c>
      <c r="W24">
        <f>INT(W20)</f>
        <v>32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241</v>
      </c>
      <c r="H26" t="s">
        <v>14</v>
      </c>
      <c r="M26">
        <f>+M21+M12</f>
        <v>386</v>
      </c>
      <c r="Q26" s="9"/>
      <c r="R26" s="9"/>
      <c r="V26" s="14" t="str">
        <f>+V24&amp;V25&amp;V23</f>
        <v>27:1</v>
      </c>
      <c r="W26" s="9" t="str">
        <f>+W24&amp;W25&amp;W23</f>
        <v>32:59</v>
      </c>
    </row>
    <row r="27" spans="1:23" ht="12.75">
      <c r="A27" t="s">
        <v>15</v>
      </c>
      <c r="D27" s="7">
        <f>+D12/D26*100</f>
        <v>26.556016597510375</v>
      </c>
      <c r="H27" t="s">
        <v>15</v>
      </c>
      <c r="M27" s="7">
        <f>+M12/M26*100</f>
        <v>44.30051813471503</v>
      </c>
      <c r="V27" s="9" t="str">
        <f>IF(V23&lt;10,+V24&amp;V25&amp;$U$23&amp;V23,+V24&amp;V25&amp;V23)</f>
        <v>27:01</v>
      </c>
      <c r="W27" s="9" t="str">
        <f>IF(W23&lt;10,+W24&amp;W25&amp;$U$23&amp;W23,+W24&amp;W25&amp;W23)</f>
        <v>32:59</v>
      </c>
    </row>
    <row r="28" spans="1:13" ht="12.75">
      <c r="A28" s="1" t="s">
        <v>86</v>
      </c>
      <c r="D28" s="7">
        <f>+D21/D26*100</f>
        <v>73.44398340248964</v>
      </c>
      <c r="H28" s="1" t="s">
        <v>86</v>
      </c>
      <c r="M28" s="7">
        <f>+M21/M26*100</f>
        <v>55.69948186528497</v>
      </c>
    </row>
    <row r="30" spans="1:13" ht="12.75">
      <c r="A30" t="s">
        <v>16</v>
      </c>
      <c r="D30">
        <f>+D11+D15+D19</f>
        <v>60</v>
      </c>
      <c r="H30" t="s">
        <v>16</v>
      </c>
      <c r="M30">
        <f>+M11+M15+M19</f>
        <v>67</v>
      </c>
    </row>
    <row r="31" spans="1:13" ht="12.75">
      <c r="A31" t="s">
        <v>17</v>
      </c>
      <c r="D31" s="8">
        <f>+D26/D30</f>
        <v>4.016666666666667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5.7611940298507465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2</v>
      </c>
    </row>
    <row r="35" spans="1:13" ht="12.75">
      <c r="A35" t="s">
        <v>20</v>
      </c>
      <c r="D35" s="2">
        <v>47</v>
      </c>
      <c r="H35" t="s">
        <v>20</v>
      </c>
      <c r="M35" s="2">
        <v>12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5</v>
      </c>
    </row>
    <row r="39" spans="1:13" ht="12.75">
      <c r="A39" t="s">
        <v>23</v>
      </c>
      <c r="D39" s="2">
        <v>282</v>
      </c>
      <c r="H39" t="s">
        <v>23</v>
      </c>
      <c r="M39" s="2">
        <v>205</v>
      </c>
    </row>
    <row r="40" spans="1:13" ht="12.75">
      <c r="A40" t="s">
        <v>24</v>
      </c>
      <c r="D40" s="8">
        <f>+D39/D38</f>
        <v>40.285714285714285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</v>
      </c>
    </row>
    <row r="42" spans="1:13" ht="12.75">
      <c r="A42" t="s">
        <v>25</v>
      </c>
      <c r="D42" s="2">
        <v>2</v>
      </c>
      <c r="H42" t="s">
        <v>25</v>
      </c>
      <c r="M42" s="2">
        <v>5</v>
      </c>
    </row>
    <row r="43" spans="1:13" ht="12.75">
      <c r="A43" t="s">
        <v>26</v>
      </c>
      <c r="D43" s="2">
        <v>20</v>
      </c>
      <c r="H43" t="s">
        <v>26</v>
      </c>
      <c r="M43" s="2">
        <v>56</v>
      </c>
    </row>
    <row r="44" spans="1:13" ht="12.75">
      <c r="A44" t="s">
        <v>27</v>
      </c>
      <c r="D44" s="8">
        <f>+D43/D42</f>
        <v>10</v>
      </c>
      <c r="H44" t="s">
        <v>27</v>
      </c>
      <c r="M44" s="8">
        <f>+M43/M42</f>
        <v>11.2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5</v>
      </c>
      <c r="H48" t="s">
        <v>30</v>
      </c>
      <c r="M48" s="2">
        <v>3</v>
      </c>
    </row>
    <row r="49" spans="1:13" ht="12.75">
      <c r="A49" t="s">
        <v>26</v>
      </c>
      <c r="D49" s="2">
        <v>141</v>
      </c>
      <c r="H49" t="s">
        <v>26</v>
      </c>
      <c r="M49" s="2">
        <v>95</v>
      </c>
    </row>
    <row r="50" spans="1:13" ht="12.75">
      <c r="A50" t="s">
        <v>27</v>
      </c>
      <c r="D50" s="8">
        <f>+D49/D48</f>
        <v>28.2</v>
      </c>
      <c r="H50" t="s">
        <v>27</v>
      </c>
      <c r="M50" s="8">
        <f>+M49/M48</f>
        <v>31.666666666666668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4</v>
      </c>
    </row>
    <row r="54" spans="1:13" ht="12.75">
      <c r="A54" t="s">
        <v>32</v>
      </c>
      <c r="D54" s="2">
        <v>50</v>
      </c>
      <c r="H54" t="s">
        <v>32</v>
      </c>
      <c r="M54" s="2">
        <v>30</v>
      </c>
    </row>
    <row r="56" spans="1:13" ht="12.75">
      <c r="A56" t="s">
        <v>33</v>
      </c>
      <c r="D56" s="2">
        <v>0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17</v>
      </c>
      <c r="H59" t="s">
        <v>34</v>
      </c>
      <c r="M59" s="2">
        <v>29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5</v>
      </c>
    </row>
    <row r="67" spans="1:13" ht="12.75">
      <c r="A67" t="s">
        <v>42</v>
      </c>
      <c r="D67" s="2">
        <v>1</v>
      </c>
      <c r="H67" t="s">
        <v>42</v>
      </c>
      <c r="M67" s="2">
        <v>5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27:01</v>
      </c>
      <c r="E69" s="8"/>
      <c r="F69" s="8"/>
      <c r="H69" t="s">
        <v>89</v>
      </c>
      <c r="M69" s="10" t="str">
        <f>IF(W23&lt;10,W27,W26)</f>
        <v>32:59</v>
      </c>
    </row>
    <row r="70" spans="1:13" ht="12.75">
      <c r="A70" t="s">
        <v>102</v>
      </c>
      <c r="D70" s="23">
        <f>D154</f>
        <v>23.076923076923077</v>
      </c>
      <c r="E70" s="8"/>
      <c r="F70" s="8"/>
      <c r="H70" t="s">
        <v>102</v>
      </c>
      <c r="M70" s="23">
        <f>M154</f>
        <v>33.33333333333333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8</v>
      </c>
      <c r="D74">
        <v>59</v>
      </c>
      <c r="E74" s="12">
        <f aca="true" t="shared" si="0" ref="E74:E82">+D74/C74</f>
        <v>7.375</v>
      </c>
      <c r="F74">
        <v>50</v>
      </c>
      <c r="G74">
        <v>1</v>
      </c>
      <c r="H74">
        <v>0</v>
      </c>
    </row>
    <row r="75" spans="1:8" ht="12.75">
      <c r="A75" t="s">
        <v>110</v>
      </c>
      <c r="C75">
        <v>7</v>
      </c>
      <c r="D75">
        <v>7</v>
      </c>
      <c r="E75" s="12">
        <f t="shared" si="0"/>
        <v>1</v>
      </c>
      <c r="F75">
        <v>30</v>
      </c>
      <c r="G75">
        <v>0</v>
      </c>
      <c r="H75">
        <v>0</v>
      </c>
    </row>
    <row r="76" spans="1:8" ht="12.75">
      <c r="A76" t="s">
        <v>111</v>
      </c>
      <c r="C76">
        <v>1</v>
      </c>
      <c r="D76">
        <v>-2</v>
      </c>
      <c r="E76" s="12">
        <f t="shared" si="0"/>
        <v>-2</v>
      </c>
      <c r="F76">
        <v>-2</v>
      </c>
      <c r="G76">
        <v>0</v>
      </c>
      <c r="H76">
        <v>0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6</v>
      </c>
      <c r="D85">
        <v>55</v>
      </c>
      <c r="E85" s="12">
        <f aca="true" t="shared" si="1" ref="E85:E96">+D85/C85</f>
        <v>9.166666666666666</v>
      </c>
      <c r="F85">
        <v>30</v>
      </c>
      <c r="G85">
        <v>0</v>
      </c>
      <c r="H85">
        <v>0</v>
      </c>
    </row>
    <row r="86" spans="1:8" ht="12.75">
      <c r="A86" t="s">
        <v>118</v>
      </c>
      <c r="C86">
        <v>4</v>
      </c>
      <c r="D86">
        <v>63</v>
      </c>
      <c r="E86" s="12">
        <f t="shared" si="1"/>
        <v>15.75</v>
      </c>
      <c r="F86">
        <v>49</v>
      </c>
      <c r="G86">
        <v>1</v>
      </c>
      <c r="H86">
        <v>0</v>
      </c>
    </row>
    <row r="87" spans="1:8" ht="12.75">
      <c r="A87" t="s">
        <v>113</v>
      </c>
      <c r="C87">
        <v>3</v>
      </c>
      <c r="D87">
        <v>46</v>
      </c>
      <c r="E87" s="12">
        <f t="shared" si="1"/>
        <v>15.333333333333334</v>
      </c>
      <c r="F87">
        <v>18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7</v>
      </c>
      <c r="E88" s="12">
        <f t="shared" si="1"/>
        <v>7</v>
      </c>
      <c r="F88">
        <v>7</v>
      </c>
      <c r="G88">
        <v>0</v>
      </c>
      <c r="H88">
        <v>0</v>
      </c>
    </row>
    <row r="89" spans="1:5" ht="12.75">
      <c r="A89" t="s">
        <v>116</v>
      </c>
      <c r="E89" s="12" t="e">
        <f t="shared" si="1"/>
        <v>#DIV/0!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1</v>
      </c>
      <c r="D91">
        <v>9</v>
      </c>
      <c r="E91" s="12">
        <f t="shared" si="1"/>
        <v>9</v>
      </c>
      <c r="F91">
        <v>9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18</v>
      </c>
      <c r="E92" s="12">
        <f t="shared" si="1"/>
        <v>18</v>
      </c>
      <c r="F92">
        <v>18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-1</v>
      </c>
      <c r="E93" s="12">
        <f t="shared" si="1"/>
        <v>-1</v>
      </c>
      <c r="F93">
        <v>-1</v>
      </c>
      <c r="G93">
        <v>0</v>
      </c>
      <c r="H93">
        <v>0</v>
      </c>
    </row>
    <row r="94" spans="1:8" ht="12.75">
      <c r="A94" t="s">
        <v>122</v>
      </c>
      <c r="C94">
        <v>2</v>
      </c>
      <c r="D94">
        <v>14</v>
      </c>
      <c r="E94" s="12">
        <f t="shared" si="1"/>
        <v>7</v>
      </c>
      <c r="F94">
        <v>11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39</v>
      </c>
      <c r="D100">
        <v>19</v>
      </c>
      <c r="E100" s="12">
        <f>+D100/C100*100</f>
        <v>48.717948717948715</v>
      </c>
      <c r="F100">
        <v>211</v>
      </c>
      <c r="G100">
        <v>1</v>
      </c>
      <c r="H100">
        <v>49</v>
      </c>
      <c r="I100">
        <v>4</v>
      </c>
      <c r="J100" s="8">
        <f>+G100/C100*100</f>
        <v>2.564102564102564</v>
      </c>
      <c r="K100" s="12">
        <f>+I100/C100*100</f>
        <v>10.256410256410255</v>
      </c>
      <c r="L100" s="12">
        <f>+F100/C100</f>
        <v>5.410256410256411</v>
      </c>
      <c r="M100" s="12">
        <f>100*(S100+U100+W100+Y100)/6</f>
        <v>34.18803418803419</v>
      </c>
      <c r="R100">
        <f>+(E100-30)/20</f>
        <v>0.9358974358974358</v>
      </c>
      <c r="S100" s="2">
        <f>IF(R100&lt;0,0,IF(R100&gt;2.375,2.375,R100))</f>
        <v>0.9358974358974358</v>
      </c>
      <c r="T100" s="6">
        <f>+(L100-3)/4</f>
        <v>0.6025641025641026</v>
      </c>
      <c r="U100" s="2">
        <f>IF(T100&lt;0,0,IF(T100&gt;2.375,2.375,T100))</f>
        <v>0.6025641025641026</v>
      </c>
      <c r="V100">
        <f>+J100/5</f>
        <v>0.5128205128205128</v>
      </c>
      <c r="W100" s="2">
        <f>IF(V100&lt;0,0,IF(V100&gt;2.375,2.375,V100))</f>
        <v>0.5128205128205128</v>
      </c>
      <c r="X100">
        <f>(9.5-K100)/4</f>
        <v>-0.18910256410256387</v>
      </c>
      <c r="Y100" s="2">
        <f>IF(X100&lt;0,0,X100)</f>
        <v>0</v>
      </c>
    </row>
    <row r="101" spans="1:25" ht="12.75">
      <c r="A101" t="s">
        <v>117</v>
      </c>
      <c r="E101" s="12" t="e">
        <f>+D101/C101*100</f>
        <v>#DIV/0!</v>
      </c>
      <c r="J101" s="8" t="e">
        <f>+G101/C101*100</f>
        <v>#DIV/0!</v>
      </c>
      <c r="K101" s="12" t="e">
        <f>+I101/C101*100</f>
        <v>#DIV/0!</v>
      </c>
      <c r="L101" s="12" t="e">
        <f>+F101/C101</f>
        <v>#DIV/0!</v>
      </c>
      <c r="M101" s="12" t="e">
        <f>100*(S101+U101+W101+Y101)/6</f>
        <v>#DIV/0!</v>
      </c>
      <c r="R101" t="e">
        <f>+(E101-30)/20</f>
        <v>#DIV/0!</v>
      </c>
      <c r="S101" s="2" t="e">
        <f>IF(R101&lt;0,0,IF(R101&gt;2.375,2.375,R101))</f>
        <v>#DIV/0!</v>
      </c>
      <c r="T101" s="6" t="e">
        <f>+(L101-3)/4</f>
        <v>#DIV/0!</v>
      </c>
      <c r="U101" s="2" t="e">
        <f>IF(T101&lt;0,0,IF(T101&gt;2.375,2.375,T101))</f>
        <v>#DIV/0!</v>
      </c>
      <c r="V101" t="e">
        <f>+J101/5</f>
        <v>#DIV/0!</v>
      </c>
      <c r="W101" s="2" t="e">
        <f>IF(V101&lt;0,0,IF(V101&gt;2.375,2.375,V101))</f>
        <v>#DIV/0!</v>
      </c>
      <c r="X101" t="e">
        <f>(9.5-K101)/4</f>
        <v>#DIV/0!</v>
      </c>
      <c r="Y101" s="2" t="e">
        <f>IF(X101&lt;0,0,X101)</f>
        <v>#DIV/0!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2</v>
      </c>
      <c r="D107">
        <v>2</v>
      </c>
      <c r="E107">
        <v>20</v>
      </c>
      <c r="F107" s="12">
        <f>+E107/C107</f>
        <v>10</v>
      </c>
      <c r="G107">
        <v>20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3</v>
      </c>
      <c r="D110">
        <v>88</v>
      </c>
      <c r="E110" s="12">
        <f aca="true" t="shared" si="2" ref="E110:E115">+D110/C110</f>
        <v>29.333333333333332</v>
      </c>
      <c r="F110">
        <v>43</v>
      </c>
      <c r="G110">
        <v>0</v>
      </c>
      <c r="H110">
        <v>0</v>
      </c>
    </row>
    <row r="111" spans="1:8" ht="12.75">
      <c r="A111" t="s">
        <v>112</v>
      </c>
      <c r="C111">
        <v>2</v>
      </c>
      <c r="D111">
        <v>53</v>
      </c>
      <c r="E111" s="12">
        <f t="shared" si="2"/>
        <v>26.5</v>
      </c>
      <c r="F111">
        <v>37</v>
      </c>
      <c r="G111">
        <v>0</v>
      </c>
      <c r="H111">
        <v>0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7</v>
      </c>
      <c r="D118">
        <v>282</v>
      </c>
      <c r="E118" s="12">
        <f>+D118/C118</f>
        <v>40.285714285714285</v>
      </c>
      <c r="F118">
        <v>64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4</v>
      </c>
      <c r="D121">
        <v>0</v>
      </c>
      <c r="E121">
        <v>2</v>
      </c>
      <c r="F121">
        <v>2</v>
      </c>
      <c r="G121">
        <v>1</v>
      </c>
      <c r="H121">
        <v>1</v>
      </c>
      <c r="I121" s="12">
        <f>+H121/G121*100</f>
        <v>100</v>
      </c>
      <c r="J121">
        <v>23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8" ht="12.75">
      <c r="A124" t="s">
        <v>124</v>
      </c>
      <c r="C124">
        <v>1</v>
      </c>
      <c r="D124">
        <v>8</v>
      </c>
      <c r="E124" s="12">
        <f>+D124/C124</f>
        <v>8</v>
      </c>
      <c r="F124">
        <v>8</v>
      </c>
      <c r="G124">
        <v>0</v>
      </c>
      <c r="H124">
        <v>0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8" ht="12.75">
      <c r="A130" t="s">
        <v>123</v>
      </c>
      <c r="C130">
        <v>1</v>
      </c>
      <c r="D130">
        <v>4</v>
      </c>
      <c r="E130" s="12">
        <f t="shared" si="3"/>
        <v>4</v>
      </c>
      <c r="F130">
        <v>4</v>
      </c>
      <c r="G130">
        <v>0</v>
      </c>
      <c r="H130">
        <v>0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1.5</v>
      </c>
    </row>
    <row r="136" spans="1:3" ht="12.75">
      <c r="A136" t="s">
        <v>135</v>
      </c>
      <c r="C136">
        <v>1</v>
      </c>
    </row>
    <row r="137" ht="12.75">
      <c r="A137" t="s">
        <v>136</v>
      </c>
    </row>
    <row r="138" spans="1:3" ht="12.75">
      <c r="A138" t="s">
        <v>137</v>
      </c>
      <c r="C138">
        <v>0.5</v>
      </c>
    </row>
    <row r="139" ht="12.75">
      <c r="A139" t="s">
        <v>130</v>
      </c>
    </row>
    <row r="140" spans="1:3" ht="12.75">
      <c r="A140" t="s">
        <v>107</v>
      </c>
      <c r="C140">
        <v>1</v>
      </c>
    </row>
    <row r="141" ht="12.75">
      <c r="A141" t="s">
        <v>138</v>
      </c>
    </row>
    <row r="142" ht="12.75">
      <c r="A142" t="s">
        <v>132</v>
      </c>
    </row>
    <row r="143" ht="12.75">
      <c r="A143" t="s">
        <v>139</v>
      </c>
    </row>
    <row r="144" spans="1:3" ht="12.75">
      <c r="A144" t="s">
        <v>131</v>
      </c>
      <c r="C144">
        <v>0.5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spans="1:3" ht="12.75">
      <c r="A149" t="s">
        <v>142</v>
      </c>
      <c r="C149">
        <v>0.5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13</v>
      </c>
      <c r="H152" t="s">
        <v>93</v>
      </c>
      <c r="M152">
        <v>15</v>
      </c>
    </row>
    <row r="153" spans="1:13" ht="12.75">
      <c r="A153" t="s">
        <v>94</v>
      </c>
      <c r="D153">
        <v>3</v>
      </c>
      <c r="H153" t="s">
        <v>94</v>
      </c>
      <c r="M153">
        <v>5</v>
      </c>
    </row>
    <row r="154" spans="1:13" ht="12.75">
      <c r="A154" t="s">
        <v>95</v>
      </c>
      <c r="D154" s="8">
        <f>D153/D152*100</f>
        <v>23.076923076923077</v>
      </c>
      <c r="H154" t="s">
        <v>95</v>
      </c>
      <c r="M154" s="8">
        <f>+M153/M152*100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54"/>
  <sheetViews>
    <sheetView zoomScalePageLayoutView="0" workbookViewId="0" topLeftCell="A60">
      <selection activeCell="T70" sqref="T7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23</v>
      </c>
      <c r="H6" s="1" t="s">
        <v>29</v>
      </c>
      <c r="M6" s="2">
        <f>M7+M8+M9</f>
        <v>13</v>
      </c>
    </row>
    <row r="7" spans="1:13" ht="12.75">
      <c r="A7" s="1" t="s">
        <v>103</v>
      </c>
      <c r="D7" s="2">
        <v>10</v>
      </c>
      <c r="H7" s="1" t="s">
        <v>103</v>
      </c>
      <c r="M7" s="2">
        <v>3</v>
      </c>
    </row>
    <row r="8" spans="1:13" ht="12.75">
      <c r="A8" s="1" t="s">
        <v>105</v>
      </c>
      <c r="D8" s="2">
        <v>12</v>
      </c>
      <c r="H8" s="1" t="s">
        <v>105</v>
      </c>
      <c r="M8" s="2">
        <v>7</v>
      </c>
    </row>
    <row r="9" spans="1:13" ht="12.75">
      <c r="A9" s="1" t="s">
        <v>104</v>
      </c>
      <c r="D9" s="2">
        <v>1</v>
      </c>
      <c r="H9" s="1" t="s">
        <v>104</v>
      </c>
      <c r="M9" s="2">
        <v>3</v>
      </c>
    </row>
    <row r="11" spans="1:23" ht="12.75">
      <c r="A11" t="s">
        <v>1</v>
      </c>
      <c r="D11" s="2">
        <v>35</v>
      </c>
      <c r="H11" t="s">
        <v>1</v>
      </c>
      <c r="M11" s="2">
        <v>32</v>
      </c>
      <c r="V11">
        <f>+D11</f>
        <v>35</v>
      </c>
      <c r="W11">
        <f>+M11</f>
        <v>32</v>
      </c>
    </row>
    <row r="12" spans="1:23" ht="12.75">
      <c r="A12" t="s">
        <v>2</v>
      </c>
      <c r="D12" s="2">
        <v>189</v>
      </c>
      <c r="H12" t="s">
        <v>2</v>
      </c>
      <c r="M12" s="2">
        <v>24</v>
      </c>
      <c r="U12" s="13"/>
      <c r="V12">
        <f>+D16</f>
        <v>17</v>
      </c>
      <c r="W12">
        <f>+M16</f>
        <v>13</v>
      </c>
    </row>
    <row r="13" spans="1:23" ht="12.75">
      <c r="A13" s="1" t="s">
        <v>3</v>
      </c>
      <c r="D13" s="8">
        <f>+D12/D11</f>
        <v>5.4</v>
      </c>
      <c r="H13" s="1" t="s">
        <v>3</v>
      </c>
      <c r="M13" s="8">
        <f>+M12/M11</f>
        <v>0.75</v>
      </c>
      <c r="V13">
        <f>+(D15-D16)/2</f>
        <v>5.5</v>
      </c>
      <c r="W13">
        <f>+(M15-M16)/2</f>
        <v>6.5</v>
      </c>
    </row>
    <row r="14" spans="22:23" ht="12.75">
      <c r="V14">
        <f>+D38/2</f>
        <v>2.5</v>
      </c>
      <c r="W14">
        <f>+M38/2</f>
        <v>3.5</v>
      </c>
    </row>
    <row r="15" spans="1:23" ht="12.75">
      <c r="A15" t="s">
        <v>4</v>
      </c>
      <c r="D15" s="2">
        <v>28</v>
      </c>
      <c r="H15" t="s">
        <v>4</v>
      </c>
      <c r="M15" s="2">
        <v>26</v>
      </c>
      <c r="V15">
        <f>+D42/2</f>
        <v>1.5</v>
      </c>
      <c r="W15">
        <f>+M42/2</f>
        <v>2.5</v>
      </c>
    </row>
    <row r="16" spans="1:23" ht="12.75">
      <c r="A16" t="s">
        <v>5</v>
      </c>
      <c r="D16" s="2">
        <v>17</v>
      </c>
      <c r="H16" t="s">
        <v>5</v>
      </c>
      <c r="M16" s="2">
        <v>13</v>
      </c>
      <c r="V16">
        <f>+D48/2</f>
        <v>6</v>
      </c>
      <c r="W16">
        <f>+M48/2</f>
        <v>3</v>
      </c>
    </row>
    <row r="17" spans="1:13" ht="12.75">
      <c r="A17" t="s">
        <v>6</v>
      </c>
      <c r="D17" s="8">
        <f>+D16/D15*100</f>
        <v>60.71428571428571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337</v>
      </c>
      <c r="H18" t="s">
        <v>7</v>
      </c>
      <c r="M18" s="2">
        <v>151</v>
      </c>
      <c r="V18">
        <f>SUM(V11:V16)</f>
        <v>67.5</v>
      </c>
      <c r="W18">
        <f>SUM(W11:W16)</f>
        <v>60.5</v>
      </c>
      <c r="X18">
        <f>+W18+V18</f>
        <v>128</v>
      </c>
    </row>
    <row r="19" spans="1:23" ht="12.75">
      <c r="A19" t="s">
        <v>8</v>
      </c>
      <c r="D19" s="2">
        <v>2</v>
      </c>
      <c r="H19" t="s">
        <v>8</v>
      </c>
      <c r="M19" s="2">
        <v>5</v>
      </c>
      <c r="V19">
        <f>+V18/X18</f>
        <v>0.52734375</v>
      </c>
      <c r="W19">
        <f>+W18/X18</f>
        <v>0.47265625</v>
      </c>
    </row>
    <row r="20" spans="1:23" ht="12.75">
      <c r="A20" t="s">
        <v>9</v>
      </c>
      <c r="D20" s="2">
        <v>14</v>
      </c>
      <c r="H20" t="s">
        <v>9</v>
      </c>
      <c r="M20" s="2">
        <v>34</v>
      </c>
      <c r="V20">
        <f>+V19*60</f>
        <v>31.640625</v>
      </c>
      <c r="W20">
        <f>+W19*60</f>
        <v>28.359375</v>
      </c>
    </row>
    <row r="21" spans="1:23" ht="12.75">
      <c r="A21" t="s">
        <v>10</v>
      </c>
      <c r="D21">
        <f>+D18-D20</f>
        <v>323</v>
      </c>
      <c r="H21" t="s">
        <v>10</v>
      </c>
      <c r="M21">
        <f>+M18-M20</f>
        <v>117</v>
      </c>
      <c r="V21">
        <f>+V20-INT(V20)</f>
        <v>0.640625</v>
      </c>
      <c r="W21">
        <f>+W20-INT(W20)</f>
        <v>0.359375</v>
      </c>
    </row>
    <row r="22" spans="1:23" ht="12.75">
      <c r="A22" t="s">
        <v>11</v>
      </c>
      <c r="D22" s="7">
        <f>+D21/(D15+D19)</f>
        <v>10.766666666666667</v>
      </c>
      <c r="H22" t="s">
        <v>11</v>
      </c>
      <c r="M22" s="7">
        <f>+M21/(M15+M19)</f>
        <v>3.774193548387097</v>
      </c>
      <c r="V22">
        <f>+V21*60</f>
        <v>38.4375</v>
      </c>
      <c r="W22">
        <f>+W21*60</f>
        <v>21.5625</v>
      </c>
    </row>
    <row r="23" spans="1:23" ht="12.75">
      <c r="A23" t="s">
        <v>12</v>
      </c>
      <c r="D23" s="7">
        <f>+D18/D16</f>
        <v>19.823529411764707</v>
      </c>
      <c r="H23" t="s">
        <v>12</v>
      </c>
      <c r="M23" s="7">
        <f>+M18/M16</f>
        <v>11.615384615384615</v>
      </c>
      <c r="U23">
        <v>0</v>
      </c>
      <c r="V23" s="11">
        <f>ROUND(V22,0)</f>
        <v>38</v>
      </c>
      <c r="W23">
        <f>ROUND(W22,0)</f>
        <v>22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512</v>
      </c>
      <c r="H26" t="s">
        <v>14</v>
      </c>
      <c r="M26">
        <f>+M21+M12</f>
        <v>141</v>
      </c>
      <c r="Q26" s="9"/>
      <c r="R26" s="9"/>
      <c r="V26" s="14" t="str">
        <f>+V24&amp;V25&amp;V23</f>
        <v>31:38</v>
      </c>
      <c r="W26" s="9" t="str">
        <f>+W24&amp;W25&amp;W23</f>
        <v>28:22</v>
      </c>
    </row>
    <row r="27" spans="1:23" ht="12.75">
      <c r="A27" t="s">
        <v>15</v>
      </c>
      <c r="D27" s="7">
        <f>+D12/D26*100</f>
        <v>36.9140625</v>
      </c>
      <c r="H27" t="s">
        <v>15</v>
      </c>
      <c r="M27" s="7">
        <f>+M12/M26*100</f>
        <v>17.02127659574468</v>
      </c>
      <c r="V27" s="9" t="str">
        <f>IF(V23&lt;10,+V24&amp;V25&amp;$U$23&amp;V23,+V24&amp;V25&amp;V23)</f>
        <v>31:38</v>
      </c>
      <c r="W27" s="9" t="str">
        <f>IF(W23&lt;10,+W24&amp;W25&amp;$U$23&amp;W23,+W24&amp;W25&amp;W23)</f>
        <v>28:22</v>
      </c>
    </row>
    <row r="28" spans="1:13" ht="12.75">
      <c r="A28" s="1" t="s">
        <v>86</v>
      </c>
      <c r="D28" s="7">
        <f>+D21/D26*100</f>
        <v>63.0859375</v>
      </c>
      <c r="H28" s="1" t="s">
        <v>86</v>
      </c>
      <c r="M28" s="7">
        <f>+M21/M26*100</f>
        <v>82.97872340425532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63</v>
      </c>
    </row>
    <row r="31" spans="1:13" ht="12.75">
      <c r="A31" t="s">
        <v>17</v>
      </c>
      <c r="D31" s="8">
        <f>+D26/D30</f>
        <v>7.876923076923077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2.238095238095238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0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7</v>
      </c>
    </row>
    <row r="39" spans="1:13" ht="12.75">
      <c r="A39" t="s">
        <v>23</v>
      </c>
      <c r="D39" s="2">
        <v>186</v>
      </c>
      <c r="H39" t="s">
        <v>23</v>
      </c>
      <c r="M39" s="2">
        <v>261</v>
      </c>
    </row>
    <row r="40" spans="1:13" ht="12.75">
      <c r="A40" t="s">
        <v>24</v>
      </c>
      <c r="D40" s="8">
        <f>+D39/D38</f>
        <v>37.2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37.285714285714285</v>
      </c>
    </row>
    <row r="41" ht="12.75">
      <c r="D41" s="2"/>
    </row>
    <row r="42" spans="1:13" ht="12.75">
      <c r="A42" t="s">
        <v>25</v>
      </c>
      <c r="D42" s="2">
        <v>3</v>
      </c>
      <c r="H42" t="s">
        <v>25</v>
      </c>
      <c r="M42" s="2">
        <v>5</v>
      </c>
    </row>
    <row r="43" spans="1:13" ht="12.75">
      <c r="A43" t="s">
        <v>26</v>
      </c>
      <c r="D43" s="2">
        <v>1</v>
      </c>
      <c r="H43" t="s">
        <v>26</v>
      </c>
      <c r="M43" s="2">
        <v>44</v>
      </c>
    </row>
    <row r="44" spans="1:13" ht="12.75">
      <c r="A44" t="s">
        <v>27</v>
      </c>
      <c r="D44" s="8">
        <f>+D43/D42</f>
        <v>0.3333333333333333</v>
      </c>
      <c r="H44" t="s">
        <v>27</v>
      </c>
      <c r="M44" s="8">
        <f>+M43/M42</f>
        <v>8.8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12</v>
      </c>
      <c r="H48" t="s">
        <v>30</v>
      </c>
      <c r="M48" s="2">
        <v>6</v>
      </c>
    </row>
    <row r="49" spans="1:13" ht="12.75">
      <c r="A49" t="s">
        <v>26</v>
      </c>
      <c r="D49" s="2">
        <v>126</v>
      </c>
      <c r="H49" t="s">
        <v>26</v>
      </c>
      <c r="M49" s="2">
        <v>145</v>
      </c>
    </row>
    <row r="50" spans="1:13" ht="12.75">
      <c r="A50" t="s">
        <v>27</v>
      </c>
      <c r="D50" s="8">
        <f>+D49/D48</f>
        <v>10.5</v>
      </c>
      <c r="H50" t="s">
        <v>27</v>
      </c>
      <c r="M50" s="8">
        <f>+M49/M48</f>
        <v>24.166666666666668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12</v>
      </c>
      <c r="H53" t="s">
        <v>31</v>
      </c>
      <c r="M53" s="2">
        <v>4</v>
      </c>
    </row>
    <row r="54" spans="1:13" ht="12.75">
      <c r="A54" t="s">
        <v>32</v>
      </c>
      <c r="D54" s="2">
        <v>126</v>
      </c>
      <c r="H54" t="s">
        <v>32</v>
      </c>
      <c r="M54" s="2">
        <v>33</v>
      </c>
    </row>
    <row r="55" ht="12.75">
      <c r="M55" s="2"/>
    </row>
    <row r="56" spans="1:13" ht="12.75">
      <c r="A56" t="s">
        <v>33</v>
      </c>
      <c r="D56" s="2">
        <v>2</v>
      </c>
      <c r="H56" t="s">
        <v>33</v>
      </c>
      <c r="M56" s="2">
        <v>2</v>
      </c>
    </row>
    <row r="57" spans="1:13" ht="12.75">
      <c r="A57" t="s">
        <v>101</v>
      </c>
      <c r="D57" s="2">
        <v>1</v>
      </c>
      <c r="H57" t="s">
        <v>101</v>
      </c>
      <c r="M57" s="2">
        <v>2</v>
      </c>
    </row>
    <row r="59" spans="1:13" ht="12.75">
      <c r="A59" t="s">
        <v>34</v>
      </c>
      <c r="D59" s="2">
        <v>35</v>
      </c>
      <c r="H59" t="s">
        <v>34</v>
      </c>
      <c r="M59" s="2">
        <v>7</v>
      </c>
    </row>
    <row r="60" spans="1:13" ht="12.75">
      <c r="A60" t="s">
        <v>35</v>
      </c>
      <c r="D60" s="2">
        <v>5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5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0</v>
      </c>
    </row>
    <row r="67" spans="1:13" ht="12.75">
      <c r="A67" t="s">
        <v>42</v>
      </c>
      <c r="D67" s="2">
        <v>1</v>
      </c>
      <c r="H67" t="s">
        <v>42</v>
      </c>
      <c r="M67" s="2">
        <v>1</v>
      </c>
    </row>
    <row r="68" spans="1:13" ht="12.75">
      <c r="A68" t="s">
        <v>43</v>
      </c>
      <c r="D68" s="8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0</v>
      </c>
    </row>
    <row r="69" spans="1:13" ht="12.75">
      <c r="A69" t="s">
        <v>92</v>
      </c>
      <c r="D69" s="10" t="str">
        <f>IF(V23&lt;10,V27,V26)</f>
        <v>31:38</v>
      </c>
      <c r="E69" s="8"/>
      <c r="F69" s="8"/>
      <c r="H69" t="s">
        <v>92</v>
      </c>
      <c r="M69" s="10" t="str">
        <f>IF(W23&lt;10,W27,W26)</f>
        <v>28:22</v>
      </c>
    </row>
    <row r="70" spans="1:13" ht="12.75">
      <c r="A70" t="s">
        <v>102</v>
      </c>
      <c r="D70" s="23">
        <f>D154</f>
        <v>41.66666666666667</v>
      </c>
      <c r="E70" s="8"/>
      <c r="F70" s="8"/>
      <c r="H70" t="s">
        <v>102</v>
      </c>
      <c r="M70" s="23">
        <f>M154</f>
        <v>6.666666666666667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16</v>
      </c>
      <c r="D74">
        <v>112</v>
      </c>
      <c r="E74" s="12">
        <f aca="true" t="shared" si="0" ref="E74:E82">+D74/C74</f>
        <v>7</v>
      </c>
      <c r="F74">
        <v>54</v>
      </c>
      <c r="G74">
        <v>1</v>
      </c>
      <c r="H74">
        <v>0</v>
      </c>
    </row>
    <row r="75" spans="1:8" ht="12.75">
      <c r="A75" t="s">
        <v>110</v>
      </c>
      <c r="C75">
        <v>16</v>
      </c>
      <c r="D75">
        <v>57</v>
      </c>
      <c r="E75" s="12">
        <f t="shared" si="0"/>
        <v>3.5625</v>
      </c>
      <c r="F75">
        <v>16</v>
      </c>
      <c r="G75">
        <v>2</v>
      </c>
      <c r="H75">
        <v>2</v>
      </c>
    </row>
    <row r="76" spans="1:5" ht="12.75">
      <c r="A76" t="s">
        <v>111</v>
      </c>
      <c r="E76" s="12" t="e">
        <f t="shared" si="0"/>
        <v>#DIV/0!</v>
      </c>
    </row>
    <row r="77" spans="1:5" ht="12.75">
      <c r="A77" t="s">
        <v>112</v>
      </c>
      <c r="E77" s="12" t="e">
        <f t="shared" si="0"/>
        <v>#DIV/0!</v>
      </c>
    </row>
    <row r="78" spans="1:5" ht="12.75">
      <c r="A78" t="s">
        <v>113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2</v>
      </c>
      <c r="D80">
        <v>10</v>
      </c>
      <c r="E80" s="12">
        <f t="shared" si="0"/>
        <v>5</v>
      </c>
      <c r="F80">
        <v>12</v>
      </c>
      <c r="G80">
        <v>0</v>
      </c>
      <c r="H80">
        <v>0</v>
      </c>
    </row>
    <row r="81" spans="1:5" ht="12.75">
      <c r="A81" t="s">
        <v>117</v>
      </c>
      <c r="E81" s="12" t="e">
        <f t="shared" si="0"/>
        <v>#DIV/0!</v>
      </c>
    </row>
    <row r="82" spans="1:8" ht="12.75">
      <c r="A82" t="s">
        <v>116</v>
      </c>
      <c r="C82">
        <v>1</v>
      </c>
      <c r="D82">
        <v>10</v>
      </c>
      <c r="E82" s="12">
        <f t="shared" si="0"/>
        <v>10</v>
      </c>
      <c r="F82">
        <v>10</v>
      </c>
      <c r="G82">
        <v>0</v>
      </c>
      <c r="H82">
        <v>0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7</v>
      </c>
      <c r="D85">
        <v>141</v>
      </c>
      <c r="E85" s="12">
        <f aca="true" t="shared" si="1" ref="E85:E96">+D85/C85</f>
        <v>20.142857142857142</v>
      </c>
      <c r="F85">
        <v>73</v>
      </c>
      <c r="G85">
        <v>0</v>
      </c>
      <c r="H85">
        <v>0</v>
      </c>
    </row>
    <row r="86" spans="1:8" ht="12.75">
      <c r="A86" t="s">
        <v>118</v>
      </c>
      <c r="C86">
        <v>2</v>
      </c>
      <c r="D86">
        <v>31</v>
      </c>
      <c r="E86" s="12">
        <f t="shared" si="1"/>
        <v>15.5</v>
      </c>
      <c r="F86">
        <v>17</v>
      </c>
      <c r="G86">
        <v>0</v>
      </c>
      <c r="H86">
        <v>0</v>
      </c>
    </row>
    <row r="87" spans="1:8" ht="12.75">
      <c r="A87" t="s">
        <v>113</v>
      </c>
      <c r="C87">
        <v>3</v>
      </c>
      <c r="D87">
        <v>80</v>
      </c>
      <c r="E87" s="12">
        <f t="shared" si="1"/>
        <v>26.666666666666668</v>
      </c>
      <c r="F87">
        <v>38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53</v>
      </c>
      <c r="E88" s="12">
        <f t="shared" si="1"/>
        <v>17.666666666666668</v>
      </c>
      <c r="F88">
        <v>38</v>
      </c>
      <c r="G88">
        <v>0</v>
      </c>
      <c r="H88">
        <v>0</v>
      </c>
    </row>
    <row r="89" spans="1:8" ht="12.75">
      <c r="A89" t="s">
        <v>116</v>
      </c>
      <c r="C89">
        <v>2</v>
      </c>
      <c r="D89">
        <v>32</v>
      </c>
      <c r="E89" s="12">
        <f t="shared" si="1"/>
        <v>16</v>
      </c>
      <c r="F89">
        <v>19</v>
      </c>
      <c r="G89">
        <v>1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5" ht="12.75">
      <c r="A91" t="s">
        <v>112</v>
      </c>
      <c r="E91" s="12" t="e">
        <f t="shared" si="1"/>
        <v>#DIV/0!</v>
      </c>
    </row>
    <row r="92" spans="1:5" ht="12.75">
      <c r="A92" t="s">
        <v>120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26</v>
      </c>
      <c r="D100">
        <v>16</v>
      </c>
      <c r="E100" s="12">
        <f>+D100/C100*100</f>
        <v>61.53846153846154</v>
      </c>
      <c r="F100">
        <v>327</v>
      </c>
      <c r="G100">
        <v>1</v>
      </c>
      <c r="H100">
        <v>73</v>
      </c>
      <c r="I100">
        <v>1</v>
      </c>
      <c r="J100" s="8">
        <f>+G100/C100*100</f>
        <v>3.8461538461538463</v>
      </c>
      <c r="K100" s="12">
        <f>+I100/C100*100</f>
        <v>3.8461538461538463</v>
      </c>
      <c r="L100" s="12">
        <f>+F100/C100</f>
        <v>12.576923076923077</v>
      </c>
      <c r="M100" s="12">
        <f>100*(S100+U100+W100+Y100)/6</f>
        <v>102.24358974358974</v>
      </c>
      <c r="R100">
        <f>+(E100-30)/20</f>
        <v>1.576923076923077</v>
      </c>
      <c r="S100" s="2">
        <f>IF(R100&lt;0,0,IF(R100&gt;2.375,2.375,R100))</f>
        <v>1.576923076923077</v>
      </c>
      <c r="T100" s="6">
        <f>+(L100-3)/4</f>
        <v>2.394230769230769</v>
      </c>
      <c r="U100" s="2">
        <f>IF(T100&lt;0,0,IF(T100&gt;2.375,2.375,T100))</f>
        <v>2.375</v>
      </c>
      <c r="V100">
        <f>+J100/5</f>
        <v>0.7692307692307693</v>
      </c>
      <c r="W100" s="2">
        <f>IF(V100&lt;0,0,IF(V100&gt;2.375,2.375,V100))</f>
        <v>0.7692307692307693</v>
      </c>
      <c r="X100">
        <f>(9.5-K100)/4</f>
        <v>1.4134615384615383</v>
      </c>
      <c r="Y100" s="2">
        <f>IF(X100&lt;0,0,X100)</f>
        <v>1.4134615384615383</v>
      </c>
    </row>
    <row r="101" spans="1:25" ht="12.75">
      <c r="A101" t="s">
        <v>117</v>
      </c>
      <c r="C101">
        <v>2</v>
      </c>
      <c r="D101">
        <v>1</v>
      </c>
      <c r="E101" s="12">
        <f>+D101/C101*100</f>
        <v>50</v>
      </c>
      <c r="F101">
        <v>10</v>
      </c>
      <c r="G101">
        <v>0</v>
      </c>
      <c r="H101">
        <v>10</v>
      </c>
      <c r="I101">
        <v>0</v>
      </c>
      <c r="J101" s="8">
        <f>+G101/C101*100</f>
        <v>0</v>
      </c>
      <c r="K101" s="12">
        <f>+I101/C101*100</f>
        <v>0</v>
      </c>
      <c r="L101" s="12">
        <f>+F101/C101</f>
        <v>5</v>
      </c>
      <c r="M101" s="12">
        <f>100*(S101+U101+W101+Y101)/6</f>
        <v>64.58333333333333</v>
      </c>
      <c r="R101">
        <f>+(E101-30)/20</f>
        <v>1</v>
      </c>
      <c r="S101" s="2">
        <f>IF(R101&lt;0,0,IF(R101&gt;2.375,2.375,R101))</f>
        <v>1</v>
      </c>
      <c r="T101" s="6">
        <f>+(L101-3)/4</f>
        <v>0.5</v>
      </c>
      <c r="U101" s="2">
        <f>IF(T101&lt;0,0,IF(T101&gt;2.375,2.375,T101))</f>
        <v>0.5</v>
      </c>
      <c r="V101">
        <f>+J101/5</f>
        <v>0</v>
      </c>
      <c r="W101" s="2">
        <f>IF(V101&lt;0,0,IF(V101&gt;2.375,2.375,V101))</f>
        <v>0</v>
      </c>
      <c r="X101">
        <f>(9.5-K101)/4</f>
        <v>2.375</v>
      </c>
      <c r="Y101" s="2">
        <f>IF(X101&lt;0,0,X101)</f>
        <v>2.375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3</v>
      </c>
      <c r="D107">
        <v>1</v>
      </c>
      <c r="E107">
        <v>1</v>
      </c>
      <c r="F107" s="12">
        <f>+E107/C107</f>
        <v>0.3333333333333333</v>
      </c>
      <c r="G107">
        <v>1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1</v>
      </c>
      <c r="D110">
        <v>28</v>
      </c>
      <c r="E110" s="12">
        <f aca="true" t="shared" si="2" ref="E110:E115">+D110/C110</f>
        <v>28</v>
      </c>
      <c r="F110">
        <v>28</v>
      </c>
      <c r="G110">
        <v>0</v>
      </c>
      <c r="H110">
        <v>0</v>
      </c>
    </row>
    <row r="111" spans="1:5" ht="12.75">
      <c r="A111" t="s">
        <v>112</v>
      </c>
      <c r="E111" s="12" t="e">
        <f t="shared" si="2"/>
        <v>#DIV/0!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7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</row>
    <row r="118" spans="1:7" ht="12.75">
      <c r="A118" t="s">
        <v>125</v>
      </c>
      <c r="C118">
        <v>5</v>
      </c>
      <c r="D118">
        <v>186</v>
      </c>
      <c r="E118" s="12">
        <f>+D118/C118</f>
        <v>37.2</v>
      </c>
      <c r="F118">
        <v>42</v>
      </c>
      <c r="G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6</v>
      </c>
      <c r="D121">
        <v>0</v>
      </c>
      <c r="E121">
        <v>5</v>
      </c>
      <c r="F121">
        <v>5</v>
      </c>
      <c r="G121">
        <v>1</v>
      </c>
      <c r="H121">
        <v>0</v>
      </c>
      <c r="I121" s="12">
        <f>+H121/G121*100</f>
        <v>0</v>
      </c>
      <c r="J121">
        <v>0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2.5</v>
      </c>
    </row>
    <row r="136" ht="12.75">
      <c r="A136" t="s">
        <v>135</v>
      </c>
    </row>
    <row r="137" spans="1:3" ht="12.75">
      <c r="A137" t="s">
        <v>136</v>
      </c>
      <c r="C137">
        <v>2</v>
      </c>
    </row>
    <row r="138" ht="12.75">
      <c r="A138" t="s">
        <v>137</v>
      </c>
    </row>
    <row r="139" ht="12.75">
      <c r="A139" t="s">
        <v>130</v>
      </c>
    </row>
    <row r="140" ht="12.75">
      <c r="A140" t="s">
        <v>107</v>
      </c>
    </row>
    <row r="141" ht="12.75">
      <c r="A141" t="s">
        <v>138</v>
      </c>
    </row>
    <row r="142" ht="12.75">
      <c r="A142" t="s">
        <v>132</v>
      </c>
    </row>
    <row r="143" spans="1:3" ht="12.75">
      <c r="A143" t="s">
        <v>139</v>
      </c>
      <c r="C143">
        <v>0.5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ht="12.75">
      <c r="A147" t="s">
        <v>127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12</v>
      </c>
      <c r="H152" t="s">
        <v>93</v>
      </c>
      <c r="M152">
        <v>15</v>
      </c>
    </row>
    <row r="153" spans="1:13" ht="12.75">
      <c r="A153" t="s">
        <v>94</v>
      </c>
      <c r="D153">
        <v>5</v>
      </c>
      <c r="H153" t="s">
        <v>94</v>
      </c>
      <c r="M153">
        <v>1</v>
      </c>
    </row>
    <row r="154" spans="1:13" ht="12.75">
      <c r="A154" t="s">
        <v>95</v>
      </c>
      <c r="D154" s="8">
        <f>D153/D152*100</f>
        <v>41.66666666666667</v>
      </c>
      <c r="H154" t="s">
        <v>95</v>
      </c>
      <c r="M154" s="8">
        <f>+M153/M152*100</f>
        <v>6.666666666666667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54"/>
  <sheetViews>
    <sheetView zoomScalePageLayoutView="0" workbookViewId="0" topLeftCell="A60">
      <selection activeCell="H101" sqref="H10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108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16</v>
      </c>
    </row>
    <row r="7" spans="1:13" ht="12.75">
      <c r="A7" s="1" t="s">
        <v>103</v>
      </c>
      <c r="D7" s="2">
        <v>7</v>
      </c>
      <c r="H7" s="1" t="s">
        <v>103</v>
      </c>
      <c r="M7" s="2">
        <v>3</v>
      </c>
    </row>
    <row r="8" spans="1:13" ht="12.75">
      <c r="A8" s="1" t="s">
        <v>105</v>
      </c>
      <c r="D8" s="2">
        <v>9</v>
      </c>
      <c r="H8" s="1" t="s">
        <v>105</v>
      </c>
      <c r="M8" s="2">
        <v>13</v>
      </c>
    </row>
    <row r="9" spans="1:13" ht="12.75">
      <c r="A9" s="1" t="s">
        <v>104</v>
      </c>
      <c r="D9" s="2">
        <v>4</v>
      </c>
      <c r="H9" s="1" t="s">
        <v>104</v>
      </c>
      <c r="M9" s="2">
        <v>0</v>
      </c>
    </row>
    <row r="11" spans="1:23" ht="12.75">
      <c r="A11" t="s">
        <v>1</v>
      </c>
      <c r="D11" s="2">
        <v>25</v>
      </c>
      <c r="H11" t="s">
        <v>1</v>
      </c>
      <c r="M11" s="2">
        <v>16</v>
      </c>
      <c r="V11">
        <f>+D11</f>
        <v>25</v>
      </c>
      <c r="W11">
        <f>+M11</f>
        <v>16</v>
      </c>
    </row>
    <row r="12" spans="1:23" ht="12.75">
      <c r="A12" t="s">
        <v>2</v>
      </c>
      <c r="D12" s="2">
        <v>81</v>
      </c>
      <c r="H12" t="s">
        <v>2</v>
      </c>
      <c r="M12" s="2">
        <v>58</v>
      </c>
      <c r="U12" s="13"/>
      <c r="V12">
        <f>+D16</f>
        <v>18</v>
      </c>
      <c r="W12">
        <f>+M16</f>
        <v>24</v>
      </c>
    </row>
    <row r="13" spans="1:23" ht="12.75">
      <c r="A13" s="1" t="s">
        <v>3</v>
      </c>
      <c r="D13" s="8">
        <f>+D12/D11</f>
        <v>3.24</v>
      </c>
      <c r="H13" s="1" t="s">
        <v>3</v>
      </c>
      <c r="M13" s="8">
        <f>+M12/M11</f>
        <v>3.625</v>
      </c>
      <c r="V13">
        <f>+(D15-D16)/2</f>
        <v>9</v>
      </c>
      <c r="W13">
        <f>+(M15-M16)/2</f>
        <v>12</v>
      </c>
    </row>
    <row r="14" spans="22:23" ht="12.75">
      <c r="V14">
        <f>+D38/2</f>
        <v>3</v>
      </c>
      <c r="W14">
        <f>+M38/2</f>
        <v>4.5</v>
      </c>
    </row>
    <row r="15" spans="1:23" ht="12.75">
      <c r="A15" t="s">
        <v>4</v>
      </c>
      <c r="D15" s="2">
        <v>36</v>
      </c>
      <c r="H15" t="s">
        <v>4</v>
      </c>
      <c r="M15" s="2">
        <v>48</v>
      </c>
      <c r="V15">
        <f>+D42/2</f>
        <v>2.5</v>
      </c>
      <c r="W15">
        <f>+M42/2</f>
        <v>1.5</v>
      </c>
    </row>
    <row r="16" spans="1:23" ht="12.75">
      <c r="A16" t="s">
        <v>5</v>
      </c>
      <c r="D16" s="2">
        <v>18</v>
      </c>
      <c r="H16" t="s">
        <v>5</v>
      </c>
      <c r="M16" s="2">
        <v>24</v>
      </c>
      <c r="V16">
        <f>+D48/2</f>
        <v>1.5</v>
      </c>
      <c r="W16">
        <f>+M48/2</f>
        <v>1</v>
      </c>
    </row>
    <row r="17" spans="1:13" ht="12.75">
      <c r="A17" t="s">
        <v>6</v>
      </c>
      <c r="D17" s="8">
        <f>+D16/D15*100</f>
        <v>50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297</v>
      </c>
      <c r="H18" t="s">
        <v>7</v>
      </c>
      <c r="M18" s="2">
        <v>229</v>
      </c>
      <c r="V18">
        <f>SUM(V11:V16)</f>
        <v>59</v>
      </c>
      <c r="W18">
        <f>SUM(W11:W16)</f>
        <v>59</v>
      </c>
      <c r="X18">
        <f>+W18+V18</f>
        <v>118</v>
      </c>
    </row>
    <row r="19" spans="1:23" ht="12.75">
      <c r="A19" t="s">
        <v>8</v>
      </c>
      <c r="D19" s="2">
        <v>3</v>
      </c>
      <c r="H19" t="s">
        <v>8</v>
      </c>
      <c r="M19" s="2">
        <v>10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26</v>
      </c>
      <c r="H20" t="s">
        <v>9</v>
      </c>
      <c r="M20" s="2">
        <v>56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271</v>
      </c>
      <c r="H21" t="s">
        <v>10</v>
      </c>
      <c r="M21">
        <f>+M18-M20</f>
        <v>173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6.948717948717949</v>
      </c>
      <c r="H22" t="s">
        <v>11</v>
      </c>
      <c r="M22" s="7">
        <f>+M21/(M15+M19)</f>
        <v>2.9827586206896552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16.5</v>
      </c>
      <c r="H23" t="s">
        <v>12</v>
      </c>
      <c r="M23" s="7">
        <f>+M18/M16</f>
        <v>9.541666666666666</v>
      </c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352</v>
      </c>
      <c r="H26" t="s">
        <v>14</v>
      </c>
      <c r="M26">
        <f>+M21+M12</f>
        <v>231</v>
      </c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23.011363636363637</v>
      </c>
      <c r="H27" t="s">
        <v>15</v>
      </c>
      <c r="M27" s="7">
        <f>+M12/M26*100</f>
        <v>25.108225108225106</v>
      </c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3" ht="12.75">
      <c r="A28" s="1" t="s">
        <v>86</v>
      </c>
      <c r="D28" s="7">
        <f>+D21/D26*100</f>
        <v>76.98863636363636</v>
      </c>
      <c r="H28" s="1" t="s">
        <v>86</v>
      </c>
      <c r="M28" s="7">
        <f>+M21/M26*100</f>
        <v>74.89177489177489</v>
      </c>
    </row>
    <row r="30" spans="1:13" ht="12.75">
      <c r="A30" t="s">
        <v>16</v>
      </c>
      <c r="D30">
        <f>+D11+D15+D19</f>
        <v>64</v>
      </c>
      <c r="H30" t="s">
        <v>16</v>
      </c>
      <c r="M30">
        <f>+M11+M15+M19</f>
        <v>74</v>
      </c>
    </row>
    <row r="31" spans="1:13" ht="12.75">
      <c r="A31" t="s">
        <v>17</v>
      </c>
      <c r="D31" s="8">
        <f>+D26/D30</f>
        <v>5.5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3.1216216216216215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0</v>
      </c>
    </row>
    <row r="35" spans="1:13" ht="12.75">
      <c r="A35" t="s">
        <v>20</v>
      </c>
      <c r="D35" s="2">
        <v>33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6</v>
      </c>
      <c r="H38" t="s">
        <v>22</v>
      </c>
      <c r="M38" s="2">
        <v>9</v>
      </c>
    </row>
    <row r="39" spans="1:13" ht="12.75">
      <c r="A39" t="s">
        <v>23</v>
      </c>
      <c r="D39" s="2">
        <v>247</v>
      </c>
      <c r="H39" t="s">
        <v>23</v>
      </c>
      <c r="M39" s="2">
        <v>417</v>
      </c>
    </row>
    <row r="40" spans="1:13" ht="12.75">
      <c r="A40" t="s">
        <v>24</v>
      </c>
      <c r="D40" s="8">
        <f>+D39/D38</f>
        <v>41.166666666666664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46.333333333333336</v>
      </c>
    </row>
    <row r="42" spans="1:13" ht="12.75">
      <c r="A42" t="s">
        <v>25</v>
      </c>
      <c r="D42" s="2">
        <v>5</v>
      </c>
      <c r="H42" t="s">
        <v>25</v>
      </c>
      <c r="M42" s="2">
        <v>3</v>
      </c>
    </row>
    <row r="43" spans="1:13" ht="12.75">
      <c r="A43" t="s">
        <v>26</v>
      </c>
      <c r="D43" s="2">
        <v>65</v>
      </c>
      <c r="H43" t="s">
        <v>26</v>
      </c>
      <c r="M43" s="2">
        <v>25</v>
      </c>
    </row>
    <row r="44" spans="1:13" ht="12.75">
      <c r="A44" t="s">
        <v>27</v>
      </c>
      <c r="D44" s="8">
        <f>+D43/D42</f>
        <v>13</v>
      </c>
      <c r="H44" t="s">
        <v>27</v>
      </c>
      <c r="M44" s="8">
        <f>+M43/M42</f>
        <v>8.333333333333334</v>
      </c>
    </row>
    <row r="45" spans="1:13" ht="12.75">
      <c r="A45" t="s">
        <v>106</v>
      </c>
      <c r="D45" s="2">
        <v>2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2</v>
      </c>
    </row>
    <row r="49" spans="1:13" ht="12.75">
      <c r="A49" t="s">
        <v>26</v>
      </c>
      <c r="D49" s="2">
        <v>39</v>
      </c>
      <c r="H49" t="s">
        <v>26</v>
      </c>
      <c r="M49" s="2">
        <v>27</v>
      </c>
    </row>
    <row r="50" spans="1:13" ht="12.75">
      <c r="A50" t="s">
        <v>27</v>
      </c>
      <c r="D50" s="8">
        <f>+D49/D48</f>
        <v>13</v>
      </c>
      <c r="H50" t="s">
        <v>27</v>
      </c>
      <c r="M50" s="8">
        <f>+M49/M48</f>
        <v>13.5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12</v>
      </c>
    </row>
    <row r="54" spans="1:13" ht="12.75">
      <c r="A54" t="s">
        <v>32</v>
      </c>
      <c r="D54" s="2">
        <v>35</v>
      </c>
      <c r="H54" t="s">
        <v>32</v>
      </c>
      <c r="M54" s="2">
        <v>101</v>
      </c>
    </row>
    <row r="56" spans="1:13" ht="12.75">
      <c r="A56" t="s">
        <v>33</v>
      </c>
      <c r="D56" s="2">
        <v>0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21</v>
      </c>
      <c r="H59" t="s">
        <v>34</v>
      </c>
      <c r="M59" s="2">
        <v>20</v>
      </c>
    </row>
    <row r="60" spans="1:13" ht="12.75">
      <c r="A60" t="s">
        <v>35</v>
      </c>
      <c r="D60" s="2">
        <v>3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2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3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2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30:00</v>
      </c>
      <c r="E69" s="8"/>
      <c r="F69" s="8"/>
      <c r="H69" t="s">
        <v>89</v>
      </c>
      <c r="M69" s="10" t="str">
        <f>IF(W23&lt;10,W27,W26)</f>
        <v>30:00</v>
      </c>
    </row>
    <row r="70" spans="1:13" ht="12.75">
      <c r="A70" t="s">
        <v>102</v>
      </c>
      <c r="D70" s="23">
        <f>D154</f>
        <v>23.076923076923077</v>
      </c>
      <c r="E70" s="8"/>
      <c r="F70" s="8"/>
      <c r="H70" t="s">
        <v>102</v>
      </c>
      <c r="M70" s="23">
        <f>M154</f>
        <v>45.83333333333333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109</v>
      </c>
      <c r="C74">
        <v>12</v>
      </c>
      <c r="D74">
        <v>19</v>
      </c>
      <c r="E74" s="12">
        <f aca="true" t="shared" si="0" ref="E74:E82">+D74/C74</f>
        <v>1.5833333333333333</v>
      </c>
      <c r="F74">
        <v>7</v>
      </c>
      <c r="G74">
        <v>0</v>
      </c>
      <c r="H74">
        <v>0</v>
      </c>
    </row>
    <row r="75" spans="1:8" ht="12.75">
      <c r="A75" t="s">
        <v>110</v>
      </c>
      <c r="C75">
        <v>10</v>
      </c>
      <c r="D75">
        <v>57</v>
      </c>
      <c r="E75" s="12">
        <f t="shared" si="0"/>
        <v>5.7</v>
      </c>
      <c r="F75">
        <v>16</v>
      </c>
      <c r="G75">
        <v>0</v>
      </c>
      <c r="H75">
        <v>0</v>
      </c>
    </row>
    <row r="76" spans="1:8" ht="12.75">
      <c r="A76" t="s">
        <v>111</v>
      </c>
      <c r="C76">
        <v>1</v>
      </c>
      <c r="D76">
        <v>2</v>
      </c>
      <c r="E76" s="12">
        <f t="shared" si="0"/>
        <v>2</v>
      </c>
      <c r="F76">
        <v>2</v>
      </c>
      <c r="G76">
        <v>0</v>
      </c>
      <c r="H76">
        <v>0</v>
      </c>
    </row>
    <row r="77" spans="1:8" ht="12.75">
      <c r="A77" t="s">
        <v>112</v>
      </c>
      <c r="C77">
        <v>1</v>
      </c>
      <c r="D77">
        <v>1</v>
      </c>
      <c r="E77" s="12">
        <f t="shared" si="0"/>
        <v>1</v>
      </c>
      <c r="F77">
        <v>1</v>
      </c>
      <c r="G77">
        <v>0</v>
      </c>
      <c r="H77">
        <v>0</v>
      </c>
    </row>
    <row r="78" spans="1:5" ht="12.75">
      <c r="A78" t="s">
        <v>113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2</v>
      </c>
      <c r="E79" s="12">
        <f t="shared" si="0"/>
        <v>2</v>
      </c>
      <c r="F79">
        <v>2</v>
      </c>
      <c r="G79">
        <v>1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117</v>
      </c>
      <c r="E81" s="12" t="e">
        <f t="shared" si="0"/>
        <v>#DIV/0!</v>
      </c>
    </row>
    <row r="82" spans="1:5" ht="12.75">
      <c r="A82" t="s">
        <v>116</v>
      </c>
      <c r="E82" s="12" t="e">
        <f t="shared" si="0"/>
        <v>#DIV/0!</v>
      </c>
    </row>
    <row r="83" ht="12.75">
      <c r="E83" s="8"/>
    </row>
    <row r="84" spans="1:8" ht="12.75">
      <c r="A84" s="2" t="s">
        <v>52</v>
      </c>
      <c r="C84" s="3" t="s">
        <v>53</v>
      </c>
      <c r="D84" s="3" t="s">
        <v>48</v>
      </c>
      <c r="E84" s="15" t="s">
        <v>49</v>
      </c>
      <c r="F84" s="3" t="s">
        <v>50</v>
      </c>
      <c r="G84" s="3" t="s">
        <v>51</v>
      </c>
      <c r="H84" s="3" t="s">
        <v>80</v>
      </c>
    </row>
    <row r="85" spans="1:8" ht="12.75">
      <c r="A85" t="s">
        <v>109</v>
      </c>
      <c r="C85">
        <v>6</v>
      </c>
      <c r="D85">
        <v>97</v>
      </c>
      <c r="E85" s="12">
        <f aca="true" t="shared" si="1" ref="E85:E96">+D85/C85</f>
        <v>16.166666666666668</v>
      </c>
      <c r="F85">
        <v>62</v>
      </c>
      <c r="G85">
        <v>1</v>
      </c>
      <c r="H85">
        <v>0</v>
      </c>
    </row>
    <row r="86" spans="1:8" ht="12.75">
      <c r="A86" t="s">
        <v>118</v>
      </c>
      <c r="C86">
        <v>6</v>
      </c>
      <c r="D86">
        <v>109</v>
      </c>
      <c r="E86" s="12">
        <f t="shared" si="1"/>
        <v>18.166666666666668</v>
      </c>
      <c r="F86">
        <v>51</v>
      </c>
      <c r="G86">
        <v>1</v>
      </c>
      <c r="H86">
        <v>0</v>
      </c>
    </row>
    <row r="87" spans="1:8" ht="12.75">
      <c r="A87" t="s">
        <v>113</v>
      </c>
      <c r="C87">
        <v>1</v>
      </c>
      <c r="D87">
        <v>13</v>
      </c>
      <c r="E87" s="12">
        <f t="shared" si="1"/>
        <v>13</v>
      </c>
      <c r="F87">
        <v>13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14</v>
      </c>
      <c r="E88" s="12">
        <f t="shared" si="1"/>
        <v>14</v>
      </c>
      <c r="F88">
        <v>14</v>
      </c>
      <c r="G88">
        <v>0</v>
      </c>
      <c r="H88">
        <v>0</v>
      </c>
    </row>
    <row r="89" spans="1:8" ht="12.75">
      <c r="A89" t="s">
        <v>116</v>
      </c>
      <c r="C89">
        <v>2</v>
      </c>
      <c r="D89">
        <v>48</v>
      </c>
      <c r="E89" s="12">
        <f t="shared" si="1"/>
        <v>24</v>
      </c>
      <c r="F89">
        <v>42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112</v>
      </c>
      <c r="C91">
        <v>1</v>
      </c>
      <c r="D91">
        <v>8</v>
      </c>
      <c r="E91" s="12">
        <f t="shared" si="1"/>
        <v>8</v>
      </c>
      <c r="F91">
        <v>8</v>
      </c>
      <c r="G91">
        <v>0</v>
      </c>
      <c r="H91">
        <v>0</v>
      </c>
    </row>
    <row r="92" spans="1:8" ht="12.75">
      <c r="A92" t="s">
        <v>120</v>
      </c>
      <c r="C92">
        <v>1</v>
      </c>
      <c r="D92">
        <v>8</v>
      </c>
      <c r="E92" s="12">
        <f t="shared" si="1"/>
        <v>8</v>
      </c>
      <c r="F92">
        <v>8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114</v>
      </c>
      <c r="E96" s="12" t="e">
        <f t="shared" si="1"/>
        <v>#DIV/0!</v>
      </c>
    </row>
    <row r="97" ht="12.75">
      <c r="E97" s="8"/>
    </row>
    <row r="98" spans="1:13" ht="12.75">
      <c r="A98" s="2"/>
      <c r="B98" s="2"/>
      <c r="C98" s="3"/>
      <c r="D98" s="3"/>
      <c r="E98" s="15" t="s">
        <v>57</v>
      </c>
      <c r="F98" s="3" t="s">
        <v>58</v>
      </c>
      <c r="G98" s="3"/>
      <c r="H98" s="3"/>
      <c r="I98" s="3" t="s">
        <v>61</v>
      </c>
      <c r="J98" s="3" t="s">
        <v>63</v>
      </c>
      <c r="K98" s="3" t="s">
        <v>57</v>
      </c>
      <c r="L98" s="3" t="s">
        <v>49</v>
      </c>
      <c r="M98" s="3"/>
    </row>
    <row r="99" spans="1:14" ht="12.75">
      <c r="A99" s="2" t="s">
        <v>54</v>
      </c>
      <c r="B99" s="2"/>
      <c r="C99" s="3" t="s">
        <v>55</v>
      </c>
      <c r="D99" s="3" t="s">
        <v>56</v>
      </c>
      <c r="E99" s="15" t="s">
        <v>56</v>
      </c>
      <c r="F99" s="3" t="s">
        <v>59</v>
      </c>
      <c r="G99" s="3" t="s">
        <v>51</v>
      </c>
      <c r="H99" s="3" t="s">
        <v>60</v>
      </c>
      <c r="I99" s="5" t="s">
        <v>62</v>
      </c>
      <c r="J99" s="3" t="s">
        <v>51</v>
      </c>
      <c r="K99" s="3" t="s">
        <v>64</v>
      </c>
      <c r="L99" s="3" t="s">
        <v>65</v>
      </c>
      <c r="M99" s="3" t="s">
        <v>66</v>
      </c>
      <c r="N99" s="3" t="s">
        <v>80</v>
      </c>
    </row>
    <row r="100" spans="1:25" ht="12.75">
      <c r="A100" t="s">
        <v>111</v>
      </c>
      <c r="C100">
        <v>30</v>
      </c>
      <c r="D100">
        <v>17</v>
      </c>
      <c r="E100" s="12">
        <f>+D100/C100*100</f>
        <v>56.666666666666664</v>
      </c>
      <c r="F100">
        <v>291</v>
      </c>
      <c r="G100">
        <v>2</v>
      </c>
      <c r="H100">
        <v>62</v>
      </c>
      <c r="I100">
        <v>2</v>
      </c>
      <c r="J100" s="8">
        <f>+G100/C100*100</f>
        <v>6.666666666666667</v>
      </c>
      <c r="K100" s="12">
        <f>+I100/C100*100</f>
        <v>6.666666666666667</v>
      </c>
      <c r="L100" s="12">
        <f>+F100/C100</f>
        <v>9.7</v>
      </c>
      <c r="M100" s="12">
        <f>100*(S100+U100+W100+Y100)/6</f>
        <v>84.16666666666667</v>
      </c>
      <c r="R100">
        <f>+(E100-30)/20</f>
        <v>1.3333333333333333</v>
      </c>
      <c r="S100" s="2">
        <f>IF(R100&lt;0,0,IF(R100&gt;2.375,2.375,R100))</f>
        <v>1.3333333333333333</v>
      </c>
      <c r="T100" s="6">
        <f>+(L100-3)/4</f>
        <v>1.6749999999999998</v>
      </c>
      <c r="U100" s="2">
        <f>IF(T100&lt;0,0,IF(T100&gt;2.375,2.375,T100))</f>
        <v>1.6749999999999998</v>
      </c>
      <c r="V100">
        <f>+J100/5</f>
        <v>1.3333333333333335</v>
      </c>
      <c r="W100" s="2">
        <f>IF(V100&lt;0,0,IF(V100&gt;2.375,2.375,V100))</f>
        <v>1.3333333333333335</v>
      </c>
      <c r="X100">
        <f>(9.5-K100)/4</f>
        <v>0.7083333333333333</v>
      </c>
      <c r="Y100" s="2">
        <f>IF(X100&lt;0,0,X100)</f>
        <v>0.7083333333333333</v>
      </c>
    </row>
    <row r="101" spans="1:25" ht="12.75">
      <c r="A101" t="s">
        <v>117</v>
      </c>
      <c r="C101">
        <v>5</v>
      </c>
      <c r="D101">
        <v>1</v>
      </c>
      <c r="E101" s="12">
        <f>+D101/C101*100</f>
        <v>20</v>
      </c>
      <c r="F101">
        <v>6</v>
      </c>
      <c r="G101">
        <v>0</v>
      </c>
      <c r="H101">
        <v>6</v>
      </c>
      <c r="I101">
        <v>0</v>
      </c>
      <c r="J101" s="8">
        <f>+G101/C101*100</f>
        <v>0</v>
      </c>
      <c r="K101" s="12">
        <f>+I101/C101*100</f>
        <v>0</v>
      </c>
      <c r="L101" s="12">
        <f>+F101/C101</f>
        <v>1.2</v>
      </c>
      <c r="M101" s="12">
        <f>100*(S101+U101+W101+Y101)/6</f>
        <v>39.583333333333336</v>
      </c>
      <c r="R101">
        <f>+(E101-30)/20</f>
        <v>-0.5</v>
      </c>
      <c r="S101" s="2">
        <f>IF(R101&lt;0,0,IF(R101&gt;2.375,2.375,R101))</f>
        <v>0</v>
      </c>
      <c r="T101" s="6">
        <f>+(L101-3)/4</f>
        <v>-0.45</v>
      </c>
      <c r="U101" s="2">
        <f>IF(T101&lt;0,0,IF(T101&gt;2.375,2.375,T101))</f>
        <v>0</v>
      </c>
      <c r="V101">
        <f>+J101/5</f>
        <v>0</v>
      </c>
      <c r="W101" s="2">
        <f>IF(V101&lt;0,0,IF(V101&gt;2.375,2.375,V101))</f>
        <v>0</v>
      </c>
      <c r="X101">
        <f>(9.5-K101)/4</f>
        <v>2.375</v>
      </c>
      <c r="Y101" s="2">
        <f>IF(X101&lt;0,0,X101)</f>
        <v>2.375</v>
      </c>
    </row>
    <row r="102" spans="1:25" ht="12.75">
      <c r="A102" t="s">
        <v>112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116</v>
      </c>
      <c r="C103">
        <v>1</v>
      </c>
      <c r="D103">
        <v>0</v>
      </c>
      <c r="E103" s="12">
        <f>+D103/C103*100</f>
        <v>0</v>
      </c>
      <c r="F103">
        <v>0</v>
      </c>
      <c r="G103">
        <v>0</v>
      </c>
      <c r="H103">
        <v>0</v>
      </c>
      <c r="I103">
        <v>0</v>
      </c>
      <c r="J103" s="8">
        <f>+G103/C103*100</f>
        <v>0</v>
      </c>
      <c r="K103" s="12">
        <f>+I103/C103*100</f>
        <v>0</v>
      </c>
      <c r="L103" s="12">
        <f>+F103/C103</f>
        <v>0</v>
      </c>
      <c r="M103" s="12">
        <f>100*(S103+U103+W103+Y103)/6</f>
        <v>39.583333333333336</v>
      </c>
      <c r="R103">
        <f>+(E103-30)/20</f>
        <v>-1.5</v>
      </c>
      <c r="S103" s="2">
        <f>IF(R103&lt;0,0,IF(R103&gt;2.375,2.375,R103))</f>
        <v>0</v>
      </c>
      <c r="T103" s="6">
        <f>+(L103-3)/4</f>
        <v>-0.75</v>
      </c>
      <c r="U103" s="2">
        <f>IF(T103&lt;0,0,IF(T103&gt;2.375,2.375,T103))</f>
        <v>0</v>
      </c>
      <c r="V103">
        <f>+J103/5</f>
        <v>0</v>
      </c>
      <c r="W103" s="2">
        <f>IF(V103&lt;0,0,IF(V103&gt;2.375,2.375,V103))</f>
        <v>0</v>
      </c>
      <c r="X103">
        <f>(9.5-K103)/4</f>
        <v>2.375</v>
      </c>
      <c r="Y103" s="2">
        <f>IF(X103&lt;0,0,X103)</f>
        <v>2.375</v>
      </c>
    </row>
    <row r="106" spans="1:9" ht="12.75">
      <c r="A106" s="2" t="s">
        <v>67</v>
      </c>
      <c r="C106" s="3" t="s">
        <v>68</v>
      </c>
      <c r="D106" s="3" t="s">
        <v>69</v>
      </c>
      <c r="E106" s="3" t="s">
        <v>70</v>
      </c>
      <c r="F106" s="3" t="s">
        <v>49</v>
      </c>
      <c r="G106" s="3" t="s">
        <v>60</v>
      </c>
      <c r="H106" s="3" t="s">
        <v>51</v>
      </c>
      <c r="I106" s="3" t="s">
        <v>80</v>
      </c>
    </row>
    <row r="107" spans="1:9" ht="12.75">
      <c r="A107" t="s">
        <v>123</v>
      </c>
      <c r="C107">
        <v>5</v>
      </c>
      <c r="D107">
        <v>2</v>
      </c>
      <c r="E107">
        <v>65</v>
      </c>
      <c r="F107" s="12">
        <f>+E107/C107</f>
        <v>13</v>
      </c>
      <c r="G107">
        <v>29</v>
      </c>
      <c r="H107">
        <v>0</v>
      </c>
      <c r="I107">
        <v>0</v>
      </c>
    </row>
    <row r="109" spans="1:8" ht="12.75">
      <c r="A109" s="2" t="s">
        <v>30</v>
      </c>
      <c r="C109" s="3" t="s">
        <v>68</v>
      </c>
      <c r="D109" s="3" t="s">
        <v>70</v>
      </c>
      <c r="E109" s="3" t="s">
        <v>49</v>
      </c>
      <c r="F109" s="3" t="s">
        <v>60</v>
      </c>
      <c r="G109" s="3" t="s">
        <v>51</v>
      </c>
      <c r="H109" s="3" t="s">
        <v>80</v>
      </c>
    </row>
    <row r="110" spans="1:8" ht="12.75">
      <c r="A110" t="s">
        <v>121</v>
      </c>
      <c r="C110">
        <v>3</v>
      </c>
      <c r="D110">
        <v>39</v>
      </c>
      <c r="E110" s="12">
        <f aca="true" t="shared" si="2" ref="E110:E115">+D110/C110</f>
        <v>13</v>
      </c>
      <c r="F110">
        <v>23</v>
      </c>
      <c r="G110">
        <v>0</v>
      </c>
      <c r="H110">
        <v>0</v>
      </c>
    </row>
    <row r="111" spans="1:5" ht="12.75">
      <c r="A111" t="s">
        <v>112</v>
      </c>
      <c r="E111" s="12" t="e">
        <f t="shared" si="2"/>
        <v>#DIV/0!</v>
      </c>
    </row>
    <row r="112" spans="1:5" ht="12.75">
      <c r="A112" t="s">
        <v>123</v>
      </c>
      <c r="E112" s="12" t="e">
        <f t="shared" si="2"/>
        <v>#DIV/0!</v>
      </c>
    </row>
    <row r="113" spans="1:5" ht="12.75">
      <c r="A113" t="s">
        <v>122</v>
      </c>
      <c r="E113" s="12" t="e">
        <f t="shared" si="2"/>
        <v>#DIV/0!</v>
      </c>
    </row>
    <row r="114" spans="1:5" ht="12.75">
      <c r="A114" t="s">
        <v>124</v>
      </c>
      <c r="E114" s="12" t="e">
        <f t="shared" si="2"/>
        <v>#DIV/0!</v>
      </c>
    </row>
    <row r="115" spans="1:5" ht="12.75">
      <c r="A115" t="s">
        <v>113</v>
      </c>
      <c r="E115" s="12" t="e">
        <f t="shared" si="2"/>
        <v>#DIV/0!</v>
      </c>
    </row>
    <row r="117" spans="1:8" ht="12.75">
      <c r="A117" s="2" t="s">
        <v>71</v>
      </c>
      <c r="C117" s="3" t="s">
        <v>68</v>
      </c>
      <c r="D117" s="3" t="s">
        <v>70</v>
      </c>
      <c r="E117" s="3" t="s">
        <v>49</v>
      </c>
      <c r="F117" s="3" t="s">
        <v>60</v>
      </c>
      <c r="G117" s="3" t="s">
        <v>72</v>
      </c>
      <c r="H117" s="3" t="s">
        <v>80</v>
      </c>
    </row>
    <row r="118" spans="1:8" ht="12.75">
      <c r="A118" t="s">
        <v>125</v>
      </c>
      <c r="C118">
        <v>6</v>
      </c>
      <c r="D118">
        <v>247</v>
      </c>
      <c r="E118" s="12">
        <f>+D118/C118</f>
        <v>41.166666666666664</v>
      </c>
      <c r="F118">
        <v>54</v>
      </c>
      <c r="G118">
        <v>0</v>
      </c>
      <c r="H118">
        <v>0</v>
      </c>
    </row>
    <row r="119" ht="12.75">
      <c r="I119" s="5" t="s">
        <v>63</v>
      </c>
    </row>
    <row r="120" spans="1:10" ht="12.75">
      <c r="A120" s="4" t="s">
        <v>79</v>
      </c>
      <c r="C120" s="3" t="s">
        <v>73</v>
      </c>
      <c r="D120" s="3" t="s">
        <v>74</v>
      </c>
      <c r="E120" s="3" t="s">
        <v>75</v>
      </c>
      <c r="F120" s="3" t="s">
        <v>76</v>
      </c>
      <c r="G120" s="3" t="s">
        <v>77</v>
      </c>
      <c r="H120" s="3" t="s">
        <v>78</v>
      </c>
      <c r="I120" s="3" t="s">
        <v>82</v>
      </c>
      <c r="J120" s="3" t="s">
        <v>60</v>
      </c>
    </row>
    <row r="121" spans="1:10" ht="12.75">
      <c r="A121" t="s">
        <v>126</v>
      </c>
      <c r="C121">
        <v>4</v>
      </c>
      <c r="D121">
        <v>2</v>
      </c>
      <c r="E121">
        <v>3</v>
      </c>
      <c r="F121">
        <v>3</v>
      </c>
      <c r="G121">
        <v>1</v>
      </c>
      <c r="H121">
        <v>0</v>
      </c>
      <c r="I121" s="12">
        <f>+H121/G121*100</f>
        <v>0</v>
      </c>
      <c r="J121">
        <v>0</v>
      </c>
    </row>
    <row r="123" spans="1:8" ht="12.75">
      <c r="A123" s="2" t="s">
        <v>81</v>
      </c>
      <c r="C123" s="3" t="s">
        <v>68</v>
      </c>
      <c r="D123" s="3" t="s">
        <v>70</v>
      </c>
      <c r="E123" s="3" t="s">
        <v>49</v>
      </c>
      <c r="F123" s="3" t="s">
        <v>60</v>
      </c>
      <c r="G123" s="3" t="s">
        <v>51</v>
      </c>
      <c r="H123" s="3" t="s">
        <v>80</v>
      </c>
    </row>
    <row r="124" spans="1:5" ht="12.75">
      <c r="A124" t="s">
        <v>124</v>
      </c>
      <c r="E124" s="12" t="e">
        <f>+D124/C124</f>
        <v>#DIV/0!</v>
      </c>
    </row>
    <row r="125" spans="1:5" ht="12.75">
      <c r="A125" t="s">
        <v>127</v>
      </c>
      <c r="E125" s="12" t="e">
        <f aca="true" t="shared" si="3" ref="E125:E132">+D125/C125</f>
        <v>#DIV/0!</v>
      </c>
    </row>
    <row r="126" spans="1:5" ht="12.75">
      <c r="A126" t="s">
        <v>128</v>
      </c>
      <c r="E126" s="12" t="e">
        <f t="shared" si="3"/>
        <v>#DIV/0!</v>
      </c>
    </row>
    <row r="127" spans="1:5" ht="12.75">
      <c r="A127" t="s">
        <v>129</v>
      </c>
      <c r="E127" s="12" t="e">
        <f t="shared" si="3"/>
        <v>#DIV/0!</v>
      </c>
    </row>
    <row r="128" spans="1:5" ht="12.75">
      <c r="A128" t="s">
        <v>130</v>
      </c>
      <c r="E128" s="12" t="e">
        <f t="shared" si="3"/>
        <v>#DIV/0!</v>
      </c>
    </row>
    <row r="129" spans="1:5" ht="12.75">
      <c r="A129" t="s">
        <v>131</v>
      </c>
      <c r="E129" s="12" t="e">
        <f t="shared" si="3"/>
        <v>#DIV/0!</v>
      </c>
    </row>
    <row r="130" spans="1:5" ht="12.75">
      <c r="A130" t="s">
        <v>123</v>
      </c>
      <c r="E130" s="12" t="e">
        <f t="shared" si="3"/>
        <v>#DIV/0!</v>
      </c>
    </row>
    <row r="131" spans="1:5" ht="12.75">
      <c r="A131" t="s">
        <v>132</v>
      </c>
      <c r="E131" s="12" t="e">
        <f t="shared" si="3"/>
        <v>#DIV/0!</v>
      </c>
    </row>
    <row r="132" spans="1:5" ht="12.75">
      <c r="A132" t="s">
        <v>133</v>
      </c>
      <c r="E132" s="12" t="e">
        <f t="shared" si="3"/>
        <v>#DIV/0!</v>
      </c>
    </row>
    <row r="134" spans="1:4" ht="12.75">
      <c r="A134" s="2" t="s">
        <v>90</v>
      </c>
      <c r="C134" s="3" t="s">
        <v>68</v>
      </c>
      <c r="D134" s="3"/>
    </row>
    <row r="135" spans="1:3" ht="12.75">
      <c r="A135" t="s">
        <v>134</v>
      </c>
      <c r="C135">
        <v>3</v>
      </c>
    </row>
    <row r="136" spans="1:3" ht="12.75">
      <c r="A136" t="s">
        <v>135</v>
      </c>
      <c r="C136">
        <v>0.5</v>
      </c>
    </row>
    <row r="137" spans="1:3" ht="12.75">
      <c r="A137" t="s">
        <v>136</v>
      </c>
      <c r="C137">
        <v>1</v>
      </c>
    </row>
    <row r="138" spans="1:3" ht="12.75">
      <c r="A138" t="s">
        <v>137</v>
      </c>
      <c r="C138">
        <v>1.5</v>
      </c>
    </row>
    <row r="139" spans="1:3" ht="12.75">
      <c r="A139" t="s">
        <v>130</v>
      </c>
      <c r="C139">
        <v>0.5</v>
      </c>
    </row>
    <row r="140" spans="1:3" ht="12.75">
      <c r="A140" t="s">
        <v>107</v>
      </c>
      <c r="C140">
        <v>1</v>
      </c>
    </row>
    <row r="141" spans="1:3" ht="12.75">
      <c r="A141" t="s">
        <v>138</v>
      </c>
      <c r="C141">
        <v>1</v>
      </c>
    </row>
    <row r="142" spans="1:3" ht="12.75">
      <c r="A142" t="s">
        <v>132</v>
      </c>
      <c r="C142">
        <v>0.5</v>
      </c>
    </row>
    <row r="143" spans="1:3" ht="12.75">
      <c r="A143" t="s">
        <v>139</v>
      </c>
      <c r="C143">
        <v>0.5</v>
      </c>
    </row>
    <row r="144" ht="12.75">
      <c r="A144" t="s">
        <v>131</v>
      </c>
    </row>
    <row r="145" ht="12.75">
      <c r="A145" t="s">
        <v>140</v>
      </c>
    </row>
    <row r="146" ht="12.75">
      <c r="A146" t="s">
        <v>124</v>
      </c>
    </row>
    <row r="147" spans="1:3" ht="12.75">
      <c r="A147" t="s">
        <v>127</v>
      </c>
      <c r="C147">
        <v>0.5</v>
      </c>
    </row>
    <row r="148" ht="12.75">
      <c r="A148" t="s">
        <v>141</v>
      </c>
    </row>
    <row r="149" ht="12.75">
      <c r="A149" t="s">
        <v>142</v>
      </c>
    </row>
    <row r="151" spans="4:14" ht="12.75">
      <c r="D151" s="2" t="s">
        <v>84</v>
      </c>
      <c r="E151" s="2" t="s">
        <v>85</v>
      </c>
      <c r="M151" s="2" t="s">
        <v>84</v>
      </c>
      <c r="N151" s="2" t="s">
        <v>85</v>
      </c>
    </row>
    <row r="152" spans="1:13" ht="12.75">
      <c r="A152" t="s">
        <v>93</v>
      </c>
      <c r="D152">
        <v>13</v>
      </c>
      <c r="H152" t="s">
        <v>93</v>
      </c>
      <c r="M152">
        <v>24</v>
      </c>
    </row>
    <row r="153" spans="1:13" ht="12.75">
      <c r="A153" t="s">
        <v>94</v>
      </c>
      <c r="D153">
        <v>3</v>
      </c>
      <c r="H153" t="s">
        <v>94</v>
      </c>
      <c r="M153">
        <v>11</v>
      </c>
    </row>
    <row r="154" spans="1:13" ht="12.75">
      <c r="A154" t="s">
        <v>95</v>
      </c>
      <c r="D154">
        <f>D153/D152*100</f>
        <v>23.076923076923077</v>
      </c>
      <c r="H154" t="s">
        <v>95</v>
      </c>
      <c r="M154">
        <f>+M153/M152*100</f>
        <v>45.83333333333333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Owner</cp:lastModifiedBy>
  <dcterms:created xsi:type="dcterms:W3CDTF">2004-12-04T00:48:17Z</dcterms:created>
  <dcterms:modified xsi:type="dcterms:W3CDTF">2015-03-22T21:18:53Z</dcterms:modified>
  <cp:category/>
  <cp:version/>
  <cp:contentType/>
  <cp:contentStatus/>
</cp:coreProperties>
</file>